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7983A2CC-D505-4180-938E-E720C0C0D1EA}" xr6:coauthVersionLast="47" xr6:coauthVersionMax="47" xr10:uidLastSave="{00000000-0000-0000-0000-000000000000}"/>
  <bookViews>
    <workbookView xWindow="-108" yWindow="-108" windowWidth="23256" windowHeight="12456" tabRatio="788" firstSheet="3" activeTab="11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/>
  <c r="B1" i="17"/>
  <c r="B1" i="19"/>
  <c r="B1" i="18"/>
  <c r="B1" i="21"/>
  <c r="B1" i="20"/>
  <c r="B1" i="23"/>
  <c r="B1" i="22"/>
  <c r="B1" i="25"/>
  <c r="B1" i="24"/>
  <c r="B1" i="16"/>
  <c r="B1" i="15"/>
  <c r="B1" i="14"/>
  <c r="B13" i="25" a="1"/>
  <c r="C13" i="25"/>
  <c r="B11" i="25" a="1"/>
  <c r="H11" i="25"/>
  <c r="B9" i="25" a="1"/>
  <c r="G9" i="25"/>
  <c r="B7" i="25" a="1"/>
  <c r="G7" i="25"/>
  <c r="B5" i="25" a="1"/>
  <c r="H5" i="25"/>
  <c r="B3" i="25" a="1"/>
  <c r="G3" i="25"/>
  <c r="G2" i="25"/>
  <c r="B13" i="24" a="1"/>
  <c r="C13" i="24"/>
  <c r="B11" i="24" a="1"/>
  <c r="H11" i="24"/>
  <c r="B9" i="24" a="1"/>
  <c r="G9" i="24"/>
  <c r="B7" i="24" a="1"/>
  <c r="G7" i="24"/>
  <c r="B5" i="24" a="1"/>
  <c r="H5" i="24"/>
  <c r="B3" i="24" a="1"/>
  <c r="G3" i="24"/>
  <c r="G2" i="24"/>
  <c r="B13" i="23" a="1"/>
  <c r="C13" i="23"/>
  <c r="B11" i="23" a="1"/>
  <c r="H11" i="23"/>
  <c r="B9" i="23" a="1"/>
  <c r="G9" i="23"/>
  <c r="B7" i="23" a="1"/>
  <c r="G7" i="23"/>
  <c r="B5" i="23" a="1"/>
  <c r="H5" i="23"/>
  <c r="B3" i="23" a="1"/>
  <c r="G3" i="23"/>
  <c r="G2" i="23"/>
  <c r="B13" i="22" a="1"/>
  <c r="C13" i="22"/>
  <c r="B11" i="22" a="1"/>
  <c r="H11" i="22"/>
  <c r="B9" i="22" a="1"/>
  <c r="G9" i="22"/>
  <c r="B7" i="22" a="1"/>
  <c r="H7" i="22"/>
  <c r="B5" i="22" a="1"/>
  <c r="G5" i="22"/>
  <c r="B3" i="22" a="1"/>
  <c r="H3" i="22"/>
  <c r="H2" i="22"/>
  <c r="B13" i="21" a="1"/>
  <c r="C13" i="21"/>
  <c r="B11" i="21" a="1"/>
  <c r="H11" i="21"/>
  <c r="B9" i="21" a="1"/>
  <c r="G9" i="21"/>
  <c r="B7" i="21" a="1"/>
  <c r="G7" i="21"/>
  <c r="B5" i="21" a="1"/>
  <c r="H5" i="21"/>
  <c r="B3" i="21" a="1"/>
  <c r="G3" i="21"/>
  <c r="G2" i="21"/>
  <c r="B13" i="20" a="1"/>
  <c r="C13" i="20"/>
  <c r="B11" i="20" a="1"/>
  <c r="H11" i="20"/>
  <c r="B9" i="20" a="1"/>
  <c r="G9" i="20"/>
  <c r="B7" i="20" a="1"/>
  <c r="H7" i="20"/>
  <c r="B5" i="20" a="1"/>
  <c r="G5" i="20"/>
  <c r="B3" i="20" a="1"/>
  <c r="E3" i="20"/>
  <c r="E2" i="20"/>
  <c r="B13" i="19" a="1"/>
  <c r="C13" i="19"/>
  <c r="B11" i="19" a="1"/>
  <c r="H11" i="19"/>
  <c r="B9" i="19" a="1"/>
  <c r="G9" i="19"/>
  <c r="B7" i="19" a="1"/>
  <c r="H7" i="19"/>
  <c r="B5" i="19" a="1"/>
  <c r="G5" i="19"/>
  <c r="B3" i="19" a="1"/>
  <c r="H3" i="19"/>
  <c r="H2" i="19"/>
  <c r="B13" i="18" a="1"/>
  <c r="C13" i="18"/>
  <c r="B11" i="18" a="1"/>
  <c r="G11" i="18"/>
  <c r="B9" i="18" a="1"/>
  <c r="G9" i="18"/>
  <c r="B7" i="18" a="1"/>
  <c r="G7" i="18"/>
  <c r="B5" i="18" a="1"/>
  <c r="G5" i="18"/>
  <c r="B3" i="18" a="1"/>
  <c r="G3" i="18"/>
  <c r="G2" i="18"/>
  <c r="B13" i="17" a="1"/>
  <c r="B13" i="17"/>
  <c r="B11" i="17" a="1"/>
  <c r="G11" i="17"/>
  <c r="B9" i="17" a="1"/>
  <c r="H9" i="17"/>
  <c r="B7" i="17" a="1"/>
  <c r="H7" i="17"/>
  <c r="B5" i="17" a="1"/>
  <c r="G5" i="17"/>
  <c r="B3" i="17" a="1"/>
  <c r="H3" i="17"/>
  <c r="H2" i="17"/>
  <c r="B13" i="16" a="1"/>
  <c r="C13" i="16"/>
  <c r="B11" i="16" a="1"/>
  <c r="H11" i="16"/>
  <c r="B9" i="16" a="1"/>
  <c r="G9" i="16"/>
  <c r="B7" i="16" a="1"/>
  <c r="H7" i="16"/>
  <c r="B5" i="16" a="1"/>
  <c r="G5" i="16"/>
  <c r="B3" i="16" a="1"/>
  <c r="H3" i="16"/>
  <c r="H2" i="16"/>
  <c r="B13" i="15" a="1"/>
  <c r="C13" i="15"/>
  <c r="B11" i="15" a="1"/>
  <c r="H11" i="15"/>
  <c r="B9" i="15" a="1"/>
  <c r="G9" i="15"/>
  <c r="B7" i="15" a="1"/>
  <c r="H7" i="15"/>
  <c r="B5" i="15" a="1"/>
  <c r="G5" i="15"/>
  <c r="B3" i="15" a="1"/>
  <c r="H3" i="15"/>
  <c r="H2" i="15"/>
  <c r="B7" i="18"/>
  <c r="B3" i="18"/>
  <c r="B11" i="18"/>
  <c r="F3" i="18"/>
  <c r="F2" i="18"/>
  <c r="F7" i="18"/>
  <c r="F11" i="18"/>
  <c r="D5" i="18"/>
  <c r="H5" i="18"/>
  <c r="D9" i="18"/>
  <c r="H9" i="18"/>
  <c r="D3" i="18"/>
  <c r="D2" i="18"/>
  <c r="H3" i="18"/>
  <c r="H2" i="18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/>
  <c r="F3" i="25"/>
  <c r="F2" i="25"/>
  <c r="H3" i="25"/>
  <c r="H2" i="25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/>
  <c r="E3" i="25"/>
  <c r="E2" i="25"/>
  <c r="C7" i="25"/>
  <c r="E7" i="25"/>
  <c r="C9" i="25"/>
  <c r="E9" i="25"/>
  <c r="C5" i="24"/>
  <c r="E5" i="24"/>
  <c r="G5" i="24"/>
  <c r="C11" i="24"/>
  <c r="E11" i="24"/>
  <c r="G11" i="24"/>
  <c r="B3" i="24"/>
  <c r="D3" i="24"/>
  <c r="D2" i="24"/>
  <c r="F3" i="24"/>
  <c r="F2" i="24"/>
  <c r="H3" i="24"/>
  <c r="H2" i="24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/>
  <c r="E3" i="24"/>
  <c r="E2" i="24"/>
  <c r="C7" i="24"/>
  <c r="E7" i="24"/>
  <c r="C9" i="24"/>
  <c r="E9" i="24"/>
  <c r="C5" i="23"/>
  <c r="E5" i="23"/>
  <c r="G5" i="23"/>
  <c r="C11" i="23"/>
  <c r="E11" i="23"/>
  <c r="G11" i="23"/>
  <c r="B3" i="23"/>
  <c r="D3" i="23"/>
  <c r="D2" i="23"/>
  <c r="F3" i="23"/>
  <c r="F2" i="23"/>
  <c r="H3" i="23"/>
  <c r="H2" i="23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/>
  <c r="E3" i="23"/>
  <c r="E2" i="23"/>
  <c r="C7" i="23"/>
  <c r="E7" i="23"/>
  <c r="C9" i="23"/>
  <c r="E9" i="23"/>
  <c r="C3" i="22"/>
  <c r="C2" i="22"/>
  <c r="E3" i="22"/>
  <c r="E2" i="22"/>
  <c r="G3" i="22"/>
  <c r="G2" i="22"/>
  <c r="C7" i="22"/>
  <c r="E7" i="22"/>
  <c r="G7" i="22"/>
  <c r="C11" i="22"/>
  <c r="E11" i="22"/>
  <c r="G11" i="22"/>
  <c r="B3" i="22"/>
  <c r="D3" i="22"/>
  <c r="D2" i="22"/>
  <c r="F3" i="22"/>
  <c r="F2" i="22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/>
  <c r="F3" i="21"/>
  <c r="F2" i="21"/>
  <c r="H3" i="21"/>
  <c r="H2" i="2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/>
  <c r="E3" i="21"/>
  <c r="E2" i="21"/>
  <c r="C7" i="21"/>
  <c r="E7" i="21"/>
  <c r="C9" i="21"/>
  <c r="E9" i="21"/>
  <c r="C3" i="20"/>
  <c r="C2" i="20"/>
  <c r="G3" i="20"/>
  <c r="G2" i="20"/>
  <c r="C7" i="20"/>
  <c r="E7" i="20"/>
  <c r="G7" i="20"/>
  <c r="C11" i="20"/>
  <c r="E11" i="20"/>
  <c r="G11" i="20"/>
  <c r="B3" i="20"/>
  <c r="D3" i="20"/>
  <c r="D2" i="20"/>
  <c r="F3" i="20"/>
  <c r="F2" i="20"/>
  <c r="H3" i="20"/>
  <c r="H2" i="20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/>
  <c r="E3" i="19"/>
  <c r="E2" i="19"/>
  <c r="G3" i="19"/>
  <c r="G2" i="19"/>
  <c r="C7" i="19"/>
  <c r="E7" i="19"/>
  <c r="G7" i="19"/>
  <c r="C11" i="19"/>
  <c r="E11" i="19"/>
  <c r="G11" i="19"/>
  <c r="B3" i="19"/>
  <c r="D3" i="19"/>
  <c r="D2" i="19"/>
  <c r="F3" i="19"/>
  <c r="F2" i="19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/>
  <c r="E3" i="18"/>
  <c r="E2" i="18"/>
  <c r="C5" i="18"/>
  <c r="E5" i="18"/>
  <c r="C7" i="18"/>
  <c r="E7" i="18"/>
  <c r="C9" i="18"/>
  <c r="E9" i="18"/>
  <c r="C11" i="18"/>
  <c r="E11" i="18"/>
  <c r="C3" i="17"/>
  <c r="C2" i="17"/>
  <c r="E3" i="17"/>
  <c r="E2" i="17"/>
  <c r="G3" i="17"/>
  <c r="G2" i="17"/>
  <c r="C7" i="17"/>
  <c r="E7" i="17"/>
  <c r="G7" i="17"/>
  <c r="C9" i="17"/>
  <c r="E9" i="17"/>
  <c r="G9" i="17"/>
  <c r="C13" i="17"/>
  <c r="B3" i="17"/>
  <c r="D3" i="17"/>
  <c r="D2" i="17"/>
  <c r="F3" i="17"/>
  <c r="F2" i="17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/>
  <c r="E3" i="16"/>
  <c r="E2" i="16"/>
  <c r="G3" i="16"/>
  <c r="G2" i="16"/>
  <c r="C7" i="16"/>
  <c r="E7" i="16"/>
  <c r="G7" i="16"/>
  <c r="C11" i="16"/>
  <c r="E11" i="16"/>
  <c r="G11" i="16"/>
  <c r="B3" i="16"/>
  <c r="D3" i="16"/>
  <c r="D2" i="16"/>
  <c r="F3" i="16"/>
  <c r="F2" i="16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/>
  <c r="E3" i="15"/>
  <c r="E2" i="15"/>
  <c r="G3" i="15"/>
  <c r="G2" i="15"/>
  <c r="C7" i="15"/>
  <c r="E7" i="15"/>
  <c r="G7" i="15"/>
  <c r="C11" i="15"/>
  <c r="E11" i="15"/>
  <c r="G11" i="15"/>
  <c r="B3" i="15"/>
  <c r="D3" i="15"/>
  <c r="D2" i="15"/>
  <c r="F3" i="15"/>
  <c r="F2" i="15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a="1"/>
  <c r="C13" i="14"/>
  <c r="B11" i="14" a="1"/>
  <c r="C11" i="14"/>
  <c r="B9" i="14" a="1"/>
  <c r="B9" i="14"/>
  <c r="B7" i="14" a="1"/>
  <c r="B7" i="14"/>
  <c r="B5" i="14" a="1"/>
  <c r="B5" i="14"/>
  <c r="B3" i="14" a="1"/>
  <c r="B3" i="14"/>
  <c r="E5" i="14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/>
  <c r="E3" i="14"/>
  <c r="E2" i="14"/>
  <c r="C3" i="14"/>
  <c r="C2" i="14"/>
  <c r="H3" i="14"/>
  <c r="H2" i="14"/>
  <c r="F3" i="14"/>
  <c r="F2" i="14"/>
  <c r="D3" i="14"/>
  <c r="D2" i="14"/>
</calcChain>
</file>

<file path=xl/sharedStrings.xml><?xml version="1.0" encoding="utf-8"?>
<sst xmlns="http://schemas.openxmlformats.org/spreadsheetml/2006/main" count="276" uniqueCount="115">
  <si>
    <t>Notes</t>
  </si>
  <si>
    <t>Year</t>
  </si>
  <si>
    <t>Week Start</t>
  </si>
  <si>
    <t>Calendar Settings</t>
  </si>
  <si>
    <t>MONDAY</t>
  </si>
  <si>
    <t>Medley Single Stableford</t>
  </si>
  <si>
    <t>Good Friday</t>
  </si>
  <si>
    <t>EASTER MONDAY</t>
  </si>
  <si>
    <t xml:space="preserve">MAY DAY </t>
  </si>
  <si>
    <t>Medley Single Stableford                  Townsville Running Festival</t>
  </si>
  <si>
    <t>Medley Single Stableford                Australia Day</t>
  </si>
  <si>
    <t>NEW YEARS DAY Medley Single Stableford</t>
  </si>
  <si>
    <t>Open Medley Single Stableford</t>
  </si>
  <si>
    <t>Open Medley Single Stroke</t>
  </si>
  <si>
    <t>QANTAS</t>
  </si>
  <si>
    <t>PRO AM</t>
  </si>
  <si>
    <t>QLD POLICE CHAMPIONSHIPS</t>
  </si>
  <si>
    <t>PROPOSED GREEN RENO</t>
  </si>
  <si>
    <t xml:space="preserve">MELBOURNE CUP DAY </t>
  </si>
  <si>
    <t>Monthly Medal</t>
  </si>
  <si>
    <t>Teams Event                          4BBB Stableford</t>
  </si>
  <si>
    <t>ANZAC DAY</t>
  </si>
  <si>
    <t>Men's Closed Championships Round 1                         Ladies - Monthly Medal</t>
  </si>
  <si>
    <t>Men's Closed Championships Round 2                             Ladies Closed Championships Round 1</t>
  </si>
  <si>
    <t>Men's Closed Championships Round 3                             Ladies Closed Championships Round 2</t>
  </si>
  <si>
    <t xml:space="preserve"> Mens &amp; Womens Foresomes 27H</t>
  </si>
  <si>
    <t>Monthly Medal Final</t>
  </si>
  <si>
    <r>
      <t xml:space="preserve">Medley Single Stableford               </t>
    </r>
    <r>
      <rPr>
        <b/>
        <sz val="9"/>
        <color theme="1" tint="0.34998626667073579"/>
        <rFont val="Lucida Sans"/>
        <family val="2"/>
        <scheme val="minor"/>
      </rPr>
      <t>Doing It For Jarrod Day</t>
    </r>
  </si>
  <si>
    <t>Teams Event                             4 Ball Multiplier</t>
  </si>
  <si>
    <t>Teams Event                             2 Person Ambrose</t>
  </si>
  <si>
    <t>Teams Event                              4 Ball Aggregate</t>
  </si>
  <si>
    <t xml:space="preserve">                                          </t>
  </si>
  <si>
    <t xml:space="preserve">QPS TOWNSVILLE DISTRICT GOLF DAY </t>
  </si>
  <si>
    <t>THE CURE STARTS NOW</t>
  </si>
  <si>
    <t>VULTURES</t>
  </si>
  <si>
    <t>WARIGANDA INDIGENOUS TOURNAMENT</t>
  </si>
  <si>
    <t>BMW</t>
  </si>
  <si>
    <t>DULUX</t>
  </si>
  <si>
    <t>POA</t>
  </si>
  <si>
    <t>AUDI QUATTRO</t>
  </si>
  <si>
    <t>PANKIND</t>
  </si>
  <si>
    <t>MISSION TO SEAFARERS</t>
  </si>
  <si>
    <t>MASTER ELECTRICIANS</t>
  </si>
  <si>
    <t>AIRCON AND REFRIDGERATION</t>
  </si>
  <si>
    <t>IQA</t>
  </si>
  <si>
    <t>MASTER BUILDERS SPRING</t>
  </si>
  <si>
    <t>RONALD MCDONALD HOUSE CHARITY</t>
  </si>
  <si>
    <t>Women's Summer Comp                          9 Holes</t>
  </si>
  <si>
    <r>
      <rPr>
        <b/>
        <sz val="9"/>
        <color theme="1" tint="0.34998626667073579"/>
        <rFont val="Lucida Sans"/>
        <family val="2"/>
        <scheme val="minor"/>
      </rPr>
      <t xml:space="preserve">Women's Season Open     </t>
    </r>
    <r>
      <rPr>
        <sz val="9"/>
        <color theme="1" tint="0.34998626667073579"/>
        <rFont val="Lucida Sans"/>
        <family val="2"/>
        <scheme val="minor"/>
      </rPr>
      <t xml:space="preserve">                           4BBB                                                     Mary Harris Memorial</t>
    </r>
  </si>
  <si>
    <t>Thursday Monthly Medal</t>
  </si>
  <si>
    <t>Single Stableford</t>
  </si>
  <si>
    <t>Monthly Medal                   Danny Woodfield Memorial</t>
  </si>
  <si>
    <t>Split Sixes</t>
  </si>
  <si>
    <t>Country Week</t>
  </si>
  <si>
    <r>
      <rPr>
        <b/>
        <sz val="9"/>
        <color theme="1" tint="0.34998626667073579"/>
        <rFont val="Lucida Sans"/>
        <family val="2"/>
        <scheme val="minor"/>
      </rPr>
      <t xml:space="preserve">Country Week </t>
    </r>
    <r>
      <rPr>
        <sz val="9"/>
        <color theme="1" tint="0.34998626667073579"/>
        <rFont val="Lucida Sans"/>
        <family val="2"/>
        <scheme val="minor"/>
      </rPr>
      <t xml:space="preserve">                     Open Medley Single Stableford</t>
    </r>
  </si>
  <si>
    <t>Hartball</t>
  </si>
  <si>
    <t>4BBB</t>
  </si>
  <si>
    <t>American Foresomes</t>
  </si>
  <si>
    <t xml:space="preserve">2 Person Ambrose </t>
  </si>
  <si>
    <t>Charity Day</t>
  </si>
  <si>
    <t xml:space="preserve">Teams Event                            4 Ball Aggregate </t>
  </si>
  <si>
    <r>
      <rPr>
        <sz val="9"/>
        <color theme="1" tint="0.34998626667073579"/>
        <rFont val="Lucida Sans"/>
        <family val="2"/>
        <scheme val="minor"/>
      </rPr>
      <t>Single Stableford</t>
    </r>
    <r>
      <rPr>
        <b/>
        <sz val="9"/>
        <color theme="1" tint="0.34998626667073579"/>
        <rFont val="Lucida Sans"/>
        <family val="2"/>
        <scheme val="minor"/>
      </rPr>
      <t xml:space="preserve">     </t>
    </r>
    <r>
      <rPr>
        <b/>
        <sz val="9"/>
        <color rgb="FFA11190"/>
        <rFont val="Lucida Sans"/>
        <family val="2"/>
        <scheme val="minor"/>
      </rPr>
      <t>Pink Ribbon Day</t>
    </r>
  </si>
  <si>
    <r>
      <t xml:space="preserve">Thursday Monthly Medal </t>
    </r>
    <r>
      <rPr>
        <b/>
        <sz val="9"/>
        <color theme="1" tint="0.34998626667073579"/>
        <rFont val="Lucida Sans"/>
        <family val="2"/>
        <scheme val="minor"/>
      </rPr>
      <t>FINAL</t>
    </r>
    <r>
      <rPr>
        <sz val="9"/>
        <color theme="1" tint="0.34998626667073579"/>
        <rFont val="Lucida Sans"/>
        <family val="2"/>
        <scheme val="minor"/>
      </rPr>
      <t xml:space="preserve"> </t>
    </r>
  </si>
  <si>
    <t>Lavarack Lives         Split Sixes</t>
  </si>
  <si>
    <r>
      <t xml:space="preserve">Christmas Team Breakup </t>
    </r>
    <r>
      <rPr>
        <sz val="9"/>
        <color theme="1" tint="0.34998626667073579"/>
        <rFont val="Lucida Sans"/>
        <family val="2"/>
        <scheme val="minor"/>
      </rPr>
      <t xml:space="preserve"> 4 Person Ambrose | 2x shotgun.</t>
    </r>
    <r>
      <rPr>
        <b/>
        <sz val="9"/>
        <color theme="1" tint="0.34998626667073579"/>
        <rFont val="Lucida Sans"/>
        <family val="2"/>
        <scheme val="minor"/>
      </rPr>
      <t xml:space="preserve">                     Junior Breakup</t>
    </r>
  </si>
  <si>
    <t>CLOSED</t>
  </si>
  <si>
    <r>
      <t xml:space="preserve">Single Stableford Memorial Day                                            </t>
    </r>
    <r>
      <rPr>
        <b/>
        <sz val="9"/>
        <color theme="1" tint="0.34998626667073579"/>
        <rFont val="Lucida Sans"/>
        <family val="2"/>
        <scheme val="minor"/>
      </rPr>
      <t>Junior Open</t>
    </r>
  </si>
  <si>
    <t xml:space="preserve">GNQ Women's Open Sat 21st &amp; Sun 22nd, Venue TBC                                                                  </t>
  </si>
  <si>
    <r>
      <t>Medley Single Stableford</t>
    </r>
    <r>
      <rPr>
        <b/>
        <sz val="9"/>
        <color rgb="FFFF0066"/>
        <rFont val="Lucida Sans"/>
        <family val="2"/>
        <scheme val="minor"/>
      </rPr>
      <t xml:space="preserve"> </t>
    </r>
  </si>
  <si>
    <r>
      <t xml:space="preserve">Women's Summer Comp                          9 Holes                                                 </t>
    </r>
    <r>
      <rPr>
        <b/>
        <sz val="9"/>
        <color theme="1" tint="0.34998626667073579"/>
        <rFont val="Lucida Sans"/>
        <family val="2"/>
        <scheme val="minor"/>
      </rPr>
      <t xml:space="preserve"> Zac's Day |40PAX | 9.30am shotgun</t>
    </r>
  </si>
  <si>
    <t>47th Men’s Rowes Bay Open Rd.1</t>
  </si>
  <si>
    <t>47th Men’s Rowes Bay Open Rd.2</t>
  </si>
  <si>
    <t>Mixed Foursomes Championships (27 Holes)</t>
  </si>
  <si>
    <t>Junior Season Commences | Saturday 8th February</t>
  </si>
  <si>
    <t xml:space="preserve">Vet's Season Open </t>
  </si>
  <si>
    <r>
      <t xml:space="preserve">Medley Single Stableford     </t>
    </r>
    <r>
      <rPr>
        <b/>
        <sz val="9"/>
        <color rgb="FFD60093"/>
        <rFont val="Lucida Sans"/>
        <family val="2"/>
        <scheme val="minor"/>
      </rPr>
      <t xml:space="preserve">    GJWHF</t>
    </r>
  </si>
  <si>
    <r>
      <t xml:space="preserve">Medley Single Stableford                             </t>
    </r>
    <r>
      <rPr>
        <b/>
        <sz val="9"/>
        <color rgb="FFD60093"/>
        <rFont val="Lucida Sans"/>
        <family val="2"/>
        <scheme val="minor"/>
      </rPr>
      <t>GJWHF</t>
    </r>
  </si>
  <si>
    <r>
      <t>Medley Single Stableford</t>
    </r>
    <r>
      <rPr>
        <b/>
        <sz val="9"/>
        <color rgb="FFFF0066"/>
        <rFont val="Lucida Sans"/>
        <family val="2"/>
        <scheme val="minor"/>
      </rPr>
      <t xml:space="preserve"> </t>
    </r>
    <r>
      <rPr>
        <b/>
        <sz val="9"/>
        <color theme="1" tint="0.34998626667073579"/>
        <rFont val="Lucida Sans"/>
        <family val="2"/>
        <scheme val="minor"/>
      </rPr>
      <t xml:space="preserve">                         </t>
    </r>
    <r>
      <rPr>
        <b/>
        <sz val="9"/>
        <color rgb="FFD60093"/>
        <rFont val="Lucida Sans"/>
        <family val="2"/>
        <scheme val="minor"/>
      </rPr>
      <t xml:space="preserve">     GJWHF</t>
    </r>
  </si>
  <si>
    <r>
      <t xml:space="preserve">Medley Single Stableford                            </t>
    </r>
    <r>
      <rPr>
        <b/>
        <sz val="9"/>
        <color rgb="FFD60093"/>
        <rFont val="Lucida Sans"/>
        <family val="2"/>
        <scheme val="minor"/>
      </rPr>
      <t xml:space="preserve">      GJWHF</t>
    </r>
  </si>
  <si>
    <r>
      <t xml:space="preserve">Medley Single Stableford                      </t>
    </r>
    <r>
      <rPr>
        <b/>
        <sz val="9"/>
        <color rgb="FFD60093"/>
        <rFont val="Lucida Sans"/>
        <family val="2"/>
        <scheme val="minor"/>
      </rPr>
      <t>GJWHF</t>
    </r>
  </si>
  <si>
    <r>
      <t xml:space="preserve">Medley Single Stableford                  </t>
    </r>
    <r>
      <rPr>
        <b/>
        <sz val="9"/>
        <color rgb="FFD60093"/>
        <rFont val="Lucida Sans"/>
        <family val="2"/>
        <scheme val="minor"/>
      </rPr>
      <t xml:space="preserve">   GJWHF</t>
    </r>
  </si>
  <si>
    <r>
      <t xml:space="preserve">Medley Single Stableford                                              </t>
    </r>
    <r>
      <rPr>
        <b/>
        <sz val="9"/>
        <color rgb="FFD60093"/>
        <rFont val="Lucida Sans"/>
        <family val="2"/>
        <scheme val="minor"/>
      </rPr>
      <t xml:space="preserve"> GJWHF</t>
    </r>
  </si>
  <si>
    <r>
      <t xml:space="preserve">Medley Single Stableford                                         </t>
    </r>
    <r>
      <rPr>
        <b/>
        <sz val="9"/>
        <color rgb="FFD60093"/>
        <rFont val="Lucida Sans"/>
        <family val="2"/>
        <scheme val="minor"/>
      </rPr>
      <t xml:space="preserve"> GJWHF XMAS BREAKUP</t>
    </r>
  </si>
  <si>
    <t>Country Week. Southport GC Monday 28th to Wednesday 30th                                                                                    Rowes Bay Junior Open. Thursday 10th April.                                                               Part of the Townsville Junior Classic which is a 3 day event with Townsville, Rowes Bay and Mystic Sands. </t>
  </si>
  <si>
    <t xml:space="preserve">Medley Single Stableford     </t>
  </si>
  <si>
    <r>
      <t xml:space="preserve">Sunday BBQ Party &amp; Shootout                                                                         </t>
    </r>
    <r>
      <rPr>
        <sz val="9"/>
        <color theme="1" tint="0.34998626667073579"/>
        <rFont val="Lucida Sans"/>
        <family val="2"/>
        <scheme val="minor"/>
      </rPr>
      <t xml:space="preserve">  10.30am Shotgun, Single Stab</t>
    </r>
  </si>
  <si>
    <t>Women's Pennants | Saturday 26th &amp; Sunday 27th                                                                                                        Mick &amp; Noreen Owen's Memorial held in conjunction with 5th &amp; 19th Champs Dates</t>
  </si>
  <si>
    <t>PAYNTERS</t>
  </si>
  <si>
    <t xml:space="preserve">NQ Open | 17th &amp; 18th May @ RBGC                                                                                          Bowen Mens Open | Sunday 11th                                                                                                                                                  </t>
  </si>
  <si>
    <t>NQ Men's Open</t>
  </si>
  <si>
    <t>KINGS BIRTHDAY</t>
  </si>
  <si>
    <t>Battle of the Bays                          47th Women's Open</t>
  </si>
  <si>
    <t>ROSE BOWL @ TSV</t>
  </si>
  <si>
    <t>Canadian Foresomes</t>
  </si>
  <si>
    <t xml:space="preserve">Monthly Medal </t>
  </si>
  <si>
    <r>
      <t xml:space="preserve">Teams Event                          4BBB                                                     </t>
    </r>
    <r>
      <rPr>
        <b/>
        <sz val="9"/>
        <color rgb="FFD60093"/>
        <rFont val="Lucida Sans"/>
        <family val="2"/>
        <scheme val="minor"/>
      </rPr>
      <t>Pink Ribbon Day</t>
    </r>
  </si>
  <si>
    <t xml:space="preserve">2 Person Ambrose    </t>
  </si>
  <si>
    <r>
      <t xml:space="preserve">Single Stableford, NOON Shotgun start, 18 HOLES                         </t>
    </r>
    <r>
      <rPr>
        <b/>
        <sz val="9"/>
        <color theme="1" tint="0.34998626667073579"/>
        <rFont val="Lucida Sans"/>
        <family val="2"/>
        <scheme val="minor"/>
      </rPr>
      <t xml:space="preserve">  Ladies AGM @ 5.00pm</t>
    </r>
  </si>
  <si>
    <t>Single Stableford, 9.00am, 9 HOLES                     PRESENTATION NIGHT</t>
  </si>
  <si>
    <t xml:space="preserve">Women's Christmas Breakup </t>
  </si>
  <si>
    <t>Rose Bowl Rd 2  @ RBGC</t>
  </si>
  <si>
    <t>Delta Challenge Rd 1 - Sunday 12th</t>
  </si>
  <si>
    <r>
      <t xml:space="preserve">Medley Single Stableford                </t>
    </r>
    <r>
      <rPr>
        <b/>
        <sz val="9"/>
        <color theme="1" tint="0.34998626667073579"/>
        <rFont val="Lucida Sans"/>
        <family val="2"/>
        <scheme val="minor"/>
      </rPr>
      <t>Foundation Day</t>
    </r>
  </si>
  <si>
    <t xml:space="preserve">28/9/1965 - FOUNDATION DAY 60 years since foundation </t>
  </si>
  <si>
    <t>Anzac Event               (Ladies Comp on Wed 23rd)</t>
  </si>
  <si>
    <t>Men's Pennants | Saturday 16th &amp; Sunday 17th                                                        47th Men’s Rowes Bay Open Rd.1 Saturday 30th, Rd.2 Sunday 31st</t>
  </si>
  <si>
    <r>
      <t xml:space="preserve">Medley Single Stableford              </t>
    </r>
    <r>
      <rPr>
        <b/>
        <sz val="9"/>
        <color theme="6" tint="-0.249977111117893"/>
        <rFont val="Lucida Sans"/>
        <family val="2"/>
        <scheme val="minor"/>
      </rPr>
      <t xml:space="preserve"> </t>
    </r>
    <r>
      <rPr>
        <b/>
        <sz val="9"/>
        <color theme="1" tint="0.34998626667073579"/>
        <rFont val="Lucida Sans"/>
        <family val="2"/>
        <scheme val="minor"/>
      </rPr>
      <t xml:space="preserve">           </t>
    </r>
    <r>
      <rPr>
        <b/>
        <sz val="9"/>
        <color rgb="FFD60093"/>
        <rFont val="Lucida Sans"/>
        <family val="2"/>
        <scheme val="minor"/>
      </rPr>
      <t>GJWHF</t>
    </r>
  </si>
  <si>
    <r>
      <t xml:space="preserve">Medley Single Stableford                                       </t>
    </r>
    <r>
      <rPr>
        <b/>
        <sz val="9"/>
        <color theme="6" tint="-0.249977111117893"/>
        <rFont val="Lucida Sans"/>
        <family val="2"/>
        <scheme val="minor"/>
      </rPr>
      <t xml:space="preserve">RPM - Par 3  </t>
    </r>
  </si>
  <si>
    <t>HAYMANS FAIRFIELD</t>
  </si>
  <si>
    <t>MASTER BUILDERS</t>
  </si>
  <si>
    <t>Sticky's Beer Garden Reveal?</t>
  </si>
  <si>
    <t>SURVIVOR GOLF</t>
  </si>
  <si>
    <t>RJG GOLF DAY</t>
  </si>
  <si>
    <t>LASSE RASCH</t>
  </si>
  <si>
    <t>Christmas Breakup - 2 x shotgun starts, 2 x drinkscarts on course.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</si>
</sst>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36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9"/>
      <color theme="1" tint="0.34998626667073579"/>
      <name val="Lucida Sans"/>
      <family val="2"/>
      <scheme val="minor"/>
    </font>
    <font>
      <i/>
      <sz val="9"/>
      <color theme="1" tint="0.34998626667073579"/>
      <name val="Lucida Sans"/>
      <family val="2"/>
      <scheme val="minor"/>
    </font>
    <font>
      <sz val="9"/>
      <color theme="1" tint="0.24994659260841701"/>
      <name val="Lucida Sans"/>
      <family val="2"/>
      <scheme val="minor"/>
    </font>
    <font>
      <sz val="9"/>
      <color theme="1" tint="0.34998626667073579"/>
      <name val="Lucida Sans"/>
      <family val="2"/>
      <scheme val="minor"/>
    </font>
    <font>
      <b/>
      <sz val="9"/>
      <color theme="6" tint="-0.249977111117893"/>
      <name val="Lucida Sans"/>
      <family val="2"/>
      <scheme val="minor"/>
    </font>
    <font>
      <b/>
      <sz val="9"/>
      <color theme="0"/>
      <name val="Lucida Sans"/>
      <family val="2"/>
      <scheme val="minor"/>
    </font>
    <font>
      <b/>
      <sz val="9"/>
      <color theme="1" tint="0.24994659260841701"/>
      <name val="Lucida Sans"/>
      <family val="2"/>
      <scheme val="minor"/>
    </font>
    <font>
      <b/>
      <sz val="8"/>
      <color theme="1" tint="0.34998626667073579"/>
      <name val="Lucida Sans"/>
      <family val="2"/>
      <scheme val="minor"/>
    </font>
    <font>
      <b/>
      <sz val="9"/>
      <color theme="1" tint="0.34998626667073579"/>
      <name val="Lucida Sans"/>
      <family val="2"/>
      <charset val="238"/>
      <scheme val="minor"/>
    </font>
    <font>
      <b/>
      <sz val="9"/>
      <color rgb="FFFF0066"/>
      <name val="Lucida Sans"/>
      <family val="2"/>
      <scheme val="minor"/>
    </font>
    <font>
      <b/>
      <sz val="9"/>
      <color rgb="FFA11190"/>
      <name val="Lucida Sans"/>
      <family val="2"/>
      <scheme val="minor"/>
    </font>
    <font>
      <sz val="9"/>
      <color theme="0"/>
      <name val="Lucida Sans"/>
      <family val="2"/>
      <scheme val="minor"/>
    </font>
    <font>
      <b/>
      <sz val="9"/>
      <color rgb="FFD60093"/>
      <name val="Lucida Sans"/>
      <family val="2"/>
      <scheme val="minor"/>
    </font>
    <font>
      <b/>
      <sz val="10"/>
      <color theme="1" tint="0.24994659260841701"/>
      <name val="Lucida Sans"/>
      <family val="2"/>
      <scheme val="minor"/>
    </font>
    <font>
      <b/>
      <sz val="10"/>
      <color theme="1" tint="0.34998626667073579"/>
      <name val="Lucida Sans"/>
      <family val="2"/>
      <scheme val="minor"/>
    </font>
    <font>
      <b/>
      <sz val="9"/>
      <color rgb="FF0070C0"/>
      <name val="Lucida Sans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1119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30A0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8" fontId="9" fillId="7" borderId="0">
      <alignment horizontal="left" wrapText="1" indent="1"/>
    </xf>
    <xf numFmtId="168" fontId="13" fillId="0" borderId="0">
      <alignment horizontal="left" indent="1"/>
    </xf>
    <xf numFmtId="0" fontId="12" fillId="0" borderId="0" applyAlignment="0">
      <alignment horizontal="left"/>
    </xf>
  </cellStyleXfs>
  <cellXfs count="12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8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8" fontId="9" fillId="7" borderId="0" xfId="16">
      <alignment horizontal="left" wrapText="1" indent="1"/>
    </xf>
    <xf numFmtId="168" fontId="13" fillId="0" borderId="0" xfId="17">
      <alignment horizontal="left" indent="1"/>
    </xf>
    <xf numFmtId="0" fontId="12" fillId="0" borderId="0" xfId="18" applyAlignment="1">
      <alignment horizontal="left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8" fontId="20" fillId="0" borderId="0" xfId="17" applyFont="1">
      <alignment horizontal="left" indent="1"/>
    </xf>
    <xf numFmtId="168" fontId="20" fillId="7" borderId="0" xfId="16" applyFont="1">
      <alignment horizontal="left" wrapText="1" indent="1"/>
    </xf>
    <xf numFmtId="168" fontId="21" fillId="8" borderId="5" xfId="0" applyNumberFormat="1" applyFont="1" applyFill="1" applyBorder="1" applyAlignment="1">
      <alignment horizontal="left" indent="1"/>
    </xf>
    <xf numFmtId="0" fontId="20" fillId="8" borderId="8" xfId="11" applyFont="1" applyFill="1" applyBorder="1" applyAlignment="1">
      <alignment vertical="top" wrapText="1"/>
    </xf>
    <xf numFmtId="168" fontId="20" fillId="0" borderId="0" xfId="17" applyFont="1" applyAlignment="1">
      <alignment horizontal="center" vertical="center"/>
    </xf>
    <xf numFmtId="168" fontId="20" fillId="0" borderId="0" xfId="17" applyFont="1" applyAlignment="1">
      <alignment horizontal="center" vertical="center" wrapText="1"/>
    </xf>
    <xf numFmtId="168" fontId="20" fillId="7" borderId="0" xfId="16" applyFont="1" applyAlignment="1">
      <alignment horizontal="center" vertical="center" wrapText="1"/>
    </xf>
    <xf numFmtId="168" fontId="20" fillId="21" borderId="0" xfId="17" applyFont="1" applyFill="1">
      <alignment horizontal="left" indent="1"/>
    </xf>
    <xf numFmtId="168" fontId="13" fillId="21" borderId="0" xfId="17" applyFill="1">
      <alignment horizontal="left" indent="1"/>
    </xf>
    <xf numFmtId="168" fontId="23" fillId="0" borderId="0" xfId="17" applyFont="1" applyAlignment="1">
      <alignment horizontal="center" vertical="center" wrapText="1"/>
    </xf>
    <xf numFmtId="168" fontId="9" fillId="22" borderId="0" xfId="16" applyFill="1">
      <alignment horizontal="left" wrapText="1" indent="1"/>
    </xf>
    <xf numFmtId="168" fontId="20" fillId="23" borderId="0" xfId="17" applyFont="1" applyFill="1" applyAlignment="1">
      <alignment horizontal="center" vertical="center" wrapText="1"/>
    </xf>
    <xf numFmtId="168" fontId="9" fillId="24" borderId="0" xfId="16" applyFill="1">
      <alignment horizontal="left" wrapText="1" indent="1"/>
    </xf>
    <xf numFmtId="168" fontId="13" fillId="28" borderId="0" xfId="17" applyFill="1">
      <alignment horizontal="left" indent="1"/>
    </xf>
    <xf numFmtId="168" fontId="9" fillId="28" borderId="0" xfId="16" applyFill="1">
      <alignment horizontal="left" wrapText="1" indent="1"/>
    </xf>
    <xf numFmtId="168" fontId="23" fillId="7" borderId="0" xfId="17" applyFont="1" applyFill="1" applyAlignment="1">
      <alignment horizontal="center" vertical="center" wrapText="1"/>
    </xf>
    <xf numFmtId="168" fontId="20" fillId="7" borderId="0" xfId="17" applyFont="1" applyFill="1" applyAlignment="1">
      <alignment horizontal="center" vertical="center" wrapText="1"/>
    </xf>
    <xf numFmtId="0" fontId="22" fillId="0" borderId="0" xfId="0" applyFont="1">
      <alignment vertical="top"/>
    </xf>
    <xf numFmtId="168" fontId="23" fillId="0" borderId="0" xfId="16" applyFont="1" applyFill="1" applyAlignment="1">
      <alignment horizontal="center" vertical="center" wrapText="1"/>
    </xf>
    <xf numFmtId="168" fontId="23" fillId="7" borderId="0" xfId="16" applyFont="1" applyAlignment="1">
      <alignment horizontal="center" vertical="center" wrapText="1"/>
    </xf>
    <xf numFmtId="168" fontId="25" fillId="27" borderId="0" xfId="17" applyFont="1" applyFill="1" applyAlignment="1">
      <alignment horizontal="center" vertical="center" wrapText="1"/>
    </xf>
    <xf numFmtId="168" fontId="25" fillId="25" borderId="0" xfId="17" applyFont="1" applyFill="1" applyAlignment="1">
      <alignment horizontal="center" vertical="center"/>
    </xf>
    <xf numFmtId="168" fontId="25" fillId="25" borderId="0" xfId="17" applyFont="1" applyFill="1" applyAlignment="1">
      <alignment horizontal="center" vertical="center" wrapText="1"/>
    </xf>
    <xf numFmtId="0" fontId="25" fillId="26" borderId="0" xfId="0" applyFont="1" applyFill="1" applyAlignment="1">
      <alignment horizontal="center" vertical="center" wrapText="1"/>
    </xf>
    <xf numFmtId="168" fontId="20" fillId="7" borderId="0" xfId="17" applyFont="1" applyFill="1" applyAlignment="1">
      <alignment horizontal="center" vertical="center"/>
    </xf>
    <xf numFmtId="0" fontId="26" fillId="0" borderId="0" xfId="13" applyFont="1" applyAlignment="1">
      <alignment horizontal="right" vertical="top"/>
    </xf>
    <xf numFmtId="0" fontId="23" fillId="0" borderId="0" xfId="18" applyFont="1" applyAlignment="1">
      <alignment horizontal="left" vertical="top"/>
    </xf>
    <xf numFmtId="0" fontId="22" fillId="2" borderId="0" xfId="0" applyFont="1" applyFill="1" applyAlignment="1">
      <alignment horizontal="right"/>
    </xf>
    <xf numFmtId="168" fontId="27" fillId="0" borderId="0" xfId="17" applyFont="1" applyAlignment="1">
      <alignment horizontal="center" vertical="center" wrapText="1"/>
    </xf>
    <xf numFmtId="168" fontId="27" fillId="7" borderId="0" xfId="17" applyFont="1" applyFill="1" applyAlignment="1">
      <alignment horizontal="center" vertical="center" wrapText="1"/>
    </xf>
    <xf numFmtId="0" fontId="6" fillId="8" borderId="8" xfId="11" applyFont="1" applyFill="1" applyBorder="1" applyAlignment="1">
      <alignment vertical="top" wrapText="1"/>
    </xf>
    <xf numFmtId="168" fontId="24" fillId="23" borderId="0" xfId="17" applyFont="1" applyFill="1" applyAlignment="1">
      <alignment horizontal="center" vertical="center" wrapText="1"/>
    </xf>
    <xf numFmtId="168" fontId="24" fillId="0" borderId="0" xfId="17" applyFont="1" applyAlignment="1">
      <alignment horizontal="center" vertical="center" wrapText="1"/>
    </xf>
    <xf numFmtId="168" fontId="23" fillId="7" borderId="0" xfId="16" applyFont="1" applyAlignment="1">
      <alignment horizontal="left" vertical="center" wrapText="1" indent="1"/>
    </xf>
    <xf numFmtId="168" fontId="23" fillId="0" borderId="0" xfId="17" applyFont="1" applyAlignment="1">
      <alignment horizontal="center" vertical="center"/>
    </xf>
    <xf numFmtId="168" fontId="28" fillId="0" borderId="0" xfId="17" applyFont="1" applyAlignment="1">
      <alignment horizontal="center" vertical="center"/>
    </xf>
    <xf numFmtId="168" fontId="23" fillId="0" borderId="0" xfId="16" applyFont="1" applyFill="1" applyAlignment="1">
      <alignment horizontal="left" vertical="center" wrapText="1" indent="1"/>
    </xf>
    <xf numFmtId="168" fontId="6" fillId="7" borderId="0" xfId="17" applyFont="1" applyFill="1" applyAlignment="1">
      <alignment horizontal="center" vertical="center"/>
    </xf>
    <xf numFmtId="168" fontId="23" fillId="7" borderId="0" xfId="17" applyFont="1" applyFill="1" applyAlignment="1">
      <alignment horizontal="center" vertical="center"/>
    </xf>
    <xf numFmtId="168" fontId="20" fillId="0" borderId="0" xfId="16" applyFont="1" applyFill="1" applyAlignment="1">
      <alignment horizontal="center" vertical="center" wrapText="1"/>
    </xf>
    <xf numFmtId="168" fontId="20" fillId="7" borderId="0" xfId="16" applyFont="1" applyAlignment="1">
      <alignment horizontal="left" vertical="center" wrapText="1" indent="1"/>
    </xf>
    <xf numFmtId="0" fontId="31" fillId="0" borderId="0" xfId="0" applyFont="1">
      <alignment vertical="top"/>
    </xf>
    <xf numFmtId="0" fontId="33" fillId="0" borderId="0" xfId="0" applyFont="1" applyAlignment="1">
      <alignment vertical="center"/>
    </xf>
    <xf numFmtId="168" fontId="34" fillId="0" borderId="0" xfId="17" applyFont="1" applyAlignment="1">
      <alignment horizontal="center" vertical="center" wrapText="1"/>
    </xf>
    <xf numFmtId="168" fontId="9" fillId="19" borderId="0" xfId="16" applyFill="1">
      <alignment horizontal="left" wrapText="1" indent="1"/>
    </xf>
    <xf numFmtId="168" fontId="20" fillId="0" borderId="0" xfId="17" applyFont="1" applyAlignment="1">
      <alignment horizontal="left" vertical="center" indent="1"/>
    </xf>
    <xf numFmtId="168" fontId="25" fillId="26" borderId="0" xfId="17" applyFont="1" applyFill="1" applyAlignment="1">
      <alignment horizontal="center" vertical="center"/>
    </xf>
    <xf numFmtId="168" fontId="24" fillId="0" borderId="0" xfId="17" applyFont="1" applyAlignment="1">
      <alignment horizontal="center" vertical="center"/>
    </xf>
    <xf numFmtId="168" fontId="24" fillId="7" borderId="0" xfId="16" applyFont="1" applyAlignment="1">
      <alignment horizontal="center" vertical="center" wrapText="1"/>
    </xf>
    <xf numFmtId="168" fontId="20" fillId="8" borderId="0" xfId="17" applyFont="1" applyFill="1" applyAlignment="1">
      <alignment horizontal="center" vertical="center" wrapText="1"/>
    </xf>
    <xf numFmtId="168" fontId="24" fillId="7" borderId="0" xfId="17" applyFont="1" applyFill="1" applyAlignment="1">
      <alignment horizontal="center" vertical="center" wrapText="1"/>
    </xf>
    <xf numFmtId="168" fontId="35" fillId="23" borderId="0" xfId="16" applyFont="1" applyFill="1" applyAlignment="1">
      <alignment horizontal="center" vertical="center" wrapText="1"/>
    </xf>
    <xf numFmtId="0" fontId="22" fillId="0" borderId="0" xfId="0" applyFont="1" applyAlignment="1">
      <alignment horizontal="center" vertical="top" wrapText="1"/>
    </xf>
    <xf numFmtId="168" fontId="25" fillId="30" borderId="0" xfId="17" applyFont="1" applyFill="1" applyAlignment="1">
      <alignment horizontal="center" vertical="center" wrapText="1"/>
    </xf>
    <xf numFmtId="168" fontId="20" fillId="29" borderId="0" xfId="17" applyFont="1" applyFill="1" applyAlignment="1">
      <alignment horizontal="left" vertical="center" indent="1"/>
    </xf>
    <xf numFmtId="0" fontId="22" fillId="8" borderId="6" xfId="0" applyFont="1" applyFill="1" applyBorder="1">
      <alignment vertical="top"/>
    </xf>
    <xf numFmtId="0" fontId="22" fillId="8" borderId="7" xfId="0" applyFont="1" applyFill="1" applyBorder="1">
      <alignment vertical="top"/>
    </xf>
    <xf numFmtId="0" fontId="22" fillId="8" borderId="9" xfId="0" applyFont="1" applyFill="1" applyBorder="1">
      <alignment vertical="top"/>
    </xf>
    <xf numFmtId="0" fontId="22" fillId="8" borderId="10" xfId="0" applyFont="1" applyFill="1" applyBorder="1">
      <alignment vertical="top"/>
    </xf>
    <xf numFmtId="0" fontId="15" fillId="0" borderId="4" xfId="15" applyAlignment="1">
      <alignment horizontal="center" vertical="center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0" fillId="8" borderId="6" xfId="0" applyFill="1" applyBorder="1" applyAlignment="1">
      <alignment vertical="top" wrapText="1"/>
    </xf>
    <xf numFmtId="0" fontId="0" fillId="8" borderId="7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0" fontId="0" fillId="8" borderId="10" xfId="0" applyFill="1" applyBorder="1" applyAlignment="1">
      <alignment vertical="top" wrapTex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D60093"/>
      <color rgb="FF990099"/>
      <color rgb="FF00FFFF"/>
      <color rgb="FFFF0066"/>
      <color rgb="FFFF3399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1233055</xdr:colOff>
      <xdr:row>8</xdr:row>
      <xdr:rowOff>74221</xdr:rowOff>
    </xdr:from>
    <xdr:to>
      <xdr:col>7</xdr:col>
      <xdr:colOff>11722</xdr:colOff>
      <xdr:row>9</xdr:row>
      <xdr:rowOff>94806</xdr:rowOff>
    </xdr:to>
    <xdr:pic>
      <xdr:nvPicPr>
        <xdr:cNvPr id="2" name="Picture 1" descr="North Queensland Toyota Cowboys | LinkedIn">
          <a:extLst>
            <a:ext uri="{FF2B5EF4-FFF2-40B4-BE49-F238E27FC236}">
              <a16:creationId xmlns:a16="http://schemas.microsoft.com/office/drawing/2014/main" id="{214CBF0A-2733-45B5-85FF-E1B601FE6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3684" y="4003964"/>
          <a:ext cx="270009" cy="2600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1225261</xdr:colOff>
      <xdr:row>4</xdr:row>
      <xdr:rowOff>27709</xdr:rowOff>
    </xdr:from>
    <xdr:to>
      <xdr:col>7</xdr:col>
      <xdr:colOff>4794</xdr:colOff>
      <xdr:row>5</xdr:row>
      <xdr:rowOff>48293</xdr:rowOff>
    </xdr:to>
    <xdr:pic>
      <xdr:nvPicPr>
        <xdr:cNvPr id="2" name="Picture 1" descr="North Queensland Toyota Cowboys | LinkedIn">
          <a:extLst>
            <a:ext uri="{FF2B5EF4-FFF2-40B4-BE49-F238E27FC236}">
              <a16:creationId xmlns:a16="http://schemas.microsoft.com/office/drawing/2014/main" id="{BEC68CA3-7955-40D8-973F-84767504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2899" y="2027959"/>
          <a:ext cx="274958" cy="2634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1224091</xdr:colOff>
      <xdr:row>6</xdr:row>
      <xdr:rowOff>42379</xdr:rowOff>
    </xdr:from>
    <xdr:to>
      <xdr:col>7</xdr:col>
      <xdr:colOff>2758</xdr:colOff>
      <xdr:row>7</xdr:row>
      <xdr:rowOff>62963</xdr:rowOff>
    </xdr:to>
    <xdr:pic>
      <xdr:nvPicPr>
        <xdr:cNvPr id="3" name="Picture 2" descr="North Queensland Toyota Cowboys | LinkedIn">
          <a:extLst>
            <a:ext uri="{FF2B5EF4-FFF2-40B4-BE49-F238E27FC236}">
              <a16:creationId xmlns:a16="http://schemas.microsoft.com/office/drawing/2014/main" id="{5A992DDB-FE12-4B15-A78D-BD84BCFC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6491" y="3018661"/>
          <a:ext cx="275773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1215737</xdr:colOff>
      <xdr:row>10</xdr:row>
      <xdr:rowOff>41564</xdr:rowOff>
    </xdr:from>
    <xdr:to>
      <xdr:col>6</xdr:col>
      <xdr:colOff>1490695</xdr:colOff>
      <xdr:row>11</xdr:row>
      <xdr:rowOff>62148</xdr:rowOff>
    </xdr:to>
    <xdr:pic>
      <xdr:nvPicPr>
        <xdr:cNvPr id="4" name="Picture 3" descr="North Queensland Toyota Cowboys | LinkedIn">
          <a:extLst>
            <a:ext uri="{FF2B5EF4-FFF2-40B4-BE49-F238E27FC236}">
              <a16:creationId xmlns:a16="http://schemas.microsoft.com/office/drawing/2014/main" id="{FE75FEF5-73D2-440A-95C4-28388ACD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3375" y="4970752"/>
          <a:ext cx="274958" cy="2634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1215737</xdr:colOff>
      <xdr:row>2</xdr:row>
      <xdr:rowOff>41564</xdr:rowOff>
    </xdr:from>
    <xdr:ext cx="274958" cy="262631"/>
    <xdr:pic>
      <xdr:nvPicPr>
        <xdr:cNvPr id="5" name="Picture 4" descr="North Queensland Toyota Cowboys | LinkedIn">
          <a:extLst>
            <a:ext uri="{FF2B5EF4-FFF2-40B4-BE49-F238E27FC236}">
              <a16:creationId xmlns:a16="http://schemas.microsoft.com/office/drawing/2014/main" id="{6C132DA8-375F-446C-8212-B06CD1128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8137" y="4972152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1191490</xdr:colOff>
      <xdr:row>6</xdr:row>
      <xdr:rowOff>27709</xdr:rowOff>
    </xdr:from>
    <xdr:to>
      <xdr:col>6</xdr:col>
      <xdr:colOff>1466448</xdr:colOff>
      <xdr:row>7</xdr:row>
      <xdr:rowOff>40958</xdr:rowOff>
    </xdr:to>
    <xdr:pic>
      <xdr:nvPicPr>
        <xdr:cNvPr id="2" name="Picture 1" descr="North Queensland Toyota Cowboys | LinkedIn">
          <a:extLst>
            <a:ext uri="{FF2B5EF4-FFF2-40B4-BE49-F238E27FC236}">
              <a16:creationId xmlns:a16="http://schemas.microsoft.com/office/drawing/2014/main" id="{30AA72ED-9069-4EFA-A810-6D62AA515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890" y="3020291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1197427</xdr:colOff>
      <xdr:row>2</xdr:row>
      <xdr:rowOff>54428</xdr:rowOff>
    </xdr:from>
    <xdr:to>
      <xdr:col>6</xdr:col>
      <xdr:colOff>1472385</xdr:colOff>
      <xdr:row>3</xdr:row>
      <xdr:rowOff>77573</xdr:rowOff>
    </xdr:to>
    <xdr:pic>
      <xdr:nvPicPr>
        <xdr:cNvPr id="3" name="Picture 2" descr="North Queensland Toyota Cowboys | LinkedIn">
          <a:extLst>
            <a:ext uri="{FF2B5EF4-FFF2-40B4-BE49-F238E27FC236}">
              <a16:creationId xmlns:a16="http://schemas.microsoft.com/office/drawing/2014/main" id="{111529E5-6DC9-46C9-AA79-E37463992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8056" y="1077685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1208313</xdr:colOff>
      <xdr:row>4</xdr:row>
      <xdr:rowOff>54427</xdr:rowOff>
    </xdr:from>
    <xdr:to>
      <xdr:col>6</xdr:col>
      <xdr:colOff>1483271</xdr:colOff>
      <xdr:row>5</xdr:row>
      <xdr:rowOff>77573</xdr:rowOff>
    </xdr:to>
    <xdr:pic>
      <xdr:nvPicPr>
        <xdr:cNvPr id="4" name="Picture 3" descr="North Queensland Toyota Cowboys | LinkedIn">
          <a:extLst>
            <a:ext uri="{FF2B5EF4-FFF2-40B4-BE49-F238E27FC236}">
              <a16:creationId xmlns:a16="http://schemas.microsoft.com/office/drawing/2014/main" id="{C73D8034-B422-4EAA-A747-A692E9D9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8942" y="2046513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1132113</xdr:colOff>
      <xdr:row>8</xdr:row>
      <xdr:rowOff>43541</xdr:rowOff>
    </xdr:from>
    <xdr:to>
      <xdr:col>5</xdr:col>
      <xdr:colOff>1407071</xdr:colOff>
      <xdr:row>9</xdr:row>
      <xdr:rowOff>66686</xdr:rowOff>
    </xdr:to>
    <xdr:pic>
      <xdr:nvPicPr>
        <xdr:cNvPr id="5" name="Picture 4" descr="North Queensland Toyota Cowboys | LinkedIn">
          <a:extLst>
            <a:ext uri="{FF2B5EF4-FFF2-40B4-BE49-F238E27FC236}">
              <a16:creationId xmlns:a16="http://schemas.microsoft.com/office/drawing/2014/main" id="{181C4A15-6D2C-4914-B4E8-C5F83B48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91399" y="3973284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1164772</xdr:colOff>
      <xdr:row>6</xdr:row>
      <xdr:rowOff>65314</xdr:rowOff>
    </xdr:from>
    <xdr:to>
      <xdr:col>7</xdr:col>
      <xdr:colOff>1439730</xdr:colOff>
      <xdr:row>7</xdr:row>
      <xdr:rowOff>88459</xdr:rowOff>
    </xdr:to>
    <xdr:pic>
      <xdr:nvPicPr>
        <xdr:cNvPr id="2" name="Picture 1" descr="North Queensland Toyota Cowboys | LinkedIn">
          <a:extLst>
            <a:ext uri="{FF2B5EF4-FFF2-40B4-BE49-F238E27FC236}">
              <a16:creationId xmlns:a16="http://schemas.microsoft.com/office/drawing/2014/main" id="{A86C8CB9-D639-4B7D-A35D-E08DDEFA1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06743" y="3026228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1273629</xdr:colOff>
      <xdr:row>11</xdr:row>
      <xdr:rowOff>0</xdr:rowOff>
    </xdr:from>
    <xdr:to>
      <xdr:col>7</xdr:col>
      <xdr:colOff>57245</xdr:colOff>
      <xdr:row>11</xdr:row>
      <xdr:rowOff>262631</xdr:rowOff>
    </xdr:to>
    <xdr:pic>
      <xdr:nvPicPr>
        <xdr:cNvPr id="3" name="Picture 2" descr="North Queensland Toyota Cowboys | LinkedIn">
          <a:extLst>
            <a:ext uri="{FF2B5EF4-FFF2-40B4-BE49-F238E27FC236}">
              <a16:creationId xmlns:a16="http://schemas.microsoft.com/office/drawing/2014/main" id="{2FA71306-DD40-4C53-8BBD-36BE16A5F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4258" y="5138057"/>
          <a:ext cx="274958" cy="2626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="55" zoomScaleNormal="55" workbookViewId="0">
      <selection activeCell="P22" sqref="P22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2.81640625" customWidth="1"/>
    <col min="11" max="11" width="13.81640625" customWidth="1"/>
  </cols>
  <sheetData>
    <row r="1" spans="1:11" s="1" customFormat="1" ht="60" customHeight="1">
      <c r="A1"/>
      <c r="B1" s="14" t="str">
        <f>"January "&amp;CalendarYear</f>
        <v>January 2025</v>
      </c>
      <c r="C1" s="15"/>
      <c r="D1" s="15"/>
      <c r="E1" s="16"/>
      <c r="F1" s="16"/>
      <c r="G1" s="16"/>
      <c r="H1" s="17"/>
    </row>
    <row r="2" spans="1:11" s="2" customFormat="1" ht="21.75" customHeight="1">
      <c r="A2"/>
      <c r="B2" s="5" t="str">
        <f>WeekStart</f>
        <v>MONDAY</v>
      </c>
      <c r="C2" s="5" t="str">
        <f t="shared" ref="C2:H2" si="0">UPPER(TEXT(C3,"dddd"))</f>
        <v>TUESDAY</v>
      </c>
      <c r="D2" s="5" t="str">
        <f>UPPER(TEXT(D3,"dddd"))</f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  <c r="J2" s="119" t="s">
        <v>3</v>
      </c>
      <c r="K2" s="119"/>
    </row>
    <row r="3" spans="1:11" s="3" customFormat="1" ht="19.5" customHeight="1">
      <c r="A3"/>
      <c r="B3" s="10">
        <f t="array" ref="B3:H3">DaysAndWeeks+DATE(CalendarYear,1,1)-WEEKDAY(DATE(CalendarYear,1,1),(WeekStart="Monday")+1)+1</f>
        <v>45656</v>
      </c>
      <c r="C3" s="10">
        <v>45657</v>
      </c>
      <c r="D3" s="68">
        <v>45658</v>
      </c>
      <c r="E3" s="10">
        <v>45659</v>
      </c>
      <c r="F3" s="10">
        <v>45660</v>
      </c>
      <c r="G3" s="10">
        <v>45661</v>
      </c>
      <c r="H3" s="10">
        <v>45662</v>
      </c>
      <c r="J3" s="6" t="s">
        <v>1</v>
      </c>
      <c r="K3" s="11">
        <v>2025</v>
      </c>
    </row>
    <row r="4" spans="1:11" s="77" customFormat="1" ht="57.9" customHeight="1">
      <c r="B4" s="60"/>
      <c r="C4" s="60"/>
      <c r="D4" s="65" t="s">
        <v>11</v>
      </c>
      <c r="E4" s="60"/>
      <c r="F4" s="60"/>
      <c r="G4" s="64" t="s">
        <v>19</v>
      </c>
      <c r="H4" s="65" t="s">
        <v>5</v>
      </c>
      <c r="J4" s="85" t="s">
        <v>2</v>
      </c>
      <c r="K4" s="86" t="s">
        <v>4</v>
      </c>
    </row>
    <row r="5" spans="1:11" s="3" customFormat="1" ht="19.5" customHeight="1">
      <c r="A5"/>
      <c r="B5" s="61">
        <f t="array" ref="B5:H5">DaysAndWeeks+DATE(CalendarYear,1,1)-WEEKDAY(DATE(CalendarYear,1,1),(WeekStart="Monday")+1)+8</f>
        <v>45663</v>
      </c>
      <c r="C5" s="61">
        <v>45664</v>
      </c>
      <c r="D5" s="61">
        <v>45665</v>
      </c>
      <c r="E5" s="61">
        <v>45666</v>
      </c>
      <c r="F5" s="61">
        <v>45667</v>
      </c>
      <c r="G5" s="61">
        <v>45668</v>
      </c>
      <c r="H5" s="61">
        <v>45669</v>
      </c>
    </row>
    <row r="6" spans="1:11" s="77" customFormat="1" ht="57.9" customHeight="1">
      <c r="B6" s="61"/>
      <c r="C6" s="61"/>
      <c r="D6" s="75" t="s">
        <v>12</v>
      </c>
      <c r="E6" s="61"/>
      <c r="F6" s="61"/>
      <c r="G6" s="75" t="s">
        <v>5</v>
      </c>
      <c r="H6" s="76" t="s">
        <v>5</v>
      </c>
      <c r="J6" s="87"/>
    </row>
    <row r="7" spans="1:11" s="3" customFormat="1" ht="19.5" customHeight="1">
      <c r="A7"/>
      <c r="B7" s="60">
        <f t="array" ref="B7:H7">DaysAndWeeks+DATE(CalendarYear,1,1)-WEEKDAY(DATE(CalendarYear,1,1),(WeekStart="Monday")+1)+15</f>
        <v>45670</v>
      </c>
      <c r="C7" s="60">
        <v>45671</v>
      </c>
      <c r="D7" s="60">
        <v>45672</v>
      </c>
      <c r="E7" s="60">
        <v>45673</v>
      </c>
      <c r="F7" s="60">
        <v>45674</v>
      </c>
      <c r="G7" s="60">
        <v>45675</v>
      </c>
      <c r="H7" s="60">
        <v>45676</v>
      </c>
      <c r="J7" s="4"/>
    </row>
    <row r="8" spans="1:11" s="77" customFormat="1" ht="57.9" customHeight="1">
      <c r="B8" s="60"/>
      <c r="C8" s="60"/>
      <c r="D8" s="78" t="s">
        <v>13</v>
      </c>
      <c r="E8" s="69" t="s">
        <v>47</v>
      </c>
      <c r="F8" s="60"/>
      <c r="G8" s="78" t="s">
        <v>28</v>
      </c>
      <c r="H8" s="65" t="s">
        <v>5</v>
      </c>
    </row>
    <row r="9" spans="1:11" s="3" customFormat="1" ht="19.5" customHeight="1">
      <c r="A9"/>
      <c r="B9" s="61">
        <f t="array" ref="B9:H9">DaysAndWeeks+DATE(CalendarYear,1,1)-WEEKDAY(DATE(CalendarYear,1,1),(WeekStart="Monday")+1)+22</f>
        <v>45677</v>
      </c>
      <c r="C9" s="61">
        <v>45678</v>
      </c>
      <c r="D9" s="61">
        <v>45679</v>
      </c>
      <c r="E9" s="61">
        <v>45680</v>
      </c>
      <c r="F9" s="61">
        <v>45681</v>
      </c>
      <c r="G9" s="61">
        <v>45682</v>
      </c>
      <c r="H9" s="61">
        <v>45683</v>
      </c>
    </row>
    <row r="10" spans="1:11" s="77" customFormat="1" ht="57.9" customHeight="1">
      <c r="B10" s="61"/>
      <c r="C10" s="61"/>
      <c r="D10" s="75" t="s">
        <v>12</v>
      </c>
      <c r="E10" s="75" t="s">
        <v>47</v>
      </c>
      <c r="F10" s="61"/>
      <c r="G10" s="75" t="s">
        <v>5</v>
      </c>
      <c r="H10" s="76" t="s">
        <v>5</v>
      </c>
    </row>
    <row r="11" spans="1:11" s="3" customFormat="1" ht="19.5" customHeight="1">
      <c r="A11"/>
      <c r="B11" s="67">
        <f t="array" ref="B11:H11">DaysAndWeeks+DATE(CalendarYear,1,1)-WEEKDAY(DATE(CalendarYear,1,1),(WeekStart="Monday")+1)+29</f>
        <v>45684</v>
      </c>
      <c r="C11" s="60">
        <v>45685</v>
      </c>
      <c r="D11" s="60">
        <v>45686</v>
      </c>
      <c r="E11" s="60">
        <v>45687</v>
      </c>
      <c r="F11" s="60">
        <v>45688</v>
      </c>
      <c r="G11" s="60">
        <v>45689</v>
      </c>
      <c r="H11" s="60">
        <v>45690</v>
      </c>
    </row>
    <row r="12" spans="1:11" s="77" customFormat="1" ht="57.9" customHeight="1">
      <c r="B12" s="65" t="s">
        <v>10</v>
      </c>
      <c r="C12" s="60"/>
      <c r="D12" s="69" t="s">
        <v>12</v>
      </c>
      <c r="E12" s="69" t="s">
        <v>47</v>
      </c>
      <c r="F12" s="60"/>
      <c r="G12" s="60"/>
      <c r="H12" s="60"/>
    </row>
    <row r="13" spans="1:11" s="3" customFormat="1" ht="19.5" customHeight="1">
      <c r="A13"/>
      <c r="B13" s="61">
        <f t="array" ref="B13:C13">DaysAndWeeks+DATE(CalendarYear,1,1)-WEEKDAY(DATE(CalendarYear,1,1),(WeekStart="Monday")+1)+36</f>
        <v>45691</v>
      </c>
      <c r="C13" s="61">
        <v>45692</v>
      </c>
      <c r="D13" s="62" t="s">
        <v>0</v>
      </c>
      <c r="E13" s="115"/>
      <c r="F13" s="115"/>
      <c r="G13" s="115"/>
      <c r="H13" s="116"/>
    </row>
    <row r="14" spans="1:11" ht="57.9" customHeight="1">
      <c r="B14" s="61"/>
      <c r="C14" s="61"/>
      <c r="D14" s="63"/>
      <c r="E14" s="117"/>
      <c r="F14" s="117"/>
      <c r="G14" s="117"/>
      <c r="H14" s="118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25" right="0.25" top="0.75" bottom="0.75" header="0.3" footer="0.3"/>
  <pageSetup scale="84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="70" zoomScaleNormal="70" workbookViewId="0">
      <selection activeCell="Q6" sqref="Q6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</cols>
  <sheetData>
    <row r="1" spans="2:8" ht="59.25" customHeight="1">
      <c r="B1" s="59" t="str">
        <f>"October "&amp;CalendarYear</f>
        <v>October 2025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DaysAndWeeks+DATE(CalendarYear,10,1)-WEEKDAY(DATE(CalendarYear,10,1),(WeekStart="Monday")+1)+1</f>
        <v>45929</v>
      </c>
      <c r="C3" s="10">
        <v>45930</v>
      </c>
      <c r="D3" s="10">
        <v>45931</v>
      </c>
      <c r="E3" s="10">
        <v>45932</v>
      </c>
      <c r="F3" s="10">
        <v>45933</v>
      </c>
      <c r="G3" s="10">
        <v>45934</v>
      </c>
      <c r="H3" s="10">
        <v>45935</v>
      </c>
    </row>
    <row r="4" spans="2:8" s="77" customFormat="1" ht="57.9" customHeight="1">
      <c r="B4" s="60"/>
      <c r="C4" s="60"/>
      <c r="D4" s="69" t="s">
        <v>12</v>
      </c>
      <c r="E4" s="96" t="s">
        <v>50</v>
      </c>
      <c r="F4" s="105"/>
      <c r="G4" s="64" t="s">
        <v>19</v>
      </c>
      <c r="H4" s="65" t="s">
        <v>5</v>
      </c>
    </row>
    <row r="5" spans="2:8" ht="19.5" customHeight="1">
      <c r="B5" s="104">
        <f t="array" ref="B5:H5">DaysAndWeeks+DATE(CalendarYear,10,1)-WEEKDAY(DATE(CalendarYear,10,1),(WeekStart="Monday")+1)+8</f>
        <v>45936</v>
      </c>
      <c r="C5" s="9">
        <v>45937</v>
      </c>
      <c r="D5" s="9">
        <v>45938</v>
      </c>
      <c r="E5" s="9">
        <v>45939</v>
      </c>
      <c r="F5" s="9">
        <v>45940</v>
      </c>
      <c r="G5" s="9">
        <v>45941</v>
      </c>
      <c r="H5" s="9">
        <v>45942</v>
      </c>
    </row>
    <row r="6" spans="2:8" s="77" customFormat="1" ht="57.9" customHeight="1">
      <c r="B6" s="100" t="s">
        <v>90</v>
      </c>
      <c r="C6" s="61"/>
      <c r="D6" s="75" t="s">
        <v>12</v>
      </c>
      <c r="E6" s="76" t="s">
        <v>94</v>
      </c>
      <c r="F6" s="114" t="s">
        <v>113</v>
      </c>
      <c r="G6" s="75" t="s">
        <v>5</v>
      </c>
      <c r="H6" s="76" t="s">
        <v>5</v>
      </c>
    </row>
    <row r="7" spans="2:8" ht="19.5" customHeight="1">
      <c r="B7" s="10">
        <f t="array" ref="B7:H7">DaysAndWeeks+DATE(CalendarYear,10,1)-WEEKDAY(DATE(CalendarYear,10,1),(WeekStart="Monday")+1)+15</f>
        <v>45943</v>
      </c>
      <c r="C7" s="10">
        <v>45944</v>
      </c>
      <c r="D7" s="10">
        <v>45945</v>
      </c>
      <c r="E7" s="10">
        <v>45946</v>
      </c>
      <c r="F7" s="10">
        <v>45947</v>
      </c>
      <c r="G7" s="10">
        <v>45948</v>
      </c>
      <c r="H7" s="10">
        <v>45949</v>
      </c>
    </row>
    <row r="8" spans="2:8" s="77" customFormat="1" ht="57.9" customHeight="1">
      <c r="B8" s="60"/>
      <c r="C8" s="60"/>
      <c r="D8" s="78" t="s">
        <v>13</v>
      </c>
      <c r="E8" s="65" t="s">
        <v>61</v>
      </c>
      <c r="F8" s="91" t="s">
        <v>46</v>
      </c>
      <c r="G8" s="78" t="s">
        <v>95</v>
      </c>
      <c r="H8" s="65" t="s">
        <v>81</v>
      </c>
    </row>
    <row r="9" spans="2:8" ht="19.5" customHeight="1">
      <c r="B9" s="9">
        <f t="array" ref="B9:H9">DaysAndWeeks+DATE(CalendarYear,10,1)-WEEKDAY(DATE(CalendarYear,10,1),(WeekStart="Monday")+1)+22</f>
        <v>45950</v>
      </c>
      <c r="C9" s="9">
        <v>45951</v>
      </c>
      <c r="D9" s="9">
        <v>45952</v>
      </c>
      <c r="E9" s="9">
        <v>45953</v>
      </c>
      <c r="F9" s="9">
        <v>45954</v>
      </c>
      <c r="G9" s="9">
        <v>45955</v>
      </c>
      <c r="H9" s="9">
        <v>45956</v>
      </c>
    </row>
    <row r="10" spans="2:8" s="77" customFormat="1" ht="57.9" customHeight="1">
      <c r="B10" s="61"/>
      <c r="C10" s="61"/>
      <c r="D10" s="75" t="s">
        <v>12</v>
      </c>
      <c r="E10" s="93" t="s">
        <v>58</v>
      </c>
      <c r="F10" s="61"/>
      <c r="G10" s="75" t="s">
        <v>5</v>
      </c>
      <c r="H10" s="113" t="s">
        <v>111</v>
      </c>
    </row>
    <row r="11" spans="2:8" ht="19.5" customHeight="1">
      <c r="B11" s="10">
        <f t="array" ref="B11:H11">DaysAndWeeks+DATE(CalendarYear,10,1)-WEEKDAY(DATE(CalendarYear,10,1),(WeekStart="Monday")+1)+29</f>
        <v>45957</v>
      </c>
      <c r="C11" s="10">
        <v>45958</v>
      </c>
      <c r="D11" s="10">
        <v>45959</v>
      </c>
      <c r="E11" s="10">
        <v>45960</v>
      </c>
      <c r="F11" s="10">
        <v>45961</v>
      </c>
      <c r="G11" s="10">
        <v>45962</v>
      </c>
      <c r="H11" s="10">
        <v>45963</v>
      </c>
    </row>
    <row r="12" spans="2:8" s="77" customFormat="1" ht="57.9" customHeight="1">
      <c r="B12" s="60"/>
      <c r="C12" s="60"/>
      <c r="D12" s="69" t="s">
        <v>12</v>
      </c>
      <c r="E12" s="96" t="s">
        <v>50</v>
      </c>
      <c r="F12" s="60"/>
      <c r="G12" s="60"/>
      <c r="H12" s="60"/>
    </row>
    <row r="13" spans="2:8" ht="19.5" customHeight="1">
      <c r="B13" s="9">
        <f t="array" ref="B13:C13">DaysAndWeeks+DATE(CalendarYear,10,1)-WEEKDAY(DATE(CalendarYear,10,1),(WeekStart="Monday")+1)+36</f>
        <v>45964</v>
      </c>
      <c r="C13" s="9">
        <v>45965</v>
      </c>
      <c r="D13" s="7" t="s">
        <v>0</v>
      </c>
      <c r="E13" s="120" t="s">
        <v>101</v>
      </c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topLeftCell="A3" zoomScale="85" zoomScaleNormal="85" workbookViewId="0">
      <selection activeCell="E13" sqref="E13:H14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</cols>
  <sheetData>
    <row r="1" spans="2:8" ht="59.25" customHeight="1">
      <c r="B1" s="54" t="str">
        <f>"November "&amp;CalendarYear</f>
        <v>November 2025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DaysAndWeeks+DATE(CalendarYear,11,1)-WEEKDAY(DATE(CalendarYear,11,1),(WeekStart="Monday")+1)+1</f>
        <v>45957</v>
      </c>
      <c r="C3" s="10">
        <v>45958</v>
      </c>
      <c r="D3" s="10">
        <v>45959</v>
      </c>
      <c r="E3" s="10">
        <v>45960</v>
      </c>
      <c r="F3" s="10">
        <v>45961</v>
      </c>
      <c r="G3" s="10">
        <v>45962</v>
      </c>
      <c r="H3" s="10">
        <v>45963</v>
      </c>
    </row>
    <row r="4" spans="2:8" s="77" customFormat="1" ht="57.9" customHeight="1">
      <c r="B4" s="60"/>
      <c r="C4" s="60"/>
      <c r="D4" s="60"/>
      <c r="E4" s="60"/>
      <c r="F4" s="60"/>
      <c r="G4" s="65" t="s">
        <v>26</v>
      </c>
      <c r="H4" s="65" t="s">
        <v>5</v>
      </c>
    </row>
    <row r="5" spans="2:8" ht="19.5" customHeight="1">
      <c r="B5" s="9">
        <f t="array" ref="B5:H5">DaysAndWeeks+DATE(CalendarYear,11,1)-WEEKDAY(DATE(CalendarYear,11,1),(WeekStart="Monday")+1)+8</f>
        <v>45964</v>
      </c>
      <c r="C5" s="9">
        <v>45965</v>
      </c>
      <c r="D5" s="9">
        <v>45966</v>
      </c>
      <c r="E5" s="9">
        <v>45967</v>
      </c>
      <c r="F5" s="9">
        <v>45968</v>
      </c>
      <c r="G5" s="9">
        <v>45969</v>
      </c>
      <c r="H5" s="9">
        <v>45970</v>
      </c>
    </row>
    <row r="6" spans="2:8" s="77" customFormat="1" ht="57.9" customHeight="1">
      <c r="B6" s="61"/>
      <c r="C6" s="66" t="s">
        <v>18</v>
      </c>
      <c r="D6" s="75" t="s">
        <v>12</v>
      </c>
      <c r="E6" s="75" t="s">
        <v>62</v>
      </c>
      <c r="F6" s="61"/>
      <c r="G6" s="66" t="s">
        <v>63</v>
      </c>
      <c r="H6" s="76" t="s">
        <v>5</v>
      </c>
    </row>
    <row r="7" spans="2:8" ht="19.5" customHeight="1">
      <c r="B7" s="10">
        <f t="array" ref="B7:H7">DaysAndWeeks+DATE(CalendarYear,11,1)-WEEKDAY(DATE(CalendarYear,11,1),(WeekStart="Monday")+1)+15</f>
        <v>45971</v>
      </c>
      <c r="C7" s="10">
        <v>45972</v>
      </c>
      <c r="D7" s="10">
        <v>45973</v>
      </c>
      <c r="E7" s="10">
        <v>45974</v>
      </c>
      <c r="F7" s="10">
        <v>45975</v>
      </c>
      <c r="G7" s="10">
        <v>45976</v>
      </c>
      <c r="H7" s="10">
        <v>45977</v>
      </c>
    </row>
    <row r="8" spans="2:8" s="77" customFormat="1" ht="57.9" customHeight="1">
      <c r="B8" s="60"/>
      <c r="C8" s="60"/>
      <c r="D8" s="69" t="s">
        <v>12</v>
      </c>
      <c r="E8" s="78" t="s">
        <v>96</v>
      </c>
      <c r="F8" s="60"/>
      <c r="G8" s="69" t="s">
        <v>5</v>
      </c>
      <c r="H8" s="65" t="s">
        <v>82</v>
      </c>
    </row>
    <row r="9" spans="2:8" ht="19.5" customHeight="1">
      <c r="B9" s="9">
        <f t="array" ref="B9:H9">DaysAndWeeks+DATE(CalendarYear,11,1)-WEEKDAY(DATE(CalendarYear,11,1),(WeekStart="Monday")+1)+22</f>
        <v>45978</v>
      </c>
      <c r="C9" s="9">
        <v>45979</v>
      </c>
      <c r="D9" s="9">
        <v>45980</v>
      </c>
      <c r="E9" s="9">
        <v>45981</v>
      </c>
      <c r="F9" s="9">
        <v>45982</v>
      </c>
      <c r="G9" s="9">
        <v>45983</v>
      </c>
      <c r="H9" s="9">
        <v>45984</v>
      </c>
    </row>
    <row r="10" spans="2:8" s="77" customFormat="1" ht="57.9" customHeight="1">
      <c r="B10" s="61"/>
      <c r="C10" s="61"/>
      <c r="D10" s="79" t="s">
        <v>13</v>
      </c>
      <c r="E10" s="79" t="s">
        <v>97</v>
      </c>
      <c r="F10" s="61"/>
      <c r="G10" s="75" t="s">
        <v>5</v>
      </c>
      <c r="H10" s="76" t="s">
        <v>5</v>
      </c>
    </row>
    <row r="11" spans="2:8" ht="19.5" customHeight="1">
      <c r="B11" s="10">
        <f t="array" ref="B11:H11">DaysAndWeeks+DATE(CalendarYear,11,1)-WEEKDAY(DATE(CalendarYear,11,1),(WeekStart="Monday")+1)+29</f>
        <v>45985</v>
      </c>
      <c r="C11" s="10">
        <v>45986</v>
      </c>
      <c r="D11" s="10">
        <v>45987</v>
      </c>
      <c r="E11" s="10">
        <v>45988</v>
      </c>
      <c r="F11" s="10">
        <v>45989</v>
      </c>
      <c r="G11" s="10">
        <v>45990</v>
      </c>
      <c r="H11" s="10">
        <v>45991</v>
      </c>
    </row>
    <row r="12" spans="2:8" s="77" customFormat="1" ht="57.9" customHeight="1">
      <c r="B12" s="60"/>
      <c r="C12" s="60"/>
      <c r="D12" s="69" t="s">
        <v>12</v>
      </c>
      <c r="E12" s="65" t="s">
        <v>98</v>
      </c>
      <c r="F12" s="60"/>
      <c r="G12" s="65" t="s">
        <v>64</v>
      </c>
      <c r="H12" s="65" t="s">
        <v>5</v>
      </c>
    </row>
    <row r="13" spans="2:8" ht="19.5" customHeight="1">
      <c r="B13" s="9">
        <f t="array" ref="B13:C13">DaysAndWeeks+DATE(CalendarYear,11,1)-WEEKDAY(DATE(CalendarYear,11,1),(WeekStart="Monday")+1)+36</f>
        <v>45992</v>
      </c>
      <c r="C13" s="9">
        <v>45993</v>
      </c>
      <c r="D13" s="7" t="s">
        <v>0</v>
      </c>
      <c r="E13" s="120" t="s">
        <v>114</v>
      </c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tabSelected="1" zoomScale="55" zoomScaleNormal="55" workbookViewId="0">
      <selection activeCell="G20" sqref="G20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</cols>
  <sheetData>
    <row r="1" spans="2:8" ht="59.25" customHeight="1">
      <c r="B1" s="55" t="str">
        <f>"December "&amp;CalendarYear</f>
        <v>December 2025</v>
      </c>
      <c r="C1" s="56"/>
      <c r="D1" s="56"/>
      <c r="E1" s="57"/>
      <c r="F1" s="57"/>
      <c r="G1" s="57"/>
      <c r="H1" s="58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DaysAndWeeks+DATE(CalendarYear,12,1)-WEEKDAY(DATE(CalendarYear,12,1),(WeekStart="Monday")+1)+1</f>
        <v>45992</v>
      </c>
      <c r="C3" s="10">
        <v>45993</v>
      </c>
      <c r="D3" s="10">
        <v>45994</v>
      </c>
      <c r="E3" s="10">
        <v>45995</v>
      </c>
      <c r="F3" s="10">
        <v>45996</v>
      </c>
      <c r="G3" s="10">
        <v>45997</v>
      </c>
      <c r="H3" s="10">
        <v>45998</v>
      </c>
    </row>
    <row r="4" spans="2:8" s="77" customFormat="1" ht="57.9" customHeight="1">
      <c r="B4" s="60"/>
      <c r="C4" s="60"/>
      <c r="D4" s="69" t="s">
        <v>12</v>
      </c>
      <c r="E4" s="65" t="s">
        <v>99</v>
      </c>
      <c r="F4" s="60"/>
      <c r="G4" s="69" t="s">
        <v>5</v>
      </c>
      <c r="H4" s="65" t="s">
        <v>5</v>
      </c>
    </row>
    <row r="5" spans="2:8" ht="19.5" customHeight="1">
      <c r="B5" s="9">
        <f t="array" ref="B5:H5">DaysAndWeeks+DATE(CalendarYear,12,1)-WEEKDAY(DATE(CalendarYear,12,1),(WeekStart="Monday")+1)+8</f>
        <v>45999</v>
      </c>
      <c r="C5" s="9">
        <v>46000</v>
      </c>
      <c r="D5" s="9">
        <v>46001</v>
      </c>
      <c r="E5" s="9">
        <v>46002</v>
      </c>
      <c r="F5" s="9">
        <v>46003</v>
      </c>
      <c r="G5" s="9">
        <v>46004</v>
      </c>
      <c r="H5" s="9">
        <v>46005</v>
      </c>
    </row>
    <row r="6" spans="2:8" s="77" customFormat="1" ht="57.9" customHeight="1">
      <c r="B6" s="61"/>
      <c r="C6" s="61"/>
      <c r="D6" s="75" t="s">
        <v>12</v>
      </c>
      <c r="E6" s="75" t="s">
        <v>47</v>
      </c>
      <c r="F6" s="61"/>
      <c r="G6" s="75" t="s">
        <v>5</v>
      </c>
      <c r="H6" s="76" t="s">
        <v>5</v>
      </c>
    </row>
    <row r="7" spans="2:8" ht="19.5" customHeight="1">
      <c r="B7" s="10">
        <f t="array" ref="B7:H7">DaysAndWeeks+DATE(CalendarYear,12,1)-WEEKDAY(DATE(CalendarYear,12,1),(WeekStart="Monday")+1)+15</f>
        <v>46006</v>
      </c>
      <c r="C7" s="10">
        <v>46007</v>
      </c>
      <c r="D7" s="10">
        <v>46008</v>
      </c>
      <c r="E7" s="10">
        <v>46009</v>
      </c>
      <c r="F7" s="10">
        <v>46010</v>
      </c>
      <c r="G7" s="10">
        <v>46011</v>
      </c>
      <c r="H7" s="10">
        <v>46012</v>
      </c>
    </row>
    <row r="8" spans="2:8" s="77" customFormat="1" ht="57.9" customHeight="1">
      <c r="B8" s="60"/>
      <c r="C8" s="60"/>
      <c r="D8" s="78" t="s">
        <v>13</v>
      </c>
      <c r="E8" s="69" t="s">
        <v>47</v>
      </c>
      <c r="F8" s="60"/>
      <c r="G8" s="69" t="s">
        <v>5</v>
      </c>
      <c r="H8" s="65" t="s">
        <v>5</v>
      </c>
    </row>
    <row r="9" spans="2:8" ht="19.5" customHeight="1">
      <c r="B9" s="9">
        <f t="array" ref="B9:H9">DaysAndWeeks+DATE(CalendarYear,12,1)-WEEKDAY(DATE(CalendarYear,12,1),(WeekStart="Monday")+1)+22</f>
        <v>46013</v>
      </c>
      <c r="C9" s="9">
        <v>46014</v>
      </c>
      <c r="D9" s="72">
        <v>46015</v>
      </c>
      <c r="E9" s="72">
        <v>46016</v>
      </c>
      <c r="F9" s="72">
        <v>46017</v>
      </c>
      <c r="G9" s="9">
        <v>46018</v>
      </c>
      <c r="H9" s="9">
        <v>46019</v>
      </c>
    </row>
    <row r="10" spans="2:8" s="77" customFormat="1" ht="57.9" customHeight="1">
      <c r="B10" s="61"/>
      <c r="C10" s="61"/>
      <c r="D10" s="75" t="s">
        <v>12</v>
      </c>
      <c r="E10" s="66" t="s">
        <v>65</v>
      </c>
      <c r="F10" s="61"/>
      <c r="G10" s="75" t="s">
        <v>5</v>
      </c>
      <c r="H10" s="76" t="s">
        <v>5</v>
      </c>
    </row>
    <row r="11" spans="2:8" ht="19.5" customHeight="1">
      <c r="B11" s="10">
        <f t="array" ref="B11:H11">DaysAndWeeks+DATE(CalendarYear,12,1)-WEEKDAY(DATE(CalendarYear,12,1),(WeekStart="Monday")+1)+29</f>
        <v>46020</v>
      </c>
      <c r="C11" s="10">
        <v>46021</v>
      </c>
      <c r="D11" s="10">
        <v>46022</v>
      </c>
      <c r="E11" s="10">
        <v>46023</v>
      </c>
      <c r="F11" s="10">
        <v>46024</v>
      </c>
      <c r="G11" s="10">
        <v>46025</v>
      </c>
      <c r="H11" s="10">
        <v>46026</v>
      </c>
    </row>
    <row r="12" spans="2:8" s="77" customFormat="1" ht="57.9" customHeight="1">
      <c r="B12" s="60"/>
      <c r="C12" s="60"/>
      <c r="D12" s="69" t="s">
        <v>12</v>
      </c>
      <c r="E12" s="60"/>
      <c r="F12" s="60"/>
      <c r="G12" s="60"/>
      <c r="H12" s="60"/>
    </row>
    <row r="13" spans="2:8" ht="19.5" customHeight="1">
      <c r="B13" s="9">
        <f t="array" ref="B13:C13">DaysAndWeeks+DATE(CalendarYear,12,1)-WEEKDAY(DATE(CalendarYear,12,1),(WeekStart="Monday")+1)+36</f>
        <v>46027</v>
      </c>
      <c r="C13" s="9">
        <v>46028</v>
      </c>
      <c r="D13" s="7" t="s">
        <v>0</v>
      </c>
      <c r="E13" s="120"/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="70" zoomScaleNormal="70" workbookViewId="0">
      <selection activeCell="L6" sqref="L6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1:8" s="1" customFormat="1" ht="59.25" customHeight="1">
      <c r="A1"/>
      <c r="B1" s="22" t="str">
        <f>"February "&amp;CalendarYear</f>
        <v>February 2025</v>
      </c>
      <c r="C1" s="23"/>
      <c r="D1" s="23"/>
      <c r="E1" s="24"/>
      <c r="F1" s="24"/>
      <c r="G1" s="24"/>
      <c r="H1" s="25"/>
    </row>
    <row r="2" spans="1:8" s="2" customFormat="1" ht="21.75" customHeight="1">
      <c r="A2"/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8" s="3" customFormat="1" ht="19.5" customHeight="1">
      <c r="A3"/>
      <c r="B3" s="10">
        <f t="array" ref="B3:H3">DaysAndWeeks+DATE(CalendarYear,2,1)-WEEKDAY(DATE(CalendarYear,2,1),(WeekStart="Monday")+1)+1</f>
        <v>45684</v>
      </c>
      <c r="C3" s="10">
        <v>45685</v>
      </c>
      <c r="D3" s="10">
        <v>45686</v>
      </c>
      <c r="E3" s="10">
        <v>45687</v>
      </c>
      <c r="F3" s="10">
        <v>45688</v>
      </c>
      <c r="G3" s="10">
        <v>45689</v>
      </c>
      <c r="H3" s="10">
        <v>45690</v>
      </c>
    </row>
    <row r="4" spans="1:8" s="77" customFormat="1" ht="57.9" customHeight="1">
      <c r="B4" s="60"/>
      <c r="C4" s="60"/>
      <c r="D4" s="60"/>
      <c r="E4" s="69" t="s">
        <v>47</v>
      </c>
      <c r="F4" s="60"/>
      <c r="G4" s="64" t="s">
        <v>19</v>
      </c>
      <c r="H4" s="65" t="s">
        <v>5</v>
      </c>
    </row>
    <row r="5" spans="1:8" s="3" customFormat="1" ht="19.5" customHeight="1">
      <c r="A5"/>
      <c r="B5" s="9">
        <f t="array" ref="B5:H5">DaysAndWeeks+DATE(CalendarYear,2,1)-WEEKDAY(DATE(CalendarYear,2,1),(WeekStart="Monday")+1)+8</f>
        <v>45691</v>
      </c>
      <c r="C5" s="9">
        <v>45692</v>
      </c>
      <c r="D5" s="9">
        <v>45693</v>
      </c>
      <c r="E5" s="9">
        <v>45694</v>
      </c>
      <c r="F5" s="9">
        <v>45695</v>
      </c>
      <c r="G5" s="9">
        <v>45696</v>
      </c>
      <c r="H5" s="9">
        <v>45697</v>
      </c>
    </row>
    <row r="6" spans="1:8" s="77" customFormat="1" ht="57.9" customHeight="1">
      <c r="B6" s="61"/>
      <c r="C6" s="61"/>
      <c r="D6" s="75" t="s">
        <v>12</v>
      </c>
      <c r="E6" s="75" t="s">
        <v>47</v>
      </c>
      <c r="F6" s="61"/>
      <c r="G6" s="75" t="s">
        <v>5</v>
      </c>
      <c r="H6" s="76" t="s">
        <v>5</v>
      </c>
    </row>
    <row r="7" spans="1:8" s="3" customFormat="1" ht="19.5" customHeight="1">
      <c r="A7"/>
      <c r="B7" s="10">
        <f t="array" ref="B7:H7">DaysAndWeeks+DATE(CalendarYear,2,1)-WEEKDAY(DATE(CalendarYear,2,1),(WeekStart="Monday")+1)+15</f>
        <v>45698</v>
      </c>
      <c r="C7" s="10">
        <v>45699</v>
      </c>
      <c r="D7" s="10">
        <v>45700</v>
      </c>
      <c r="E7" s="10">
        <v>45701</v>
      </c>
      <c r="F7" s="10">
        <v>45702</v>
      </c>
      <c r="G7" s="10">
        <v>45703</v>
      </c>
      <c r="H7" s="10">
        <v>45704</v>
      </c>
    </row>
    <row r="8" spans="1:8" s="77" customFormat="1" ht="57.9" customHeight="1">
      <c r="B8" s="60"/>
      <c r="C8" s="60"/>
      <c r="D8" s="69" t="s">
        <v>12</v>
      </c>
      <c r="E8" s="69" t="s">
        <v>69</v>
      </c>
      <c r="F8" s="60"/>
      <c r="G8" s="78" t="s">
        <v>29</v>
      </c>
      <c r="H8" s="65" t="s">
        <v>5</v>
      </c>
    </row>
    <row r="9" spans="1:8" s="3" customFormat="1" ht="19.5" customHeight="1">
      <c r="A9"/>
      <c r="B9" s="9">
        <f t="array" ref="B9:H9">DaysAndWeeks+DATE(CalendarYear,2,1)-WEEKDAY(DATE(CalendarYear,2,1),(WeekStart="Monday")+1)+22</f>
        <v>45705</v>
      </c>
      <c r="C9" s="9">
        <v>45706</v>
      </c>
      <c r="D9" s="9">
        <v>45707</v>
      </c>
      <c r="E9" s="9">
        <v>45708</v>
      </c>
      <c r="F9" s="9">
        <v>45709</v>
      </c>
      <c r="G9" s="9">
        <v>45710</v>
      </c>
      <c r="H9" s="9">
        <v>45711</v>
      </c>
    </row>
    <row r="10" spans="1:8" s="77" customFormat="1" ht="57.9" customHeight="1">
      <c r="B10" s="61"/>
      <c r="C10" s="61"/>
      <c r="D10" s="79" t="s">
        <v>13</v>
      </c>
      <c r="E10" s="75" t="s">
        <v>47</v>
      </c>
      <c r="F10" s="61"/>
      <c r="G10" s="75" t="s">
        <v>5</v>
      </c>
      <c r="H10" s="76" t="s">
        <v>5</v>
      </c>
    </row>
    <row r="11" spans="1:8" s="3" customFormat="1" ht="19.5" customHeight="1">
      <c r="A11"/>
      <c r="B11" s="10">
        <f t="array" ref="B11:H11">DaysAndWeeks+DATE(CalendarYear,2,1)-WEEKDAY(DATE(CalendarYear,2,1),(WeekStart="Monday")+1)+29</f>
        <v>45712</v>
      </c>
      <c r="C11" s="10">
        <v>45713</v>
      </c>
      <c r="D11" s="10">
        <v>45714</v>
      </c>
      <c r="E11" s="10">
        <v>45715</v>
      </c>
      <c r="F11" s="10">
        <v>45716</v>
      </c>
      <c r="G11" s="10">
        <v>45717</v>
      </c>
      <c r="H11" s="10">
        <v>45718</v>
      </c>
    </row>
    <row r="12" spans="1:8" s="77" customFormat="1" ht="57.9" customHeight="1">
      <c r="B12" s="60"/>
      <c r="C12" s="60"/>
      <c r="D12" s="69" t="s">
        <v>12</v>
      </c>
      <c r="E12" s="69" t="s">
        <v>47</v>
      </c>
      <c r="F12" s="60"/>
      <c r="G12" s="60"/>
      <c r="H12" s="60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45719</v>
      </c>
      <c r="C13" s="9">
        <v>45720</v>
      </c>
      <c r="D13" s="7" t="s">
        <v>0</v>
      </c>
      <c r="E13" s="120" t="s">
        <v>73</v>
      </c>
      <c r="F13" s="120"/>
      <c r="G13" s="120"/>
      <c r="H13" s="121"/>
    </row>
    <row r="14" spans="1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disablePrompts="1"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="70" zoomScaleNormal="70" workbookViewId="0">
      <selection activeCell="F10" sqref="F10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8" ht="59.25" customHeight="1">
      <c r="B1" s="28" t="str">
        <f>"March "&amp;CalendarYear</f>
        <v>March 2025</v>
      </c>
      <c r="C1" s="29"/>
      <c r="D1" s="29"/>
      <c r="E1" s="30"/>
      <c r="F1" s="30"/>
      <c r="G1" s="30"/>
      <c r="H1" s="31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DaysAndWeeks+DATE(CalendarYear,3,1)-WEEKDAY(DATE(CalendarYear,3,1),(WeekStart="Monday")+1)+1</f>
        <v>45712</v>
      </c>
      <c r="C3" s="10">
        <v>45713</v>
      </c>
      <c r="D3" s="10">
        <v>45714</v>
      </c>
      <c r="E3" s="10">
        <v>45715</v>
      </c>
      <c r="F3" s="10">
        <v>45716</v>
      </c>
      <c r="G3" s="10">
        <v>45717</v>
      </c>
      <c r="H3" s="10">
        <v>45718</v>
      </c>
    </row>
    <row r="4" spans="2:8" s="77" customFormat="1" ht="57.9" customHeight="1">
      <c r="G4" s="65" t="s">
        <v>51</v>
      </c>
      <c r="H4" s="65" t="s">
        <v>5</v>
      </c>
    </row>
    <row r="5" spans="2:8" ht="19.5" customHeight="1">
      <c r="B5" s="9">
        <f t="array" ref="B5:H5">DaysAndWeeks+DATE(CalendarYear,3,1)-WEEKDAY(DATE(CalendarYear,3,1),(WeekStart="Monday")+1)+8</f>
        <v>45719</v>
      </c>
      <c r="C5" s="9">
        <v>45720</v>
      </c>
      <c r="D5" s="9">
        <v>45721</v>
      </c>
      <c r="E5" s="9">
        <v>45722</v>
      </c>
      <c r="F5" s="9">
        <v>45723</v>
      </c>
      <c r="G5" s="9">
        <v>45724</v>
      </c>
      <c r="H5" s="9">
        <v>45725</v>
      </c>
    </row>
    <row r="6" spans="2:8" s="77" customFormat="1" ht="57.9" customHeight="1">
      <c r="B6" s="61"/>
      <c r="C6" s="100" t="s">
        <v>74</v>
      </c>
      <c r="D6" s="75" t="s">
        <v>12</v>
      </c>
      <c r="E6" s="79" t="s">
        <v>48</v>
      </c>
      <c r="F6" s="61"/>
      <c r="G6" s="75" t="s">
        <v>5</v>
      </c>
      <c r="H6" s="76" t="s">
        <v>5</v>
      </c>
    </row>
    <row r="7" spans="2:8" ht="19.5" customHeight="1">
      <c r="B7" s="10">
        <f t="array" ref="B7:H7">DaysAndWeeks+DATE(CalendarYear,3,1)-WEEKDAY(DATE(CalendarYear,3,1),(WeekStart="Monday")+1)+15</f>
        <v>45726</v>
      </c>
      <c r="C7" s="10">
        <v>45727</v>
      </c>
      <c r="D7" s="10">
        <v>45728</v>
      </c>
      <c r="E7" s="10">
        <v>45729</v>
      </c>
      <c r="F7" s="10">
        <v>45730</v>
      </c>
      <c r="G7" s="10">
        <v>45731</v>
      </c>
      <c r="H7" s="10">
        <v>45732</v>
      </c>
    </row>
    <row r="8" spans="2:8" s="77" customFormat="1" ht="57.9" customHeight="1">
      <c r="B8" s="60"/>
      <c r="C8" s="60"/>
      <c r="D8" s="69" t="s">
        <v>12</v>
      </c>
      <c r="E8" s="69" t="s">
        <v>49</v>
      </c>
      <c r="F8" s="60"/>
      <c r="G8" s="78" t="s">
        <v>20</v>
      </c>
      <c r="H8" s="65" t="s">
        <v>75</v>
      </c>
    </row>
    <row r="9" spans="2:8" ht="19.5" customHeight="1">
      <c r="B9" s="9">
        <f t="array" ref="B9:H9">DaysAndWeeks+DATE(CalendarYear,3,1)-WEEKDAY(DATE(CalendarYear,3,1),(WeekStart="Monday")+1)+22</f>
        <v>45733</v>
      </c>
      <c r="C9" s="9">
        <v>45734</v>
      </c>
      <c r="D9" s="9">
        <v>45735</v>
      </c>
      <c r="E9" s="9">
        <v>45736</v>
      </c>
      <c r="F9" s="9">
        <v>45737</v>
      </c>
      <c r="G9" s="9">
        <v>45738</v>
      </c>
      <c r="H9" s="9">
        <v>45739</v>
      </c>
    </row>
    <row r="10" spans="2:8" s="77" customFormat="1" ht="57.9" customHeight="1">
      <c r="B10" s="61"/>
      <c r="C10" s="61"/>
      <c r="D10" s="79" t="s">
        <v>13</v>
      </c>
      <c r="E10" s="93" t="s">
        <v>50</v>
      </c>
      <c r="F10" s="61"/>
      <c r="G10" s="75" t="s">
        <v>5</v>
      </c>
      <c r="H10" s="76" t="s">
        <v>5</v>
      </c>
    </row>
    <row r="11" spans="2:8" ht="19.5" customHeight="1">
      <c r="B11" s="10">
        <f t="array" ref="B11:H11">DaysAndWeeks+DATE(CalendarYear,3,1)-WEEKDAY(DATE(CalendarYear,3,1),(WeekStart="Monday")+1)+29</f>
        <v>45740</v>
      </c>
      <c r="C11" s="10">
        <v>45741</v>
      </c>
      <c r="D11" s="10">
        <v>45742</v>
      </c>
      <c r="E11" s="10">
        <v>45743</v>
      </c>
      <c r="F11" s="10">
        <v>45744</v>
      </c>
      <c r="G11" s="10">
        <v>45745</v>
      </c>
      <c r="H11" s="10">
        <v>45746</v>
      </c>
    </row>
    <row r="12" spans="2:8" s="77" customFormat="1" ht="57.9" customHeight="1">
      <c r="B12" s="60"/>
      <c r="C12" s="60"/>
      <c r="D12" s="69" t="s">
        <v>12</v>
      </c>
      <c r="E12" s="93" t="s">
        <v>50</v>
      </c>
      <c r="F12" s="60"/>
      <c r="G12" s="69" t="s">
        <v>5</v>
      </c>
      <c r="H12" s="65" t="s">
        <v>5</v>
      </c>
    </row>
    <row r="13" spans="2:8" ht="19.5" customHeight="1">
      <c r="B13" s="9">
        <f t="array" ref="B13:C13">DaysAndWeeks+DATE(CalendarYear,3,1)-WEEKDAY(DATE(CalendarYear,3,1),(WeekStart="Monday")+1)+36</f>
        <v>45747</v>
      </c>
      <c r="C13" s="9">
        <v>45748</v>
      </c>
      <c r="D13" s="7" t="s">
        <v>0</v>
      </c>
      <c r="E13" s="120"/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4" zoomScale="70" zoomScaleNormal="70" workbookViewId="0">
      <selection activeCell="C19" sqref="C19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8" ht="59.25" customHeight="1">
      <c r="B1" s="26" t="str">
        <f>"April "&amp;CalendarYear</f>
        <v>April 2025</v>
      </c>
      <c r="C1" s="12"/>
      <c r="D1" s="12"/>
      <c r="E1" s="13"/>
      <c r="F1" s="13"/>
      <c r="G1" s="13"/>
      <c r="H1" s="27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DaysAndWeeks+DATE(CalendarYear,4,1)-WEEKDAY(DATE(CalendarYear,4,1),(WeekStart="Monday")+1)+1</f>
        <v>45747</v>
      </c>
      <c r="C3" s="10">
        <v>45748</v>
      </c>
      <c r="D3" s="10">
        <v>45749</v>
      </c>
      <c r="E3" s="10">
        <v>45750</v>
      </c>
      <c r="F3" s="10">
        <v>45751</v>
      </c>
      <c r="G3" s="10">
        <v>45752</v>
      </c>
      <c r="H3" s="10">
        <v>45753</v>
      </c>
    </row>
    <row r="4" spans="2:8" s="77" customFormat="1" ht="57.9" customHeight="1">
      <c r="B4" s="60"/>
      <c r="C4" s="60"/>
      <c r="D4" s="69" t="s">
        <v>12</v>
      </c>
      <c r="E4" s="69" t="s">
        <v>49</v>
      </c>
      <c r="F4" s="107"/>
      <c r="G4" s="64" t="s">
        <v>19</v>
      </c>
      <c r="H4" s="65" t="s">
        <v>5</v>
      </c>
    </row>
    <row r="5" spans="2:8" ht="19.5" customHeight="1">
      <c r="B5" s="9">
        <f t="array" ref="B5:H5">DaysAndWeeks+DATE(CalendarYear,4,1)-WEEKDAY(DATE(CalendarYear,4,1),(WeekStart="Monday")+1)+8</f>
        <v>45754</v>
      </c>
      <c r="C5" s="9">
        <v>45755</v>
      </c>
      <c r="D5" s="9">
        <v>45756</v>
      </c>
      <c r="E5" s="9">
        <v>45757</v>
      </c>
      <c r="F5" s="9">
        <v>45758</v>
      </c>
      <c r="G5" s="9">
        <v>45759</v>
      </c>
      <c r="H5" s="9">
        <v>45760</v>
      </c>
    </row>
    <row r="6" spans="2:8" s="77" customFormat="1" ht="57.9" customHeight="1">
      <c r="B6" s="61"/>
      <c r="C6" s="61"/>
      <c r="D6" s="75" t="s">
        <v>12</v>
      </c>
      <c r="E6" s="79" t="s">
        <v>66</v>
      </c>
      <c r="F6" s="91" t="s">
        <v>87</v>
      </c>
      <c r="G6" s="75" t="s">
        <v>5</v>
      </c>
      <c r="H6" s="76" t="s">
        <v>76</v>
      </c>
    </row>
    <row r="7" spans="2:8" ht="19.5" customHeight="1">
      <c r="B7" s="10">
        <f t="array" ref="B7:H7">DaysAndWeeks+DATE(CalendarYear,4,1)-WEEKDAY(DATE(CalendarYear,4,1),(WeekStart="Monday")+1)+15</f>
        <v>45761</v>
      </c>
      <c r="C7" s="10">
        <v>45762</v>
      </c>
      <c r="D7" s="10">
        <v>45763</v>
      </c>
      <c r="E7" s="10">
        <v>45764</v>
      </c>
      <c r="F7" s="73">
        <v>45765</v>
      </c>
      <c r="G7" s="73">
        <v>45766</v>
      </c>
      <c r="H7" s="73">
        <v>45767</v>
      </c>
    </row>
    <row r="8" spans="2:8" s="77" customFormat="1" ht="57.9" customHeight="1">
      <c r="B8" s="60"/>
      <c r="C8" s="60"/>
      <c r="D8" s="78" t="s">
        <v>13</v>
      </c>
      <c r="E8" s="94" t="s">
        <v>52</v>
      </c>
      <c r="F8" s="64" t="s">
        <v>6</v>
      </c>
      <c r="G8" s="69" t="s">
        <v>5</v>
      </c>
      <c r="H8" s="65" t="s">
        <v>5</v>
      </c>
    </row>
    <row r="9" spans="2:8" ht="19.5" customHeight="1">
      <c r="B9" s="74">
        <f t="array" ref="B9:H9">DaysAndWeeks+DATE(CalendarYear,4,1)-WEEKDAY(DATE(CalendarYear,4,1),(WeekStart="Monday")+1)+22</f>
        <v>45768</v>
      </c>
      <c r="C9" s="9">
        <v>45769</v>
      </c>
      <c r="D9" s="9">
        <v>45770</v>
      </c>
      <c r="E9" s="9">
        <v>45771</v>
      </c>
      <c r="F9" s="74">
        <v>45772</v>
      </c>
      <c r="G9" s="9">
        <v>45773</v>
      </c>
      <c r="H9" s="9">
        <v>45774</v>
      </c>
    </row>
    <row r="10" spans="2:8" s="77" customFormat="1" ht="57.9" customHeight="1">
      <c r="B10" s="66" t="s">
        <v>7</v>
      </c>
      <c r="C10" s="61"/>
      <c r="D10" s="75" t="s">
        <v>12</v>
      </c>
      <c r="E10" s="111" t="s">
        <v>104</v>
      </c>
      <c r="F10" s="66" t="s">
        <v>21</v>
      </c>
      <c r="G10" s="75" t="s">
        <v>5</v>
      </c>
      <c r="H10" s="76" t="s">
        <v>5</v>
      </c>
    </row>
    <row r="11" spans="2:8" ht="19.5" customHeight="1">
      <c r="B11" s="10">
        <f t="array" ref="B11:H11">DaysAndWeeks+DATE(CalendarYear,4,1)-WEEKDAY(DATE(CalendarYear,4,1),(WeekStart="Monday")+1)+29</f>
        <v>45775</v>
      </c>
      <c r="C11" s="10">
        <v>45776</v>
      </c>
      <c r="D11" s="10">
        <v>45777</v>
      </c>
      <c r="E11" s="10">
        <v>45778</v>
      </c>
      <c r="F11" s="10">
        <v>45779</v>
      </c>
      <c r="G11" s="10">
        <v>45780</v>
      </c>
      <c r="H11" s="10">
        <v>45781</v>
      </c>
    </row>
    <row r="12" spans="2:8" s="77" customFormat="1" ht="57.9" customHeight="1">
      <c r="B12" s="95" t="s">
        <v>53</v>
      </c>
      <c r="C12" s="95" t="s">
        <v>53</v>
      </c>
      <c r="D12" s="69" t="s">
        <v>54</v>
      </c>
      <c r="E12" s="60"/>
      <c r="F12" s="60"/>
      <c r="G12" s="60"/>
      <c r="H12" s="60"/>
    </row>
    <row r="13" spans="2:8" ht="19.5" customHeight="1">
      <c r="B13" s="9">
        <f t="array" ref="B13:C13">DaysAndWeeks+DATE(CalendarYear,4,1)-WEEKDAY(DATE(CalendarYear,4,1),(WeekStart="Monday")+1)+36</f>
        <v>45782</v>
      </c>
      <c r="C13" s="9">
        <v>45783</v>
      </c>
      <c r="D13" s="7" t="s">
        <v>0</v>
      </c>
      <c r="E13" s="124" t="s">
        <v>83</v>
      </c>
      <c r="F13" s="124"/>
      <c r="G13" s="124"/>
      <c r="H13" s="125"/>
    </row>
    <row r="14" spans="2:8" ht="57.9" customHeight="1">
      <c r="B14" s="9"/>
      <c r="C14" s="9"/>
      <c r="D14" s="8"/>
      <c r="E14" s="126"/>
      <c r="F14" s="126"/>
      <c r="G14" s="126"/>
      <c r="H14" s="127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M14"/>
  <sheetViews>
    <sheetView showGridLines="0" zoomScale="85" zoomScaleNormal="85" workbookViewId="0">
      <selection activeCell="K8" sqref="K8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13" ht="59.25" customHeight="1">
      <c r="B1" s="32" t="str">
        <f>"May "&amp;CalendarYear</f>
        <v>May 2025</v>
      </c>
      <c r="C1" s="33"/>
      <c r="D1" s="33"/>
      <c r="E1" s="34"/>
      <c r="F1" s="34"/>
      <c r="G1" s="34"/>
      <c r="H1" s="35"/>
    </row>
    <row r="2" spans="2:13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13" ht="19.5" customHeight="1">
      <c r="B3" s="10">
        <f t="array" ref="B3:H3">DaysAndWeeks+DATE(CalendarYear,5,1)-WEEKDAY(DATE(CalendarYear,5,1),(WeekStart="Monday")+1)+1</f>
        <v>45775</v>
      </c>
      <c r="C3" s="10">
        <v>45776</v>
      </c>
      <c r="D3" s="10">
        <v>45777</v>
      </c>
      <c r="E3" s="10">
        <v>45778</v>
      </c>
      <c r="F3" s="10">
        <v>45779</v>
      </c>
      <c r="G3" s="10">
        <v>45780</v>
      </c>
      <c r="H3" s="10">
        <v>45781</v>
      </c>
    </row>
    <row r="4" spans="2:13" s="77" customFormat="1" ht="57.9" customHeight="1">
      <c r="B4" s="60"/>
      <c r="C4" s="60"/>
      <c r="D4" s="60"/>
      <c r="E4" s="69" t="s">
        <v>49</v>
      </c>
      <c r="G4" s="64" t="s">
        <v>19</v>
      </c>
      <c r="H4" s="69" t="s">
        <v>5</v>
      </c>
      <c r="J4" s="92"/>
    </row>
    <row r="5" spans="2:13" ht="19.5" customHeight="1">
      <c r="B5" s="70">
        <f t="array" ref="B5:H5">DaysAndWeeks+DATE(CalendarYear,5,1)-WEEKDAY(DATE(CalendarYear,5,1),(WeekStart="Monday")+1)+8</f>
        <v>45782</v>
      </c>
      <c r="C5" s="9">
        <v>45783</v>
      </c>
      <c r="D5" s="9">
        <v>45784</v>
      </c>
      <c r="E5" s="9">
        <v>45785</v>
      </c>
      <c r="F5" s="9">
        <v>45786</v>
      </c>
      <c r="G5" s="9">
        <v>45787</v>
      </c>
      <c r="H5" s="9">
        <v>45788</v>
      </c>
    </row>
    <row r="6" spans="2:13" s="77" customFormat="1" ht="57.9" customHeight="1">
      <c r="B6" s="66" t="s">
        <v>8</v>
      </c>
      <c r="C6" s="61"/>
      <c r="D6" s="75" t="s">
        <v>12</v>
      </c>
      <c r="E6" s="93" t="s">
        <v>50</v>
      </c>
      <c r="F6" s="61"/>
      <c r="G6" s="79" t="s">
        <v>30</v>
      </c>
      <c r="H6" s="76" t="s">
        <v>68</v>
      </c>
    </row>
    <row r="7" spans="2:13" ht="19.5" customHeight="1">
      <c r="B7" s="10">
        <f t="array" ref="B7:H7">DaysAndWeeks+DATE(CalendarYear,5,1)-WEEKDAY(DATE(CalendarYear,5,1),(WeekStart="Monday")+1)+15</f>
        <v>45789</v>
      </c>
      <c r="C7" s="10">
        <v>45790</v>
      </c>
      <c r="D7" s="10">
        <v>45791</v>
      </c>
      <c r="E7" s="10">
        <v>45792</v>
      </c>
      <c r="F7" s="10">
        <v>45793</v>
      </c>
      <c r="G7" s="10">
        <v>45794</v>
      </c>
      <c r="H7" s="10">
        <v>45795</v>
      </c>
    </row>
    <row r="8" spans="2:13" s="77" customFormat="1" ht="57.9" customHeight="1">
      <c r="B8" s="106" t="s">
        <v>14</v>
      </c>
      <c r="C8" s="106" t="s">
        <v>14</v>
      </c>
      <c r="D8" s="106" t="s">
        <v>14</v>
      </c>
      <c r="E8" s="64" t="s">
        <v>50</v>
      </c>
      <c r="F8" s="91" t="s">
        <v>33</v>
      </c>
      <c r="G8" s="103" t="s">
        <v>89</v>
      </c>
      <c r="H8" s="102" t="s">
        <v>89</v>
      </c>
    </row>
    <row r="9" spans="2:13" ht="19.5" customHeight="1">
      <c r="B9" s="9">
        <f t="array" ref="B9:H9">DaysAndWeeks+DATE(CalendarYear,5,1)-WEEKDAY(DATE(CalendarYear,5,1),(WeekStart="Monday")+1)+22</f>
        <v>45796</v>
      </c>
      <c r="C9" s="9">
        <v>45797</v>
      </c>
      <c r="D9" s="9">
        <v>45798</v>
      </c>
      <c r="E9" s="9">
        <v>45799</v>
      </c>
      <c r="F9" s="9">
        <v>45800</v>
      </c>
      <c r="G9" s="9">
        <v>45801</v>
      </c>
      <c r="H9" s="9">
        <v>45802</v>
      </c>
    </row>
    <row r="10" spans="2:13" s="77" customFormat="1" ht="57.9" customHeight="1">
      <c r="B10" s="61"/>
      <c r="C10" s="61"/>
      <c r="D10" s="79" t="s">
        <v>13</v>
      </c>
      <c r="E10" s="93" t="s">
        <v>50</v>
      </c>
      <c r="F10" s="91" t="s">
        <v>34</v>
      </c>
      <c r="G10" s="75" t="s">
        <v>5</v>
      </c>
      <c r="H10" s="76" t="s">
        <v>77</v>
      </c>
      <c r="L10" s="69"/>
      <c r="M10" s="65"/>
    </row>
    <row r="11" spans="2:13" ht="19.5" customHeight="1">
      <c r="B11" s="10">
        <f t="array" ref="B11:H11">DaysAndWeeks+DATE(CalendarYear,5,1)-WEEKDAY(DATE(CalendarYear,5,1),(WeekStart="Monday")+1)+29</f>
        <v>45803</v>
      </c>
      <c r="C11" s="10">
        <v>45804</v>
      </c>
      <c r="D11" s="10">
        <v>45805</v>
      </c>
      <c r="E11" s="10">
        <v>45806</v>
      </c>
      <c r="F11" s="10">
        <v>45807</v>
      </c>
      <c r="G11" s="10">
        <v>45808</v>
      </c>
      <c r="H11" s="10">
        <v>45809</v>
      </c>
    </row>
    <row r="12" spans="2:13" s="77" customFormat="1" ht="57.9" customHeight="1">
      <c r="B12" s="60"/>
      <c r="C12" s="60"/>
      <c r="D12" s="69" t="s">
        <v>12</v>
      </c>
      <c r="E12" s="64" t="s">
        <v>55</v>
      </c>
      <c r="F12" s="91" t="s">
        <v>109</v>
      </c>
      <c r="G12" s="69" t="s">
        <v>5</v>
      </c>
      <c r="H12" s="60"/>
    </row>
    <row r="13" spans="2:13" ht="19.5" customHeight="1">
      <c r="B13" s="9">
        <f t="array" ref="B13:C13">DaysAndWeeks+DATE(CalendarYear,5,1)-WEEKDAY(DATE(CalendarYear,5,1),(WeekStart="Monday")+1)+36</f>
        <v>45810</v>
      </c>
      <c r="C13" s="9">
        <v>45811</v>
      </c>
      <c r="D13" s="7" t="s">
        <v>0</v>
      </c>
      <c r="E13" s="124" t="s">
        <v>88</v>
      </c>
      <c r="F13" s="124"/>
      <c r="G13" s="124"/>
      <c r="H13" s="125"/>
    </row>
    <row r="14" spans="2:13" ht="57.9" customHeight="1">
      <c r="B14" s="9"/>
      <c r="C14" s="9"/>
      <c r="D14" s="90" t="s">
        <v>31</v>
      </c>
      <c r="E14" s="126"/>
      <c r="F14" s="126"/>
      <c r="G14" s="126"/>
      <c r="H14" s="127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7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topLeftCell="A3" zoomScale="85" zoomScaleNormal="85" workbookViewId="0">
      <selection activeCell="B15" sqref="B15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8" ht="59.25" customHeight="1">
      <c r="B1" s="18" t="str">
        <f>"June "&amp;CalendarYear</f>
        <v>June 2025</v>
      </c>
      <c r="C1" s="19"/>
      <c r="D1" s="19"/>
      <c r="E1" s="20"/>
      <c r="F1" s="20"/>
      <c r="G1" s="20"/>
      <c r="H1" s="21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DaysAndWeeks+DATE(CalendarYear,6,1)-WEEKDAY(DATE(CalendarYear,6,1),(WeekStart="Monday")+1)+1</f>
        <v>45803</v>
      </c>
      <c r="C3" s="10">
        <v>45804</v>
      </c>
      <c r="D3" s="10">
        <v>45805</v>
      </c>
      <c r="E3" s="10">
        <v>45806</v>
      </c>
      <c r="F3" s="10">
        <v>45807</v>
      </c>
      <c r="G3" s="10">
        <v>45808</v>
      </c>
      <c r="H3" s="10">
        <v>45809</v>
      </c>
    </row>
    <row r="4" spans="2:8" s="77" customFormat="1" ht="57.9" customHeight="1">
      <c r="B4" s="60"/>
      <c r="C4" s="60"/>
      <c r="D4" s="60"/>
      <c r="E4" s="60"/>
      <c r="F4" s="60"/>
      <c r="G4" s="60"/>
      <c r="H4" s="65" t="s">
        <v>91</v>
      </c>
    </row>
    <row r="5" spans="2:8" ht="19.5" customHeight="1">
      <c r="B5" s="9">
        <f t="array" ref="B5:H5">DaysAndWeeks+DATE(CalendarYear,6,1)-WEEKDAY(DATE(CalendarYear,6,1),(WeekStart="Monday")+1)+8</f>
        <v>45810</v>
      </c>
      <c r="C5" s="9">
        <v>45811</v>
      </c>
      <c r="D5" s="9">
        <v>45812</v>
      </c>
      <c r="E5" s="9">
        <v>45813</v>
      </c>
      <c r="F5" s="9">
        <v>45814</v>
      </c>
      <c r="G5" s="9">
        <v>45815</v>
      </c>
      <c r="H5" s="9">
        <v>45816</v>
      </c>
    </row>
    <row r="6" spans="2:8" s="77" customFormat="1" ht="57.9" customHeight="1">
      <c r="B6" s="91" t="s">
        <v>35</v>
      </c>
      <c r="C6" s="61"/>
      <c r="D6" s="75" t="s">
        <v>12</v>
      </c>
      <c r="E6" s="75" t="s">
        <v>49</v>
      </c>
      <c r="F6" s="91" t="s">
        <v>36</v>
      </c>
      <c r="G6" s="84" t="s">
        <v>19</v>
      </c>
      <c r="H6" s="76" t="s">
        <v>72</v>
      </c>
    </row>
    <row r="7" spans="2:8" ht="19.5" customHeight="1">
      <c r="B7" s="10">
        <f t="array" ref="B7:H7">DaysAndWeeks+DATE(CalendarYear,6,1)-WEEKDAY(DATE(CalendarYear,6,1),(WeekStart="Monday")+1)+15</f>
        <v>45817</v>
      </c>
      <c r="C7" s="10">
        <v>45818</v>
      </c>
      <c r="D7" s="10">
        <v>45819</v>
      </c>
      <c r="E7" s="10">
        <v>45820</v>
      </c>
      <c r="F7" s="10">
        <v>45821</v>
      </c>
      <c r="G7" s="10">
        <v>45822</v>
      </c>
      <c r="H7" s="10">
        <v>45823</v>
      </c>
    </row>
    <row r="8" spans="2:8" s="77" customFormat="1" ht="57.9" customHeight="1">
      <c r="B8" s="105" t="s">
        <v>92</v>
      </c>
      <c r="C8" s="60"/>
      <c r="D8" s="69" t="s">
        <v>12</v>
      </c>
      <c r="E8" s="69" t="s">
        <v>57</v>
      </c>
      <c r="F8" s="91" t="s">
        <v>37</v>
      </c>
      <c r="G8" s="69" t="s">
        <v>5</v>
      </c>
      <c r="H8" s="109" t="s">
        <v>106</v>
      </c>
    </row>
    <row r="9" spans="2:8" ht="19.5" customHeight="1">
      <c r="B9" s="9">
        <f t="array" ref="B9:H9">DaysAndWeeks+DATE(CalendarYear,6,1)-WEEKDAY(DATE(CalendarYear,6,1),(WeekStart="Monday")+1)+22</f>
        <v>45824</v>
      </c>
      <c r="C9" s="9">
        <v>45825</v>
      </c>
      <c r="D9" s="9">
        <v>45826</v>
      </c>
      <c r="E9" s="9">
        <v>45827</v>
      </c>
      <c r="F9" s="9">
        <v>45828</v>
      </c>
      <c r="G9" s="9">
        <v>45829</v>
      </c>
      <c r="H9" s="9">
        <v>45830</v>
      </c>
    </row>
    <row r="10" spans="2:8" s="77" customFormat="1" ht="57.9" customHeight="1">
      <c r="B10" s="61"/>
      <c r="C10" s="61"/>
      <c r="D10" s="79" t="s">
        <v>13</v>
      </c>
      <c r="E10" s="93" t="s">
        <v>50</v>
      </c>
      <c r="F10" s="91" t="s">
        <v>38</v>
      </c>
      <c r="G10" s="79" t="s">
        <v>29</v>
      </c>
      <c r="H10" s="71" t="s">
        <v>107</v>
      </c>
    </row>
    <row r="11" spans="2:8" ht="19.5" customHeight="1">
      <c r="B11" s="10">
        <f t="array" ref="B11:H11">DaysAndWeeks+DATE(CalendarYear,6,1)-WEEKDAY(DATE(CalendarYear,6,1),(WeekStart="Monday")+1)+29</f>
        <v>45831</v>
      </c>
      <c r="C11" s="10">
        <v>45832</v>
      </c>
      <c r="D11" s="10">
        <v>45833</v>
      </c>
      <c r="E11" s="10">
        <v>45834</v>
      </c>
      <c r="F11" s="10">
        <v>45835</v>
      </c>
      <c r="G11" s="10">
        <v>45836</v>
      </c>
      <c r="H11" s="10">
        <v>45837</v>
      </c>
    </row>
    <row r="12" spans="2:8" s="77" customFormat="1" ht="57.9" customHeight="1">
      <c r="B12" s="60"/>
      <c r="C12" s="60"/>
      <c r="D12" s="69" t="s">
        <v>12</v>
      </c>
      <c r="E12" s="96" t="s">
        <v>50</v>
      </c>
      <c r="F12" s="91" t="s">
        <v>39</v>
      </c>
      <c r="G12" s="69" t="s">
        <v>5</v>
      </c>
      <c r="H12" s="65" t="s">
        <v>5</v>
      </c>
    </row>
    <row r="13" spans="2:8" ht="19.5" customHeight="1">
      <c r="B13" s="9">
        <f t="array" ref="B13:C13">DaysAndWeeks+DATE(CalendarYear,6,1)-WEEKDAY(DATE(CalendarYear,6,1),(WeekStart="Monday")+1)+36</f>
        <v>45838</v>
      </c>
      <c r="C13" s="9">
        <v>45839</v>
      </c>
      <c r="D13" s="7" t="s">
        <v>0</v>
      </c>
      <c r="E13" s="120" t="s">
        <v>67</v>
      </c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opLeftCell="A6" zoomScale="85" zoomScaleNormal="85" workbookViewId="0">
      <selection activeCell="B17" sqref="B17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8" ht="59.25" customHeight="1">
      <c r="B1" s="36" t="str">
        <f>"July "&amp;CalendarYear</f>
        <v>July 2025</v>
      </c>
      <c r="C1" s="37"/>
      <c r="D1" s="37"/>
      <c r="E1" s="38"/>
      <c r="F1" s="38"/>
      <c r="G1" s="38"/>
      <c r="H1" s="39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DaysAndWeeks+DATE(CalendarYear,7,1)-WEEKDAY(DATE(CalendarYear,7,1),(WeekStart="Monday")+1)+1</f>
        <v>45838</v>
      </c>
      <c r="C3" s="10">
        <v>45839</v>
      </c>
      <c r="D3" s="10">
        <v>45840</v>
      </c>
      <c r="E3" s="10">
        <v>45841</v>
      </c>
      <c r="F3" s="10">
        <v>45842</v>
      </c>
      <c r="G3" s="10">
        <v>45843</v>
      </c>
      <c r="H3" s="10">
        <v>45844</v>
      </c>
    </row>
    <row r="4" spans="2:8" s="77" customFormat="1" ht="57.9" customHeight="1">
      <c r="B4" s="69" t="s">
        <v>84</v>
      </c>
      <c r="C4" s="60"/>
      <c r="D4" s="69" t="s">
        <v>12</v>
      </c>
      <c r="E4" s="99" t="s">
        <v>93</v>
      </c>
      <c r="F4" s="91" t="s">
        <v>40</v>
      </c>
      <c r="G4" s="88" t="s">
        <v>22</v>
      </c>
      <c r="H4" s="65" t="s">
        <v>85</v>
      </c>
    </row>
    <row r="5" spans="2:8" ht="19.5" customHeight="1">
      <c r="B5" s="72">
        <f t="array" ref="B5:H5">DaysAndWeeks+DATE(CalendarYear,7,1)-WEEKDAY(DATE(CalendarYear,7,1),(WeekStart="Monday")+1)+8</f>
        <v>45845</v>
      </c>
      <c r="C5" s="9">
        <v>45846</v>
      </c>
      <c r="D5" s="9">
        <v>45847</v>
      </c>
      <c r="E5" s="9">
        <v>45848</v>
      </c>
      <c r="F5" s="9">
        <v>45849</v>
      </c>
      <c r="G5" s="9">
        <v>45850</v>
      </c>
      <c r="H5" s="9">
        <v>45851</v>
      </c>
    </row>
    <row r="6" spans="2:8" s="77" customFormat="1" ht="57.9" customHeight="1">
      <c r="B6" s="81" t="s">
        <v>15</v>
      </c>
      <c r="C6" s="82" t="s">
        <v>15</v>
      </c>
      <c r="D6" s="75" t="s">
        <v>12</v>
      </c>
      <c r="E6" s="93" t="s">
        <v>50</v>
      </c>
      <c r="F6" s="91" t="s">
        <v>41</v>
      </c>
      <c r="G6" s="89" t="s">
        <v>23</v>
      </c>
      <c r="H6" s="76" t="s">
        <v>5</v>
      </c>
    </row>
    <row r="7" spans="2:8" ht="19.5" customHeight="1">
      <c r="B7" s="10">
        <f t="array" ref="B7:H7">DaysAndWeeks+DATE(CalendarYear,7,1)-WEEKDAY(DATE(CalendarYear,7,1),(WeekStart="Monday")+1)+15</f>
        <v>45852</v>
      </c>
      <c r="C7" s="10">
        <v>45853</v>
      </c>
      <c r="D7" s="10">
        <v>45854</v>
      </c>
      <c r="E7" s="10">
        <v>45855</v>
      </c>
      <c r="F7" s="10">
        <v>45856</v>
      </c>
      <c r="G7" s="10">
        <v>45857</v>
      </c>
      <c r="H7" s="10">
        <v>45858</v>
      </c>
    </row>
    <row r="8" spans="2:8" s="77" customFormat="1" ht="57.9" customHeight="1">
      <c r="C8" s="112" t="s">
        <v>110</v>
      </c>
      <c r="D8" s="78" t="s">
        <v>13</v>
      </c>
      <c r="E8" s="96" t="s">
        <v>50</v>
      </c>
      <c r="F8" s="91" t="s">
        <v>42</v>
      </c>
      <c r="G8" s="88" t="s">
        <v>24</v>
      </c>
      <c r="H8" s="65" t="s">
        <v>78</v>
      </c>
    </row>
    <row r="9" spans="2:8" ht="19.5" customHeight="1">
      <c r="B9" s="9">
        <f t="array" ref="B9:H9">DaysAndWeeks+DATE(CalendarYear,7,1)-WEEKDAY(DATE(CalendarYear,7,1),(WeekStart="Monday")+1)+22</f>
        <v>45859</v>
      </c>
      <c r="C9" s="9">
        <v>45860</v>
      </c>
      <c r="D9" s="9">
        <v>45861</v>
      </c>
      <c r="E9" s="9">
        <v>45862</v>
      </c>
      <c r="F9" s="9">
        <v>45863</v>
      </c>
      <c r="G9" s="9">
        <v>45864</v>
      </c>
      <c r="H9" s="9">
        <v>45865</v>
      </c>
    </row>
    <row r="10" spans="2:8" s="77" customFormat="1" ht="57.9" customHeight="1">
      <c r="B10" s="61"/>
      <c r="C10" s="61"/>
      <c r="D10" s="75" t="s">
        <v>12</v>
      </c>
      <c r="E10" s="75" t="s">
        <v>49</v>
      </c>
      <c r="F10" s="108"/>
      <c r="G10" s="75" t="s">
        <v>5</v>
      </c>
      <c r="H10" s="76" t="s">
        <v>5</v>
      </c>
    </row>
    <row r="11" spans="2:8" ht="19.5" customHeight="1">
      <c r="B11" s="10">
        <f t="array" ref="B11:H11">DaysAndWeeks+DATE(CalendarYear,7,1)-WEEKDAY(DATE(CalendarYear,7,1),(WeekStart="Monday")+1)+29</f>
        <v>45866</v>
      </c>
      <c r="C11" s="10">
        <v>45867</v>
      </c>
      <c r="D11" s="10">
        <v>45868</v>
      </c>
      <c r="E11" s="10">
        <v>45869</v>
      </c>
      <c r="F11" s="10">
        <v>45870</v>
      </c>
      <c r="G11" s="10">
        <v>45871</v>
      </c>
      <c r="H11" s="10">
        <v>45872</v>
      </c>
    </row>
    <row r="12" spans="2:8" s="77" customFormat="1" ht="57.9" customHeight="1">
      <c r="B12" s="83" t="s">
        <v>16</v>
      </c>
      <c r="C12" s="83" t="s">
        <v>16</v>
      </c>
      <c r="D12" s="69" t="s">
        <v>12</v>
      </c>
      <c r="E12" s="96" t="s">
        <v>50</v>
      </c>
      <c r="F12" s="60"/>
      <c r="G12" s="60"/>
      <c r="H12" s="60"/>
    </row>
    <row r="13" spans="2:8" ht="19.5" customHeight="1">
      <c r="B13" s="9">
        <f t="array" ref="B13:C13">DaysAndWeeks+DATE(CalendarYear,7,1)-WEEKDAY(DATE(CalendarYear,7,1),(WeekStart="Monday")+1)+36</f>
        <v>45873</v>
      </c>
      <c r="C13" s="9">
        <v>45874</v>
      </c>
      <c r="D13" s="7" t="s">
        <v>0</v>
      </c>
      <c r="E13" s="124" t="s">
        <v>86</v>
      </c>
      <c r="F13" s="124"/>
      <c r="G13" s="124"/>
      <c r="H13" s="125"/>
    </row>
    <row r="14" spans="2:8" ht="57.9" customHeight="1">
      <c r="B14" s="9"/>
      <c r="C14" s="9"/>
      <c r="D14" s="8"/>
      <c r="E14" s="126"/>
      <c r="F14" s="126"/>
      <c r="G14" s="126"/>
      <c r="H14" s="127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8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M14"/>
  <sheetViews>
    <sheetView showGridLines="0" topLeftCell="A10" zoomScale="85" zoomScaleNormal="85" workbookViewId="0">
      <selection activeCell="B16" sqref="B16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13" ht="59.25" customHeight="1">
      <c r="B1" s="40" t="str">
        <f>"August "&amp;CalendarYear</f>
        <v>August 2025</v>
      </c>
      <c r="C1" s="41"/>
      <c r="D1" s="41"/>
      <c r="E1" s="42"/>
      <c r="F1" s="42"/>
      <c r="G1" s="42"/>
      <c r="H1" s="43"/>
    </row>
    <row r="2" spans="2:13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13" ht="19.5" customHeight="1">
      <c r="B3" s="10">
        <f t="array" ref="B3:H3">DaysAndWeeks+DATE(CalendarYear,8,1)-WEEKDAY(DATE(CalendarYear,8,1),(WeekStart="Monday")+1)+1</f>
        <v>45866</v>
      </c>
      <c r="C3" s="10">
        <v>45867</v>
      </c>
      <c r="D3" s="10">
        <v>45868</v>
      </c>
      <c r="E3" s="10">
        <v>45869</v>
      </c>
      <c r="F3" s="10">
        <v>45870</v>
      </c>
      <c r="G3" s="10">
        <v>45871</v>
      </c>
      <c r="H3" s="10">
        <v>45872</v>
      </c>
    </row>
    <row r="4" spans="2:13" s="77" customFormat="1" ht="57.9" customHeight="1">
      <c r="B4" s="60"/>
      <c r="C4" s="60"/>
      <c r="D4" s="60"/>
      <c r="E4" s="60"/>
      <c r="F4" s="92"/>
      <c r="G4" s="64" t="s">
        <v>19</v>
      </c>
      <c r="H4" s="65" t="s">
        <v>9</v>
      </c>
    </row>
    <row r="5" spans="2:13" ht="19.5" customHeight="1">
      <c r="B5" s="9">
        <f t="array" ref="B5:H5">DaysAndWeeks+DATE(CalendarYear,8,1)-WEEKDAY(DATE(CalendarYear,8,1),(WeekStart="Monday")+1)+8</f>
        <v>45873</v>
      </c>
      <c r="C5" s="9">
        <v>45874</v>
      </c>
      <c r="D5" s="9">
        <v>45875</v>
      </c>
      <c r="E5" s="9">
        <v>45876</v>
      </c>
      <c r="F5" s="9">
        <v>45877</v>
      </c>
      <c r="G5" s="9">
        <v>45878</v>
      </c>
      <c r="H5" s="9">
        <v>45879</v>
      </c>
    </row>
    <row r="6" spans="2:13" s="77" customFormat="1" ht="57.9" customHeight="1">
      <c r="B6" s="61"/>
      <c r="C6" s="61"/>
      <c r="D6" s="75" t="s">
        <v>12</v>
      </c>
      <c r="E6" s="75" t="s">
        <v>49</v>
      </c>
      <c r="F6" s="91" t="s">
        <v>108</v>
      </c>
      <c r="G6" s="75" t="s">
        <v>5</v>
      </c>
      <c r="H6" s="76" t="s">
        <v>5</v>
      </c>
      <c r="L6" s="101"/>
    </row>
    <row r="7" spans="2:13" ht="19.5" customHeight="1">
      <c r="B7" s="10">
        <f t="array" ref="B7:H7">DaysAndWeeks+DATE(CalendarYear,8,1)-WEEKDAY(DATE(CalendarYear,8,1),(WeekStart="Monday")+1)+15</f>
        <v>45880</v>
      </c>
      <c r="C7" s="10">
        <v>45881</v>
      </c>
      <c r="D7" s="10">
        <v>45882</v>
      </c>
      <c r="E7" s="10">
        <v>45883</v>
      </c>
      <c r="F7" s="10">
        <v>45884</v>
      </c>
      <c r="G7" s="10">
        <v>45885</v>
      </c>
      <c r="H7" s="10">
        <v>45886</v>
      </c>
    </row>
    <row r="8" spans="2:13" s="77" customFormat="1" ht="57.9" customHeight="1">
      <c r="B8" s="60"/>
      <c r="C8" s="60"/>
      <c r="D8" s="69" t="s">
        <v>12</v>
      </c>
      <c r="E8" s="78" t="s">
        <v>59</v>
      </c>
      <c r="F8" s="91" t="s">
        <v>112</v>
      </c>
      <c r="G8" s="78" t="s">
        <v>60</v>
      </c>
      <c r="H8" s="65" t="s">
        <v>79</v>
      </c>
    </row>
    <row r="9" spans="2:13" ht="19.5" customHeight="1">
      <c r="B9" s="9">
        <f t="array" ref="B9:H9">DaysAndWeeks+DATE(CalendarYear,8,1)-WEEKDAY(DATE(CalendarYear,8,1),(WeekStart="Monday")+1)+22</f>
        <v>45887</v>
      </c>
      <c r="C9" s="9">
        <v>45888</v>
      </c>
      <c r="D9" s="9">
        <v>45889</v>
      </c>
      <c r="E9" s="9">
        <v>45890</v>
      </c>
      <c r="F9" s="9">
        <v>45891</v>
      </c>
      <c r="G9" s="9">
        <v>45892</v>
      </c>
      <c r="H9" s="9">
        <v>45893</v>
      </c>
      <c r="L9" s="69"/>
      <c r="M9" s="65"/>
    </row>
    <row r="10" spans="2:13" s="77" customFormat="1" ht="57.9" customHeight="1">
      <c r="B10" s="97" t="s">
        <v>100</v>
      </c>
      <c r="C10" s="61"/>
      <c r="D10" s="79" t="s">
        <v>13</v>
      </c>
      <c r="E10" s="93" t="s">
        <v>50</v>
      </c>
      <c r="F10" s="110"/>
      <c r="G10" s="75" t="s">
        <v>5</v>
      </c>
      <c r="H10" s="76" t="s">
        <v>5</v>
      </c>
    </row>
    <row r="11" spans="2:13" ht="19.5" customHeight="1">
      <c r="B11" s="10">
        <f t="array" ref="B11:H11">DaysAndWeeks+DATE(CalendarYear,8,1)-WEEKDAY(DATE(CalendarYear,8,1),(WeekStart="Monday")+1)+29</f>
        <v>45894</v>
      </c>
      <c r="C11" s="10">
        <v>45895</v>
      </c>
      <c r="D11" s="10">
        <v>45896</v>
      </c>
      <c r="E11" s="10">
        <v>45897</v>
      </c>
      <c r="F11" s="10">
        <v>45898</v>
      </c>
      <c r="G11" s="10">
        <v>45899</v>
      </c>
      <c r="H11" s="10">
        <v>45900</v>
      </c>
    </row>
    <row r="12" spans="2:13" s="77" customFormat="1" ht="57.9" customHeight="1">
      <c r="B12" s="60"/>
      <c r="C12" s="60"/>
      <c r="D12" s="69" t="s">
        <v>12</v>
      </c>
      <c r="E12" s="94" t="s">
        <v>93</v>
      </c>
      <c r="F12" s="91" t="s">
        <v>43</v>
      </c>
      <c r="G12" s="65" t="s">
        <v>70</v>
      </c>
      <c r="H12" s="65" t="s">
        <v>71</v>
      </c>
    </row>
    <row r="13" spans="2:13" ht="19.5" customHeight="1">
      <c r="B13" s="9">
        <f t="array" ref="B13:C13">DaysAndWeeks+DATE(CalendarYear,8,1)-WEEKDAY(DATE(CalendarYear,8,1),(WeekStart="Monday")+1)+36</f>
        <v>45901</v>
      </c>
      <c r="C13" s="9">
        <v>45902</v>
      </c>
      <c r="D13" s="7" t="s">
        <v>0</v>
      </c>
      <c r="E13" s="124" t="s">
        <v>105</v>
      </c>
      <c r="F13" s="124"/>
      <c r="G13" s="124"/>
      <c r="H13" s="125"/>
    </row>
    <row r="14" spans="2:13" ht="57.9" customHeight="1">
      <c r="B14" s="9"/>
      <c r="C14" s="9"/>
      <c r="D14" s="8"/>
      <c r="E14" s="126"/>
      <c r="F14" s="126"/>
      <c r="G14" s="126"/>
      <c r="H14" s="127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opLeftCell="A7" zoomScale="70" zoomScaleNormal="70" workbookViewId="0">
      <selection activeCell="O8" sqref="O7:O8"/>
    </sheetView>
  </sheetViews>
  <sheetFormatPr defaultColWidth="8.90625" defaultRowHeight="13.8"/>
  <cols>
    <col min="1" max="1" width="2.81640625" customWidth="1"/>
    <col min="2" max="2" width="18.453125" customWidth="1"/>
    <col min="3" max="8" width="17.81640625" customWidth="1"/>
    <col min="9" max="9" width="2.81640625" customWidth="1"/>
    <col min="10" max="10" width="10.6328125" customWidth="1"/>
  </cols>
  <sheetData>
    <row r="1" spans="2:8" ht="59.25" customHeight="1">
      <c r="B1" s="44" t="str">
        <f>"September "&amp;CalendarYear</f>
        <v>September 2025</v>
      </c>
      <c r="C1" s="45"/>
      <c r="D1" s="45"/>
      <c r="E1" s="46"/>
      <c r="F1" s="46"/>
      <c r="G1" s="46"/>
      <c r="H1" s="47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0">
        <f t="array" ref="B3:H3">DaysAndWeeks+DATE(CalendarYear,9,1)-WEEKDAY(DATE(CalendarYear,9,1),(WeekStart="Monday")+1)+1</f>
        <v>45901</v>
      </c>
      <c r="C3" s="10">
        <v>45902</v>
      </c>
      <c r="D3" s="10">
        <v>45903</v>
      </c>
      <c r="E3" s="10">
        <v>45904</v>
      </c>
      <c r="F3" s="10">
        <v>45905</v>
      </c>
      <c r="G3" s="10">
        <v>45906</v>
      </c>
      <c r="H3" s="10">
        <v>45907</v>
      </c>
    </row>
    <row r="4" spans="2:8" s="77" customFormat="1" ht="57.9" customHeight="1">
      <c r="B4" s="80" t="s">
        <v>17</v>
      </c>
      <c r="C4" s="80" t="s">
        <v>17</v>
      </c>
      <c r="D4" s="69" t="s">
        <v>12</v>
      </c>
      <c r="E4" s="96" t="s">
        <v>50</v>
      </c>
      <c r="F4" s="91" t="s">
        <v>44</v>
      </c>
      <c r="G4" s="64" t="s">
        <v>19</v>
      </c>
      <c r="H4" s="65" t="s">
        <v>5</v>
      </c>
    </row>
    <row r="5" spans="2:8" ht="19.5" customHeight="1">
      <c r="B5" s="9">
        <f t="array" ref="B5:H5">DaysAndWeeks+DATE(CalendarYear,9,1)-WEEKDAY(DATE(CalendarYear,9,1),(WeekStart="Monday")+1)+8</f>
        <v>45908</v>
      </c>
      <c r="C5" s="9">
        <v>45909</v>
      </c>
      <c r="D5" s="9">
        <v>45910</v>
      </c>
      <c r="E5" s="9">
        <v>45911</v>
      </c>
      <c r="F5" s="9">
        <v>45912</v>
      </c>
      <c r="G5" s="9">
        <v>45913</v>
      </c>
      <c r="H5" s="9">
        <v>45914</v>
      </c>
    </row>
    <row r="6" spans="2:8" s="77" customFormat="1" ht="57.9" customHeight="1">
      <c r="B6" s="61"/>
      <c r="C6" s="61"/>
      <c r="D6" s="75" t="s">
        <v>12</v>
      </c>
      <c r="E6" s="75" t="s">
        <v>49</v>
      </c>
      <c r="F6" s="110"/>
      <c r="G6" s="75" t="s">
        <v>27</v>
      </c>
      <c r="H6" s="76" t="s">
        <v>5</v>
      </c>
    </row>
    <row r="7" spans="2:8" ht="19.5" customHeight="1">
      <c r="B7" s="10">
        <f t="array" ref="B7:H7">DaysAndWeeks+DATE(CalendarYear,9,1)-WEEKDAY(DATE(CalendarYear,9,1),(WeekStart="Monday")+1)+15</f>
        <v>45915</v>
      </c>
      <c r="C7" s="10">
        <v>45916</v>
      </c>
      <c r="D7" s="10">
        <v>45917</v>
      </c>
      <c r="E7" s="10">
        <v>45918</v>
      </c>
      <c r="F7" s="10">
        <v>45919</v>
      </c>
      <c r="G7" s="10">
        <v>45920</v>
      </c>
      <c r="H7" s="10">
        <v>45921</v>
      </c>
    </row>
    <row r="8" spans="2:8" s="77" customFormat="1" ht="57.9" customHeight="1">
      <c r="B8" s="60"/>
      <c r="C8" s="60"/>
      <c r="D8" s="78" t="s">
        <v>13</v>
      </c>
      <c r="E8" s="96" t="s">
        <v>50</v>
      </c>
      <c r="F8" s="91" t="s">
        <v>32</v>
      </c>
      <c r="G8" s="99" t="s">
        <v>25</v>
      </c>
      <c r="H8" s="65" t="s">
        <v>80</v>
      </c>
    </row>
    <row r="9" spans="2:8" ht="19.5" customHeight="1">
      <c r="B9" s="9">
        <f t="array" ref="B9:H9">DaysAndWeeks+DATE(CalendarYear,9,1)-WEEKDAY(DATE(CalendarYear,9,1),(WeekStart="Monday")+1)+22</f>
        <v>45922</v>
      </c>
      <c r="C9" s="9">
        <v>45923</v>
      </c>
      <c r="D9" s="9">
        <v>45924</v>
      </c>
      <c r="E9" s="9">
        <v>45925</v>
      </c>
      <c r="F9" s="9">
        <v>45926</v>
      </c>
      <c r="G9" s="9">
        <v>45927</v>
      </c>
      <c r="H9" s="9">
        <v>45928</v>
      </c>
    </row>
    <row r="10" spans="2:8" s="77" customFormat="1" ht="57.9" customHeight="1">
      <c r="B10" s="61"/>
      <c r="C10" s="61"/>
      <c r="D10" s="75" t="s">
        <v>12</v>
      </c>
      <c r="E10" s="98" t="s">
        <v>56</v>
      </c>
      <c r="F10" s="91" t="s">
        <v>45</v>
      </c>
      <c r="G10" s="75" t="s">
        <v>102</v>
      </c>
      <c r="H10" s="76" t="s">
        <v>5</v>
      </c>
    </row>
    <row r="11" spans="2:8" ht="19.5" customHeight="1">
      <c r="B11" s="10">
        <f t="array" ref="B11:H11">DaysAndWeeks+DATE(CalendarYear,9,1)-WEEKDAY(DATE(CalendarYear,9,1),(WeekStart="Monday")+1)+29</f>
        <v>45929</v>
      </c>
      <c r="C11" s="10">
        <v>45930</v>
      </c>
      <c r="D11" s="10">
        <v>45931</v>
      </c>
      <c r="E11" s="10">
        <v>45932</v>
      </c>
      <c r="F11" s="10">
        <v>45933</v>
      </c>
      <c r="G11" s="10">
        <v>45934</v>
      </c>
      <c r="H11" s="10">
        <v>45935</v>
      </c>
    </row>
    <row r="12" spans="2:8" s="77" customFormat="1" ht="57.9" customHeight="1">
      <c r="B12" s="60"/>
      <c r="C12" s="60"/>
      <c r="D12" s="60"/>
      <c r="E12" s="60"/>
      <c r="F12" s="60"/>
      <c r="G12" s="60"/>
      <c r="H12" s="60"/>
    </row>
    <row r="13" spans="2:8" ht="19.5" customHeight="1">
      <c r="B13" s="9">
        <f t="array" ref="B13:C13">DaysAndWeeks+DATE(CalendarYear,9,1)-WEEKDAY(DATE(CalendarYear,9,1),(WeekStart="Monday")+1)+36</f>
        <v>45936</v>
      </c>
      <c r="C13" s="9">
        <v>45937</v>
      </c>
      <c r="D13" s="7" t="s">
        <v>0</v>
      </c>
      <c r="E13" s="120" t="s">
        <v>103</v>
      </c>
      <c r="F13" s="120"/>
      <c r="G13" s="120"/>
      <c r="H13" s="121"/>
    </row>
    <row r="14" spans="2:8" ht="57.9" customHeight="1">
      <c r="B14" s="9"/>
      <c r="C14" s="9"/>
      <c r="D14" s="8"/>
      <c r="E14" s="122"/>
      <c r="F14" s="122"/>
      <c r="G14" s="122"/>
      <c r="H14" s="123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:C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2025-10-03T01:09:26Z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