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4.xml" ContentType="application/vnd.openxmlformats-officedocument.drawing+xml"/>
  <Override PartName="/xl/tables/table18.xml" ContentType="application/vnd.openxmlformats-officedocument.spreadsheetml.table+xml"/>
  <Override PartName="/xl/drawings/drawing5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alko\Dropbox\YouTube bonotos\2023-08-Kooperation\"/>
    </mc:Choice>
  </mc:AlternateContent>
  <xr:revisionPtr revIDLastSave="0" documentId="13_ncr:1_{79F195B2-A158-4EA3-B4F5-E8EDB6EA4494}" xr6:coauthVersionLast="47" xr6:coauthVersionMax="47" xr10:uidLastSave="{00000000-0000-0000-0000-000000000000}"/>
  <bookViews>
    <workbookView xWindow="-110" yWindow="-110" windowWidth="25180" windowHeight="16140" tabRatio="727" xr2:uid="{7BC5153B-DD0B-4E92-9927-7ED9DC284ACF}"/>
  </bookViews>
  <sheets>
    <sheet name="ERLÄUTERUNG" sheetId="9" r:id="rId1"/>
    <sheet name="Eingabe" sheetId="7" r:id="rId2"/>
    <sheet name="WP-Ranglisten" sheetId="1" r:id="rId3"/>
    <sheet name="Schichtenspeicher" sheetId="4" r:id="rId4"/>
    <sheet name="X" sheetId="8" r:id="rId5"/>
  </sheets>
  <definedNames>
    <definedName name="_Hlk157163112" localSheetId="2">'WP-Ranglisten'!#REF!</definedName>
    <definedName name="ausblenden">#REF!</definedName>
    <definedName name="Bild">INDIRECT(#REF!)</definedName>
    <definedName name="Bild1">#REF!</definedName>
    <definedName name="einblend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" i="1" l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Q13" i="4"/>
  <c r="D13" i="4"/>
  <c r="D9" i="4"/>
  <c r="Q9" i="4" s="1"/>
  <c r="J69" i="8"/>
  <c r="J71" i="8" s="1"/>
  <c r="H68" i="8" l="1"/>
  <c r="N7" i="8" l="1"/>
  <c r="H71" i="8" l="1"/>
  <c r="F91" i="7"/>
  <c r="G73" i="8" l="1"/>
  <c r="G72" i="8"/>
  <c r="G71" i="8"/>
  <c r="F69" i="8"/>
  <c r="H66" i="7"/>
  <c r="C66" i="7"/>
  <c r="R80" i="8" l="1"/>
  <c r="Q80" i="8"/>
  <c r="P80" i="8"/>
  <c r="R79" i="8"/>
  <c r="Q79" i="8"/>
  <c r="P79" i="8"/>
  <c r="R78" i="8"/>
  <c r="Q78" i="8"/>
  <c r="P78" i="8"/>
  <c r="R77" i="8"/>
  <c r="Q77" i="8"/>
  <c r="P77" i="8"/>
  <c r="R76" i="8"/>
  <c r="Q76" i="8"/>
  <c r="P76" i="8"/>
  <c r="R75" i="8"/>
  <c r="Q75" i="8"/>
  <c r="P75" i="8"/>
  <c r="R74" i="8"/>
  <c r="Q74" i="8"/>
  <c r="P74" i="8"/>
  <c r="R73" i="8"/>
  <c r="Q73" i="8"/>
  <c r="P73" i="8"/>
  <c r="R72" i="8"/>
  <c r="Q72" i="8"/>
  <c r="P72" i="8"/>
  <c r="R71" i="8"/>
  <c r="Q71" i="8"/>
  <c r="P71" i="8"/>
  <c r="R70" i="8"/>
  <c r="Q70" i="8"/>
  <c r="P70" i="8"/>
  <c r="R69" i="8"/>
  <c r="Q69" i="8"/>
  <c r="P69" i="8"/>
  <c r="R68" i="8"/>
  <c r="Q68" i="8"/>
  <c r="P68" i="8"/>
  <c r="R67" i="8"/>
  <c r="Q67" i="8"/>
  <c r="P67" i="8"/>
  <c r="R66" i="8"/>
  <c r="Q66" i="8"/>
  <c r="P66" i="8"/>
  <c r="R65" i="8"/>
  <c r="Q65" i="8"/>
  <c r="P65" i="8"/>
  <c r="R64" i="8"/>
  <c r="Q64" i="8"/>
  <c r="P64" i="8"/>
  <c r="R63" i="8"/>
  <c r="Q63" i="8"/>
  <c r="P63" i="8"/>
  <c r="R62" i="8"/>
  <c r="Q62" i="8"/>
  <c r="P62" i="8"/>
  <c r="R61" i="8"/>
  <c r="Q61" i="8"/>
  <c r="P61" i="8"/>
  <c r="I61" i="8"/>
  <c r="J61" i="8" s="1"/>
  <c r="R60" i="8"/>
  <c r="Q60" i="8"/>
  <c r="P60" i="8"/>
  <c r="I60" i="8"/>
  <c r="R59" i="8"/>
  <c r="Q59" i="8"/>
  <c r="P59" i="8"/>
  <c r="R58" i="8"/>
  <c r="Q58" i="8"/>
  <c r="P58" i="8"/>
  <c r="J58" i="8"/>
  <c r="R57" i="8"/>
  <c r="Q57" i="8"/>
  <c r="P57" i="8"/>
  <c r="J57" i="8"/>
  <c r="R56" i="8"/>
  <c r="Q56" i="8"/>
  <c r="P56" i="8"/>
  <c r="J56" i="8"/>
  <c r="R55" i="8"/>
  <c r="Q55" i="8"/>
  <c r="P55" i="8"/>
  <c r="J55" i="8"/>
  <c r="R54" i="8"/>
  <c r="Q54" i="8"/>
  <c r="P54" i="8"/>
  <c r="J54" i="8"/>
  <c r="R53" i="8"/>
  <c r="Q53" i="8"/>
  <c r="P53" i="8"/>
  <c r="J53" i="8"/>
  <c r="R52" i="8"/>
  <c r="Q52" i="8"/>
  <c r="P52" i="8"/>
  <c r="J52" i="8"/>
  <c r="R51" i="8"/>
  <c r="Q51" i="8"/>
  <c r="P51" i="8"/>
  <c r="J51" i="8"/>
  <c r="R50" i="8"/>
  <c r="Q50" i="8"/>
  <c r="P50" i="8"/>
  <c r="J50" i="8"/>
  <c r="D50" i="8"/>
  <c r="D51" i="8" s="1"/>
  <c r="D52" i="8" s="1"/>
  <c r="D53" i="8" s="1"/>
  <c r="D54" i="8" s="1"/>
  <c r="D55" i="8" s="1"/>
  <c r="D56" i="8" s="1"/>
  <c r="D57" i="8" s="1"/>
  <c r="D58" i="8" s="1"/>
  <c r="R49" i="8"/>
  <c r="Q49" i="8"/>
  <c r="P49" i="8"/>
  <c r="J49" i="8"/>
  <c r="D49" i="8"/>
  <c r="C49" i="8"/>
  <c r="C50" i="8" s="1"/>
  <c r="C51" i="8" s="1"/>
  <c r="C52" i="8" s="1"/>
  <c r="C53" i="8" s="1"/>
  <c r="C54" i="8" s="1"/>
  <c r="C55" i="8" s="1"/>
  <c r="C56" i="8" s="1"/>
  <c r="C57" i="8" s="1"/>
  <c r="C58" i="8" s="1"/>
  <c r="R48" i="8"/>
  <c r="Q48" i="8"/>
  <c r="P48" i="8"/>
  <c r="J48" i="8"/>
  <c r="R47" i="8"/>
  <c r="Q47" i="8"/>
  <c r="P47" i="8"/>
  <c r="J47" i="8"/>
  <c r="D47" i="8"/>
  <c r="C47" i="8"/>
  <c r="R46" i="8"/>
  <c r="Q46" i="8"/>
  <c r="P46" i="8"/>
  <c r="J46" i="8"/>
  <c r="D46" i="8"/>
  <c r="D45" i="8" s="1"/>
  <c r="D44" i="8" s="1"/>
  <c r="D43" i="8" s="1"/>
  <c r="C46" i="8"/>
  <c r="C45" i="8" s="1"/>
  <c r="C44" i="8" s="1"/>
  <c r="C43" i="8" s="1"/>
  <c r="C42" i="8" s="1"/>
  <c r="C41" i="8" s="1"/>
  <c r="C40" i="8" s="1"/>
  <c r="C39" i="8" s="1"/>
  <c r="C38" i="8" s="1"/>
  <c r="C37" i="8" s="1"/>
  <c r="C36" i="8" s="1"/>
  <c r="C35" i="8" s="1"/>
  <c r="C34" i="8" s="1"/>
  <c r="C33" i="8" s="1"/>
  <c r="R45" i="8"/>
  <c r="Q45" i="8"/>
  <c r="P45" i="8"/>
  <c r="J45" i="8"/>
  <c r="R44" i="8"/>
  <c r="Q44" i="8"/>
  <c r="P44" i="8"/>
  <c r="J44" i="8"/>
  <c r="R43" i="8"/>
  <c r="Q43" i="8"/>
  <c r="P43" i="8"/>
  <c r="J43" i="8"/>
  <c r="R42" i="8"/>
  <c r="Q42" i="8"/>
  <c r="P42" i="8"/>
  <c r="J42" i="8"/>
  <c r="R41" i="8"/>
  <c r="Q41" i="8"/>
  <c r="P41" i="8"/>
  <c r="J41" i="8"/>
  <c r="R40" i="8"/>
  <c r="Q40" i="8"/>
  <c r="P40" i="8"/>
  <c r="J40" i="8"/>
  <c r="R39" i="8"/>
  <c r="Q39" i="8"/>
  <c r="P39" i="8"/>
  <c r="J39" i="8"/>
  <c r="Q38" i="8"/>
  <c r="P38" i="8"/>
  <c r="J38" i="8"/>
  <c r="B38" i="8"/>
  <c r="Q37" i="8"/>
  <c r="P37" i="8"/>
  <c r="J37" i="8"/>
  <c r="B37" i="8"/>
  <c r="Q36" i="8"/>
  <c r="P36" i="8"/>
  <c r="J36" i="8"/>
  <c r="B36" i="8"/>
  <c r="Q35" i="8"/>
  <c r="P35" i="8"/>
  <c r="J35" i="8"/>
  <c r="B35" i="8"/>
  <c r="Q34" i="8"/>
  <c r="P34" i="8"/>
  <c r="B34" i="8"/>
  <c r="Q33" i="8"/>
  <c r="P33" i="8"/>
  <c r="B33" i="8"/>
  <c r="Q32" i="8"/>
  <c r="P32" i="8"/>
  <c r="B32" i="8"/>
  <c r="Q31" i="8"/>
  <c r="P31" i="8"/>
  <c r="B31" i="8"/>
  <c r="E9" i="8" s="1"/>
  <c r="Q30" i="8"/>
  <c r="P30" i="8"/>
  <c r="B30" i="8"/>
  <c r="Q29" i="8"/>
  <c r="P29" i="8"/>
  <c r="B29" i="8"/>
  <c r="Q28" i="8"/>
  <c r="P28" i="8"/>
  <c r="Q27" i="8"/>
  <c r="P27" i="8"/>
  <c r="B27" i="8"/>
  <c r="Q26" i="8"/>
  <c r="P26" i="8"/>
  <c r="B26" i="8"/>
  <c r="Q25" i="8"/>
  <c r="P25" i="8"/>
  <c r="B25" i="8"/>
  <c r="Q24" i="8"/>
  <c r="P24" i="8"/>
  <c r="B24" i="8"/>
  <c r="Q23" i="8"/>
  <c r="P23" i="8"/>
  <c r="B23" i="8"/>
  <c r="Q22" i="8"/>
  <c r="P22" i="8"/>
  <c r="R21" i="8"/>
  <c r="Q21" i="8"/>
  <c r="P21" i="8"/>
  <c r="R20" i="8"/>
  <c r="Q20" i="8"/>
  <c r="P20" i="8"/>
  <c r="F20" i="8"/>
  <c r="R19" i="8"/>
  <c r="Q19" i="8"/>
  <c r="P19" i="8"/>
  <c r="R18" i="8"/>
  <c r="Q18" i="8"/>
  <c r="P18" i="8"/>
  <c r="R17" i="8"/>
  <c r="Q17" i="8"/>
  <c r="P17" i="8"/>
  <c r="K9" i="8"/>
  <c r="J9" i="8"/>
  <c r="N6" i="8"/>
  <c r="Q6" i="8" s="1"/>
  <c r="Q7" i="8" s="1"/>
  <c r="E7" i="8"/>
  <c r="J7" i="8" s="1"/>
  <c r="R4" i="8"/>
  <c r="P1" i="8"/>
  <c r="E1" i="8"/>
  <c r="Q48" i="4"/>
  <c r="J47" i="4"/>
  <c r="D47" i="4"/>
  <c r="Q47" i="4" s="1"/>
  <c r="J46" i="4"/>
  <c r="D46" i="4" s="1"/>
  <c r="Q46" i="4" s="1"/>
  <c r="J45" i="4"/>
  <c r="D45" i="4" s="1"/>
  <c r="Q45" i="4" s="1"/>
  <c r="J44" i="4"/>
  <c r="D44" i="4"/>
  <c r="Q44" i="4" s="1"/>
  <c r="J43" i="4"/>
  <c r="D43" i="4" s="1"/>
  <c r="Q43" i="4" s="1"/>
  <c r="J42" i="4"/>
  <c r="D42" i="4" s="1"/>
  <c r="Q42" i="4" s="1"/>
  <c r="J41" i="4"/>
  <c r="D41" i="4" s="1"/>
  <c r="Q41" i="4" s="1"/>
  <c r="J40" i="4"/>
  <c r="D40" i="4"/>
  <c r="Q40" i="4" s="1"/>
  <c r="J39" i="4"/>
  <c r="D39" i="4"/>
  <c r="Q39" i="4" s="1"/>
  <c r="J38" i="4"/>
  <c r="D38" i="4" s="1"/>
  <c r="Q38" i="4" s="1"/>
  <c r="J37" i="4"/>
  <c r="D37" i="4" s="1"/>
  <c r="Q37" i="4" s="1"/>
  <c r="J36" i="4"/>
  <c r="D36" i="4"/>
  <c r="Q36" i="4" s="1"/>
  <c r="D35" i="4"/>
  <c r="Q35" i="4" s="1"/>
  <c r="J34" i="4"/>
  <c r="D34" i="4"/>
  <c r="Q34" i="4" s="1"/>
  <c r="J33" i="4"/>
  <c r="D33" i="4" s="1"/>
  <c r="Q33" i="4" s="1"/>
  <c r="D32" i="4"/>
  <c r="Q32" i="4" s="1"/>
  <c r="J31" i="4"/>
  <c r="D31" i="4"/>
  <c r="Q31" i="4" s="1"/>
  <c r="D30" i="4"/>
  <c r="Q30" i="4" s="1"/>
  <c r="D29" i="4"/>
  <c r="Q29" i="4" s="1"/>
  <c r="J28" i="4"/>
  <c r="D28" i="4"/>
  <c r="Q28" i="4" s="1"/>
  <c r="D27" i="4"/>
  <c r="Q27" i="4" s="1"/>
  <c r="P26" i="4"/>
  <c r="D26" i="4"/>
  <c r="Q26" i="4" s="1"/>
  <c r="D25" i="4"/>
  <c r="Q25" i="4" s="1"/>
  <c r="D24" i="4"/>
  <c r="Q24" i="4" s="1"/>
  <c r="D23" i="4"/>
  <c r="Q23" i="4" s="1"/>
  <c r="J22" i="4"/>
  <c r="D22" i="4"/>
  <c r="Q22" i="4" s="1"/>
  <c r="J21" i="4"/>
  <c r="D21" i="4"/>
  <c r="Q21" i="4" s="1"/>
  <c r="D20" i="4"/>
  <c r="Q20" i="4" s="1"/>
  <c r="D19" i="4"/>
  <c r="Q19" i="4" s="1"/>
  <c r="D18" i="4"/>
  <c r="Q18" i="4" s="1"/>
  <c r="D17" i="4"/>
  <c r="Q17" i="4" s="1"/>
  <c r="P16" i="4"/>
  <c r="J16" i="4"/>
  <c r="D16" i="4" s="1"/>
  <c r="Q16" i="4" s="1"/>
  <c r="D15" i="4"/>
  <c r="Q15" i="4" s="1"/>
  <c r="D14" i="4"/>
  <c r="Q14" i="4" s="1"/>
  <c r="D12" i="4"/>
  <c r="Q12" i="4" s="1"/>
  <c r="D11" i="4"/>
  <c r="Q11" i="4" s="1"/>
  <c r="D10" i="4"/>
  <c r="Q10" i="4" s="1"/>
  <c r="K71" i="8" s="1"/>
  <c r="P8" i="4"/>
  <c r="P7" i="4"/>
  <c r="Q6" i="4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AM205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M98" i="7"/>
  <c r="H98" i="7"/>
  <c r="M97" i="7"/>
  <c r="H97" i="7"/>
  <c r="H91" i="7"/>
  <c r="H89" i="7"/>
  <c r="F89" i="7"/>
  <c r="H87" i="7"/>
  <c r="F85" i="7"/>
  <c r="I81" i="7"/>
  <c r="K81" i="7" s="1"/>
  <c r="E81" i="7"/>
  <c r="H81" i="7" s="1"/>
  <c r="K75" i="7"/>
  <c r="I19" i="7"/>
  <c r="E38" i="7" s="1"/>
  <c r="I15" i="7"/>
  <c r="AB206" i="1" a="1"/>
  <c r="M8" i="8" l="1"/>
  <c r="P8" i="8" s="1"/>
  <c r="H72" i="8"/>
  <c r="H73" i="8"/>
  <c r="E5" i="8"/>
  <c r="H38" i="7"/>
  <c r="L75" i="8" s="1"/>
  <c r="D42" i="8"/>
  <c r="D41" i="8" s="1"/>
  <c r="D40" i="8" s="1"/>
  <c r="D39" i="8" s="1"/>
  <c r="D38" i="8" s="1"/>
  <c r="D37" i="8" s="1"/>
  <c r="D36" i="8" s="1"/>
  <c r="D35" i="8" s="1"/>
  <c r="D34" i="8" s="1"/>
  <c r="D33" i="8" s="1"/>
  <c r="J11" i="8"/>
  <c r="H93" i="7"/>
  <c r="O6" i="8"/>
  <c r="I62" i="8"/>
  <c r="J60" i="8"/>
  <c r="I63" i="8"/>
  <c r="O7" i="8"/>
  <c r="AB206" i="1"/>
  <c r="G58" i="7" s="1"/>
  <c r="D62" i="7"/>
  <c r="G60" i="7" l="1"/>
  <c r="I5" i="8" s="1"/>
  <c r="G74" i="8"/>
  <c r="J74" i="8" s="1"/>
  <c r="H36" i="7"/>
  <c r="E36" i="7" s="1"/>
  <c r="E3" i="8" s="1"/>
  <c r="E6" i="8"/>
  <c r="J62" i="8"/>
  <c r="J63" i="8" s="1"/>
  <c r="I1" i="8" s="1"/>
  <c r="J64" i="7"/>
  <c r="J60" i="7"/>
  <c r="E56" i="7"/>
  <c r="J58" i="7"/>
  <c r="J37" i="7" l="1"/>
  <c r="N5" i="8"/>
  <c r="P5" i="8" s="1"/>
  <c r="G62" i="7"/>
  <c r="J62" i="7" s="1"/>
  <c r="I3" i="8"/>
  <c r="O5" i="8" l="1"/>
  <c r="O4" i="8"/>
  <c r="J6" i="8" l="1"/>
  <c r="J5" i="8"/>
  <c r="G51" i="7"/>
  <c r="E4" i="8"/>
  <c r="P11" i="8" l="1"/>
  <c r="J4" i="8"/>
  <c r="J3" i="8"/>
  <c r="K5" i="8"/>
  <c r="J40" i="7" s="1"/>
  <c r="K74" i="8" s="1"/>
  <c r="K13" i="8"/>
  <c r="J13" i="8"/>
  <c r="P10" i="8"/>
  <c r="P13" i="8"/>
  <c r="P9" i="8"/>
  <c r="P14" i="8"/>
  <c r="R7" i="8" s="1"/>
  <c r="P12" i="8"/>
  <c r="E11" i="8"/>
  <c r="P4" i="8"/>
  <c r="Q5" i="8" s="1"/>
  <c r="R11" i="8" l="1"/>
  <c r="K3" i="8"/>
  <c r="P15" i="8" s="1"/>
  <c r="R12" i="8"/>
  <c r="R9" i="8"/>
  <c r="R13" i="8"/>
  <c r="R10" i="8"/>
  <c r="K14" i="8"/>
  <c r="J14" i="8"/>
  <c r="R14" i="8"/>
  <c r="E73" i="7" l="1"/>
  <c r="K69" i="8" s="1"/>
  <c r="R6" i="8"/>
  <c r="J73" i="8" l="1"/>
  <c r="K73" i="8" s="1"/>
  <c r="J75" i="8"/>
  <c r="K75" i="8" l="1"/>
  <c r="I73" i="7" s="1"/>
  <c r="N73" i="7" s="1"/>
  <c r="G49" i="7" s="1"/>
  <c r="E13" i="8" s="1"/>
  <c r="L41" i="8" l="1"/>
  <c r="P73" i="7" s="1"/>
  <c r="I75" i="7" s="1"/>
  <c r="L75" i="7" l="1"/>
  <c r="H95" i="7"/>
  <c r="P75" i="7"/>
  <c r="G22" i="8" l="1"/>
  <c r="F21" i="8"/>
  <c r="F22" i="8"/>
  <c r="G21" i="8"/>
  <c r="M87" i="7"/>
  <c r="O87" i="7" s="1"/>
  <c r="K83" i="7"/>
  <c r="O83" i="7"/>
  <c r="G20" i="8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<sst xmlns="http://schemas.openxmlformats.org/spreadsheetml/2006/main" count="2218" uniqueCount="725">
  <si>
    <t>12 kW</t>
  </si>
  <si>
    <t>15 kW</t>
  </si>
  <si>
    <t>16 kW</t>
  </si>
  <si>
    <t>10 kW</t>
  </si>
  <si>
    <t>R452B</t>
  </si>
  <si>
    <t>SCOP</t>
  </si>
  <si>
    <t>TOP SCOP</t>
  </si>
  <si>
    <t>Hersteller</t>
  </si>
  <si>
    <t>EU08L</t>
  </si>
  <si>
    <t>EU13L</t>
  </si>
  <si>
    <t>EU15L</t>
  </si>
  <si>
    <t>AERO ALM 6-15</t>
  </si>
  <si>
    <t>Kältemittel</t>
  </si>
  <si>
    <t>kWh p.a.</t>
  </si>
  <si>
    <t>Liter</t>
  </si>
  <si>
    <t>TCA Thermoklima MEPU-M 800</t>
  </si>
  <si>
    <t>Marani PHRWP 1000</t>
  </si>
  <si>
    <t>JENNI Energietechn. JVS79R36</t>
  </si>
  <si>
    <t>WW-Fenster</t>
  </si>
  <si>
    <t>Ja</t>
  </si>
  <si>
    <t>Nein</t>
  </si>
  <si>
    <t>Brennwertkessel</t>
  </si>
  <si>
    <t>Warmhalte-verl. (W)</t>
  </si>
  <si>
    <t xml:space="preserve">Österreich  </t>
  </si>
  <si>
    <t xml:space="preserve">Deutschland  </t>
  </si>
  <si>
    <t>https://www.waermepumpe.de/normen-technik/klimakarte/</t>
  </si>
  <si>
    <t>% pro kWh</t>
  </si>
  <si>
    <t>1.200-2.000</t>
  </si>
  <si>
    <t>906-1.420</t>
  </si>
  <si>
    <t>500-1.500</t>
  </si>
  <si>
    <t>541-1.466</t>
  </si>
  <si>
    <t>550-3.000</t>
  </si>
  <si>
    <t>650-1449</t>
  </si>
  <si>
    <t>HPA AG JHKS 800</t>
  </si>
  <si>
    <t>SOLTOP Strativari WP 900</t>
  </si>
  <si>
    <t>Quality Life SA EQ 1050</t>
  </si>
  <si>
    <t>550-1.500</t>
  </si>
  <si>
    <t>HPA AG PBNSSR/E 1000</t>
  </si>
  <si>
    <t>Sailer GmbH WPS 1050</t>
  </si>
  <si>
    <t>CTA AG CTA-WPS 1050</t>
  </si>
  <si>
    <t>Huggler Energietechnik Helix 950</t>
  </si>
  <si>
    <t>unitec Energietechnik Helix 950</t>
  </si>
  <si>
    <t>unitec Energietechnik WP 950</t>
  </si>
  <si>
    <t>HPA AG JHKS 1000</t>
  </si>
  <si>
    <t>800-1.500</t>
  </si>
  <si>
    <t>SONNENKRAFT Sonnentank SOTF 1000</t>
  </si>
  <si>
    <t>Heliotherm ZH-KS 900</t>
  </si>
  <si>
    <t>500-900</t>
  </si>
  <si>
    <t>Huggler Energietechnik WP 950</t>
  </si>
  <si>
    <t>Zortea Zortström MH 1000</t>
  </si>
  <si>
    <t>Energy Unlimited PRO-CLEAN PC 1000S</t>
  </si>
  <si>
    <t>718-1.500</t>
  </si>
  <si>
    <t>Elcotherm VISTRON THS 1000/300</t>
  </si>
  <si>
    <t>Meier Tobler TOBO-SOL 850/230</t>
  </si>
  <si>
    <t>850-2.200</t>
  </si>
  <si>
    <t>970-3.930</t>
  </si>
  <si>
    <t>560-1.760</t>
  </si>
  <si>
    <t>765-948</t>
  </si>
  <si>
    <t>600-1.000</t>
  </si>
  <si>
    <t>Schichtenspeicher                mit SPF-Zertifikat</t>
  </si>
  <si>
    <t>BMS VARIO BACKPACK+1000 PN3 WPM</t>
  </si>
  <si>
    <t xml:space="preserve"> qm</t>
  </si>
  <si>
    <t>Anzahl Personen im Haushalt</t>
  </si>
  <si>
    <t>Verlust</t>
  </si>
  <si>
    <t>Heizöl in Ltr.</t>
  </si>
  <si>
    <t>Erdgas in kWh</t>
  </si>
  <si>
    <t>Pellets in kg</t>
  </si>
  <si>
    <t>Holz in rm</t>
  </si>
  <si>
    <t>kWh</t>
  </si>
  <si>
    <t>Niedertemperaturkessel</t>
  </si>
  <si>
    <t>hoch</t>
  </si>
  <si>
    <t>mittel</t>
  </si>
  <si>
    <t>niedrig</t>
  </si>
  <si>
    <t>VL-T</t>
  </si>
  <si>
    <t>Gr.35</t>
  </si>
  <si>
    <t>Gr.55</t>
  </si>
  <si>
    <t>Art des</t>
  </si>
  <si>
    <t>…</t>
  </si>
  <si>
    <t>WW</t>
  </si>
  <si>
    <t>Verbrauch</t>
  </si>
  <si>
    <t>pro Jahr</t>
  </si>
  <si>
    <t>n.a.</t>
  </si>
  <si>
    <t>R454C</t>
  </si>
  <si>
    <t>nein</t>
  </si>
  <si>
    <t>ja</t>
  </si>
  <si>
    <t>Warmhalteverluste</t>
  </si>
  <si>
    <t>Volumen  Liter</t>
  </si>
  <si>
    <t>Umrechnung mit/ohne   WW-Fenster</t>
  </si>
  <si>
    <t>6.b</t>
  </si>
  <si>
    <r>
      <rPr>
        <sz val="16"/>
        <color rgb="FFFFFF00"/>
        <rFont val="Bahnschrift SemiBold SemiConden"/>
        <family val="2"/>
      </rPr>
      <t xml:space="preserve"> 3.b</t>
    </r>
    <r>
      <rPr>
        <sz val="14"/>
        <color theme="0"/>
        <rFont val="Bahnschrift SemiBold SemiConden"/>
        <family val="2"/>
      </rPr>
      <t xml:space="preserve"> Beheizte Wohnfläche (Heizkörper)</t>
    </r>
  </si>
  <si>
    <t xml:space="preserve">  °C</t>
  </si>
  <si>
    <t>Bisher (Fossil)</t>
  </si>
  <si>
    <t>Strom in kWh</t>
  </si>
  <si>
    <t>Zukünftig</t>
  </si>
  <si>
    <t>%</t>
  </si>
  <si>
    <t>Gr.56</t>
  </si>
  <si>
    <t>mäßig</t>
  </si>
  <si>
    <t>höher</t>
  </si>
  <si>
    <t>Puffer- und WW-Speicher</t>
  </si>
  <si>
    <t>X</t>
  </si>
  <si>
    <t>Normaußentemperatur in ° C</t>
  </si>
  <si>
    <t>Umrechnungsfaktor</t>
  </si>
  <si>
    <t>Wärmeenergie Heizen in kWh p.a.</t>
  </si>
  <si>
    <t>ETA 35 / SCOP 35</t>
  </si>
  <si>
    <t>ETA 55 / SCOP 55</t>
  </si>
  <si>
    <t>Faktor Fußbodenheizung 35° C</t>
  </si>
  <si>
    <t>Faktor Heizkörper 55° C</t>
  </si>
  <si>
    <t>Faktor gewählte Temperatur FBHz.</t>
  </si>
  <si>
    <t>Faktor gewählte Temp. Hzkörper</t>
  </si>
  <si>
    <t>Faktor gewählte Temp. Warmwasser</t>
  </si>
  <si>
    <t>Kombi-Speicher</t>
  </si>
  <si>
    <t>Spalte1</t>
  </si>
  <si>
    <t>Spalte2</t>
  </si>
  <si>
    <t>WW-Bereitung</t>
  </si>
  <si>
    <t>Standardkessel</t>
  </si>
  <si>
    <t>Hier zwei Websites für Österreich und Deutschland:</t>
  </si>
  <si>
    <t xml:space="preserve">Art des Heizkessels   </t>
  </si>
  <si>
    <t xml:space="preserve">Wärmequelle I (Auswahltabelle)   </t>
  </si>
  <si>
    <t xml:space="preserve">Wärmequelle II (Auswahltabelle)   </t>
  </si>
  <si>
    <t xml:space="preserve">            Warmwasserverbrauch</t>
  </si>
  <si>
    <t xml:space="preserve"> kWh/m²</t>
  </si>
  <si>
    <r>
      <rPr>
        <sz val="16"/>
        <color rgb="FFFFFF00"/>
        <rFont val="Bahnschrift SemiBold SemiConden"/>
        <family val="2"/>
      </rPr>
      <t xml:space="preserve"> 4.</t>
    </r>
    <r>
      <rPr>
        <sz val="14"/>
        <color theme="0"/>
        <rFont val="Bahnschrift SemiBold SemiConden"/>
        <family val="2"/>
      </rPr>
      <t xml:space="preserve"> Es gibt eine Solarthermie (Größe)</t>
    </r>
  </si>
  <si>
    <t>Brennstoff</t>
  </si>
  <si>
    <t>Einheit</t>
  </si>
  <si>
    <t>Wärmepumpe</t>
  </si>
  <si>
    <t>Speicher</t>
  </si>
  <si>
    <t>Sole</t>
  </si>
  <si>
    <t>Preis</t>
  </si>
  <si>
    <t xml:space="preserve"> Jahren zurück.</t>
  </si>
  <si>
    <t xml:space="preserve">   ENERGIEKOSTEN</t>
  </si>
  <si>
    <t>Bei den genannten Energiepreisen spart man</t>
  </si>
  <si>
    <t>p.a. und hat seine Investition in</t>
  </si>
  <si>
    <r>
      <rPr>
        <b/>
        <sz val="36"/>
        <color rgb="FFC00000"/>
        <rFont val="Bahnschrift"/>
        <family val="2"/>
      </rPr>
      <t>bonotos</t>
    </r>
    <r>
      <rPr>
        <sz val="36"/>
        <color rgb="FFFFC1C1"/>
        <rFont val="Bahnschrift SemiBold SemiConden"/>
        <family val="2"/>
      </rPr>
      <t xml:space="preserve">   </t>
    </r>
    <r>
      <rPr>
        <sz val="36"/>
        <color rgb="FFC00000"/>
        <rFont val="Bahnschrift SemiBold SemiConden"/>
        <family val="2"/>
      </rPr>
      <t>WP-RECHNER-EINGABEN</t>
    </r>
  </si>
  <si>
    <r>
      <rPr>
        <sz val="16"/>
        <color rgb="FFFFFF00"/>
        <rFont val="Bahnschrift SemiBold SemiConden"/>
        <family val="2"/>
      </rPr>
      <t xml:space="preserve">1. </t>
    </r>
    <r>
      <rPr>
        <sz val="16"/>
        <color theme="0"/>
        <rFont val="Bahnschrift SemiBold SemiConden"/>
        <family val="2"/>
      </rPr>
      <t xml:space="preserve">Normaußentemperatur (NAT) meines Wohnortes                                                  </t>
    </r>
  </si>
  <si>
    <r>
      <rPr>
        <b/>
        <sz val="16"/>
        <color rgb="FFFFFF00"/>
        <rFont val="Bahnschrift SemiBold SemiConden"/>
        <family val="2"/>
      </rPr>
      <t xml:space="preserve">2.a. </t>
    </r>
    <r>
      <rPr>
        <b/>
        <sz val="16"/>
        <color theme="0"/>
        <rFont val="Bahnschrift SemiBold SemiConden"/>
        <family val="2"/>
      </rPr>
      <t xml:space="preserve">Wieviel fossile Brennstoffe verbrenne ich in welchem Kessel oder </t>
    </r>
    <r>
      <rPr>
        <b/>
        <sz val="16"/>
        <color rgb="FFFFFF00"/>
        <rFont val="Bahnschrift SemiBold SemiConden"/>
        <family val="2"/>
      </rPr>
      <t>2.b.</t>
    </r>
    <r>
      <rPr>
        <b/>
        <sz val="16"/>
        <color theme="0"/>
        <rFont val="Bahnschrift SemiBold SemiConden"/>
        <family val="2"/>
      </rPr>
      <t>?</t>
    </r>
  </si>
  <si>
    <r>
      <rPr>
        <b/>
        <sz val="16"/>
        <color rgb="FFFFFF00"/>
        <rFont val="Bahnschrift SemiBold SemiConden"/>
        <family val="2"/>
      </rPr>
      <t xml:space="preserve">        2.b.</t>
    </r>
    <r>
      <rPr>
        <b/>
        <sz val="16"/>
        <color theme="0"/>
        <rFont val="Bahnschrift SemiBold SemiConden"/>
        <family val="2"/>
      </rPr>
      <t xml:space="preserve"> Heiz</t>
    </r>
    <r>
      <rPr>
        <b/>
        <sz val="16"/>
        <color theme="0" tint="-4.9989318521683403E-2"/>
        <rFont val="Bahnschrift SemiBold SemiConden"/>
        <family val="2"/>
      </rPr>
      <t>wärmebedarf statt Brennstoffverbrauch eingeben</t>
    </r>
  </si>
  <si>
    <r>
      <rPr>
        <sz val="16"/>
        <color rgb="FFFFFF00"/>
        <rFont val="Bahnschrift SemiBold SemiConden"/>
        <family val="2"/>
      </rPr>
      <t xml:space="preserve"> 3.a</t>
    </r>
    <r>
      <rPr>
        <sz val="14"/>
        <color theme="0"/>
        <rFont val="Bahnschrift SemiBold SemiConden"/>
        <family val="2"/>
      </rPr>
      <t xml:space="preserve"> Beheizte Wohnfläche I (FbHz.)</t>
    </r>
  </si>
  <si>
    <t>SNT15L-M-R-CC</t>
  </si>
  <si>
    <t/>
  </si>
  <si>
    <t>R290</t>
  </si>
  <si>
    <t>146,0</t>
  </si>
  <si>
    <t>R32</t>
  </si>
  <si>
    <t>153,0</t>
  </si>
  <si>
    <t>R410A</t>
  </si>
  <si>
    <t>150,0</t>
  </si>
  <si>
    <t>6,0</t>
  </si>
  <si>
    <t>5,0</t>
  </si>
  <si>
    <t>203,0</t>
  </si>
  <si>
    <t>201,0</t>
  </si>
  <si>
    <t>147,0</t>
  </si>
  <si>
    <t>157,0</t>
  </si>
  <si>
    <t>238,0</t>
  </si>
  <si>
    <t>162,0</t>
  </si>
  <si>
    <t>R407C</t>
  </si>
  <si>
    <t>180,0</t>
  </si>
  <si>
    <t>4,0</t>
  </si>
  <si>
    <t>R454B</t>
  </si>
  <si>
    <t>204,0</t>
  </si>
  <si>
    <t>Bosch Thermotechnik GmbH</t>
  </si>
  <si>
    <t>Buderus - Bosch Thermotechnik GmbH</t>
  </si>
  <si>
    <t>DAIKIN Airconditioning Germany GmbH</t>
  </si>
  <si>
    <t>ELCO GmbH</t>
  </si>
  <si>
    <t>AEROTOP SG12 INOX / INOX OPTIC</t>
  </si>
  <si>
    <t>S30L-M-CC</t>
  </si>
  <si>
    <t>Belaria pro comfort (15)</t>
  </si>
  <si>
    <t>Belaria pro comfort (8)</t>
  </si>
  <si>
    <t>UltraSource B comfort C (17)</t>
  </si>
  <si>
    <t>AERO SLM 6-17</t>
  </si>
  <si>
    <t>Kermi GmbH</t>
  </si>
  <si>
    <t>x-change dynamic pro ac 10 AW E</t>
  </si>
  <si>
    <t>LAMBDA Wärmepumpen GmbH</t>
  </si>
  <si>
    <t>LG Electronics Deutschland GmbH</t>
  </si>
  <si>
    <t>211,0</t>
  </si>
  <si>
    <t>M-TEC GmbH</t>
  </si>
  <si>
    <t>WPLK1030</t>
  </si>
  <si>
    <t>NIBE Systemtechnik GmbH</t>
  </si>
  <si>
    <t>OVUM AC312P</t>
  </si>
  <si>
    <t>OVUM AC417P</t>
  </si>
  <si>
    <t>Roth Werke GmbH</t>
  </si>
  <si>
    <t>SOLARFOCUS GmbH</t>
  </si>
  <si>
    <t>vamp air PRO 15</t>
  </si>
  <si>
    <t>Stiebel Eltron GmbH &amp; Co. KG</t>
  </si>
  <si>
    <t>Viessmann Werke GmbH &amp; Co KG</t>
  </si>
  <si>
    <t>WATERKOTTE GmbH</t>
  </si>
  <si>
    <t>Typ</t>
  </si>
  <si>
    <t>ETA35</t>
  </si>
  <si>
    <t>Leist.2</t>
  </si>
  <si>
    <t>Leist.1</t>
  </si>
  <si>
    <t>ETA55</t>
  </si>
  <si>
    <t>KM</t>
  </si>
  <si>
    <t>Verbr.</t>
  </si>
  <si>
    <t>Netz</t>
  </si>
  <si>
    <t>EE</t>
  </si>
  <si>
    <t>kW</t>
  </si>
  <si>
    <t>Compress CS 7800i LW 6 M/B/F</t>
  </si>
  <si>
    <t>Supraeco T 280-2</t>
  </si>
  <si>
    <t>Logatherm WPS 22.2 HT</t>
  </si>
  <si>
    <t>Logatherm WPS 28.2 HT</t>
  </si>
  <si>
    <t>DAIKIN Altherma 3 WS 6kW H/C</t>
  </si>
  <si>
    <t>259,0</t>
  </si>
  <si>
    <t>SNTM-S-3-10</t>
  </si>
  <si>
    <t>SNTM-S-5-15</t>
  </si>
  <si>
    <t>WPS412</t>
  </si>
  <si>
    <t>OCHSNER TERRA 11 HPLA (GMSW 11 plus)</t>
  </si>
  <si>
    <t>OV-NHWP06-S+</t>
  </si>
  <si>
    <t>ThermoTerra 10 kW</t>
  </si>
  <si>
    <t>WPE-I 12 H 230 Premium</t>
  </si>
  <si>
    <t>Luft_Wasser</t>
  </si>
  <si>
    <t>Art _WP</t>
  </si>
  <si>
    <t>Tabelle_L5</t>
  </si>
  <si>
    <t>Tabelle_L1</t>
  </si>
  <si>
    <t>Tabelle_L2</t>
  </si>
  <si>
    <t>Tabelle_L3</t>
  </si>
  <si>
    <t>Tabelle_L4</t>
  </si>
  <si>
    <t>Tabelle_L6</t>
  </si>
  <si>
    <t>Tabelle_L7</t>
  </si>
  <si>
    <t>Zugriff</t>
  </si>
  <si>
    <t>Tabelle_S1</t>
  </si>
  <si>
    <t>Tabelle_S2</t>
  </si>
  <si>
    <t>Tabelle_S3</t>
  </si>
  <si>
    <t>Tabelle_S4</t>
  </si>
  <si>
    <t>Tabelle_S5</t>
  </si>
  <si>
    <t>Tabelle_S6</t>
  </si>
  <si>
    <t>Tabelle_S7</t>
  </si>
  <si>
    <t>B</t>
  </si>
  <si>
    <t>D</t>
  </si>
  <si>
    <t>Strompreis</t>
  </si>
  <si>
    <t>pro kWh</t>
  </si>
  <si>
    <t>Effizienz  Klasse</t>
  </si>
  <si>
    <t>A</t>
  </si>
  <si>
    <t>A/B</t>
  </si>
  <si>
    <t>Viessmann Vitocell 120-E</t>
  </si>
  <si>
    <t>Die WP-Ranglisten können pro Leistungskategorie um vier individuell gewünschte Wärmepumpen ergänzt werden.</t>
  </si>
  <si>
    <t>Zuletzt noch die Speicherkonstellation definieren und die Literzahlen des/der Speicher(s) eingeben.</t>
  </si>
  <si>
    <t>Auf dem Weg zur gewünschten Wärmepumpe zuerst die Art der Wärmepumpe (Luft-Wasser oder Sole) auswählen.</t>
  </si>
  <si>
    <t>Danach gemäß Leistungsempfehlung die Leistungskategorie auswählen (Meist ist auch die nächsthöhere möglich).</t>
  </si>
  <si>
    <t>Dann im Auswahlmenü den Wärmepumpenhersteller auswählen (Manchmal gibt es auch WPs mit unterschiedlichen Leistungen vom selben Hersteller).</t>
  </si>
  <si>
    <t>Ein Hydraulikplan wäre wichtig für die exakte Beurteilung der Speicherverluste.</t>
  </si>
  <si>
    <t>Niedertemperatur-</t>
  </si>
  <si>
    <t>Verfügbarkeit</t>
  </si>
  <si>
    <t>Mehrver-</t>
  </si>
  <si>
    <t>Anwendung 35 °C</t>
  </si>
  <si>
    <t>Anwendung 55 °C</t>
  </si>
  <si>
    <t>(Siehe Hinweis auf Seite 5)</t>
  </si>
  <si>
    <t>brauch</t>
  </si>
  <si>
    <t>Wärme-Nennleistung</t>
  </si>
  <si>
    <t>ETAs 35</t>
  </si>
  <si>
    <t>ETAs 55</t>
  </si>
  <si>
    <t>Netzdien-
lichkeit</t>
  </si>
  <si>
    <t>EE-Anzeige</t>
  </si>
  <si>
    <t xml:space="preserve">ggü. einer </t>
  </si>
  <si>
    <t>Klima</t>
  </si>
  <si>
    <t>Top-WP</t>
  </si>
  <si>
    <t>Hersteller - LUFT-WASSER</t>
  </si>
  <si>
    <t>Hersteller - SOLE</t>
  </si>
  <si>
    <r>
      <rPr>
        <sz val="14"/>
        <color rgb="FFFFFF00"/>
        <rFont val="Bahnschrift SemiBold SemiConden"/>
        <family val="2"/>
      </rPr>
      <t xml:space="preserve">3. </t>
    </r>
    <r>
      <rPr>
        <sz val="14"/>
        <color theme="0"/>
        <rFont val="Bahnschrift SemiBold SemiConden"/>
        <family val="2"/>
      </rPr>
      <t>Wieviele Quadratmeter werden mit Flächenheizung und wieviele mit Heizkörpern beheizt?            Welche Vorlauftemperaturen sind nötig (Angaben zur Heizung bei -20° C)?</t>
    </r>
  </si>
  <si>
    <t>Die passenden ETA-Werte, kW-Zahl, Kältemittel und der SCOP ergeben sich automatisch.</t>
  </si>
  <si>
    <r>
      <rPr>
        <sz val="18"/>
        <color rgb="FFFFFF00"/>
        <rFont val="Bahnschrift SemiBold SemiConden"/>
        <family val="2"/>
      </rPr>
      <t>5.a.</t>
    </r>
    <r>
      <rPr>
        <sz val="16"/>
        <color theme="0"/>
        <rFont val="Bahnschrift SemiBold SemiConden"/>
        <family val="2"/>
      </rPr>
      <t xml:space="preserve"> Für welchen Wärmepumpen-Hersteller entscheide ich mich?                     Will ich eine Erd_(Sole-) oder eine Luft-Wasser-Wärmepumpe?</t>
    </r>
  </si>
  <si>
    <r>
      <rPr>
        <sz val="18"/>
        <color rgb="FFFFFF00"/>
        <rFont val="Bahnschrift SemiBold SemiConden"/>
        <family val="2"/>
      </rPr>
      <t>5.b.</t>
    </r>
    <r>
      <rPr>
        <sz val="16"/>
        <color theme="0"/>
        <rFont val="Bahnschrift SemiBold SemiConden"/>
        <family val="2"/>
      </rPr>
      <t xml:space="preserve"> Empfohlene Größe der Wärmepumpe</t>
    </r>
  </si>
  <si>
    <t>Auswahl kW-Bereich</t>
  </si>
  <si>
    <r>
      <rPr>
        <sz val="18"/>
        <color rgb="FFFFFF00"/>
        <rFont val="Bahnschrift SemiBold SemiConden"/>
        <family val="2"/>
      </rPr>
      <t xml:space="preserve"> 6.a</t>
    </r>
    <r>
      <rPr>
        <sz val="18"/>
        <color theme="0"/>
        <rFont val="Bahnschrift SemiBold SemiConden"/>
        <family val="2"/>
      </rPr>
      <t xml:space="preserve"> </t>
    </r>
    <r>
      <rPr>
        <sz val="16"/>
        <color theme="0"/>
        <rFont val="Bahnschrift SemiBold SemiConden"/>
        <family val="2"/>
      </rPr>
      <t>Hersteller Wärmepumpe</t>
    </r>
  </si>
  <si>
    <t>Modell / Typ</t>
  </si>
  <si>
    <t>Gibt es ein Angebot?</t>
  </si>
  <si>
    <t>Angebotspreis</t>
  </si>
  <si>
    <t xml:space="preserve">         Höhe der Förderung</t>
  </si>
  <si>
    <t>Mehrverbr.</t>
  </si>
  <si>
    <t>6.c.</t>
  </si>
  <si>
    <t>SCOP dieser WP</t>
  </si>
  <si>
    <t>Speicherverluste</t>
  </si>
  <si>
    <t>Nettoverbrauch in kWh</t>
  </si>
  <si>
    <t>Vorlauftemperatur Warmwasserbereitung</t>
  </si>
  <si>
    <t>Alternative A</t>
  </si>
  <si>
    <t>Alternative B</t>
  </si>
  <si>
    <t>Alternative C</t>
  </si>
  <si>
    <t>Alternative D</t>
  </si>
  <si>
    <t xml:space="preserve"> ηs_m_35 / ETAs 35 in Prozent</t>
  </si>
  <si>
    <t>ηs_m_55 / ETAs 55 in Prozent</t>
  </si>
  <si>
    <t>Strom-Mehrverbrauch Speicher</t>
  </si>
  <si>
    <t>Ist ein Hydraulikplan vorhanden ?</t>
  </si>
  <si>
    <t>offen</t>
  </si>
  <si>
    <t>m²    =    kWh</t>
  </si>
  <si>
    <t>kWh gesamt</t>
  </si>
  <si>
    <t>vamp air PRO 08</t>
  </si>
  <si>
    <t>vamp air PRO 10</t>
  </si>
  <si>
    <t>vamp air PRO 12</t>
  </si>
  <si>
    <t>Grandis N</t>
  </si>
  <si>
    <t>EU10L</t>
  </si>
  <si>
    <t>AC208P</t>
  </si>
  <si>
    <t>Grandis R</t>
  </si>
  <si>
    <t>Luft-Wasser-WPs                                           12,0 - 13,9 kW</t>
  </si>
  <si>
    <t>AC520P</t>
  </si>
  <si>
    <t>Luft-Wasser-WPs                                   17,5 -20,6 kW</t>
  </si>
  <si>
    <t>TERRA AL 24 Twin (P)</t>
  </si>
  <si>
    <t>143,0</t>
  </si>
  <si>
    <t>SI 10.2 H3</t>
  </si>
  <si>
    <t>Vitocal 300-G BWC 301.C16</t>
  </si>
  <si>
    <t>OV-NHWP12-S+</t>
  </si>
  <si>
    <t>Tabelle_L23</t>
  </si>
  <si>
    <t>Link3 Eco-/Duo-/Comfort-/PowerLink</t>
  </si>
  <si>
    <r>
      <rPr>
        <sz val="16"/>
        <color rgb="FFFFFF00"/>
        <rFont val="Bahnschrift SemiBold SemiConden"/>
        <family val="2"/>
      </rPr>
      <t xml:space="preserve"> 4.a.</t>
    </r>
    <r>
      <rPr>
        <sz val="14"/>
        <color theme="0"/>
        <rFont val="Bahnschrift SemiBold SemiConden"/>
        <family val="2"/>
      </rPr>
      <t xml:space="preserve"> Es gibt eine WW-Zirkulation</t>
    </r>
  </si>
  <si>
    <t>Laufzeit</t>
  </si>
  <si>
    <t>h / Tag = kWh</t>
  </si>
  <si>
    <t>Leistung 35°</t>
  </si>
  <si>
    <t>Leistung 55°</t>
  </si>
  <si>
    <t>Abweichung Leistung</t>
  </si>
  <si>
    <t>Strom für WP</t>
  </si>
  <si>
    <t>Ich habe mein Geld zurück nach*</t>
  </si>
  <si>
    <t>Jahren und erreiche</t>
  </si>
  <si>
    <t>Speichermerkmale bekannt</t>
  </si>
  <si>
    <t>Anzahl Wärmepumpen</t>
  </si>
  <si>
    <t>HTS 95</t>
  </si>
  <si>
    <t>4,4</t>
  </si>
  <si>
    <t>SCOP 80/20</t>
  </si>
  <si>
    <t>80%ETA35</t>
  </si>
  <si>
    <t>20%ETA55 mittleres</t>
  </si>
  <si>
    <t>HTS 135</t>
  </si>
  <si>
    <t>Luft-Wasser-WPs                                                    8,1 - 9,9 kW</t>
  </si>
  <si>
    <t>HTS 265</t>
  </si>
  <si>
    <t>Unità esterna KITA-MP-18, 3Ph, vers. MONOBLOCCO R-290</t>
  </si>
  <si>
    <t>SCHICHTENSPEICHER - vom SPF zertifiziert</t>
  </si>
  <si>
    <t>8 kW</t>
  </si>
  <si>
    <t>Speicher-Verluste</t>
  </si>
  <si>
    <t>650-1450</t>
  </si>
  <si>
    <t>570-2.192</t>
  </si>
  <si>
    <t>600-1.500</t>
  </si>
  <si>
    <t>Helvetherm HAT-HKS-1150</t>
  </si>
  <si>
    <t>493-1.908</t>
  </si>
  <si>
    <t>CoolStar SKSW-825</t>
  </si>
  <si>
    <t>833-1420</t>
  </si>
  <si>
    <t>600-800</t>
  </si>
  <si>
    <t>WW-Speicher</t>
  </si>
  <si>
    <t>560-1760</t>
  </si>
  <si>
    <t>Luft-Wasser-WPs                           6,5- 8,0 kW</t>
  </si>
  <si>
    <t>Luft-Wasser-WPs                                     14,0- 17,4 kW</t>
  </si>
  <si>
    <t>BLW Pro 30.1</t>
  </si>
  <si>
    <r>
      <t>15 kW</t>
    </r>
    <r>
      <rPr>
        <sz val="8"/>
        <color theme="0"/>
        <rFont val="Bahnschrift"/>
        <family val="2"/>
      </rPr>
      <t xml:space="preserve"> mit WW-F.</t>
    </r>
  </si>
  <si>
    <t>Forstner HS-BM096-18/B/T NEU</t>
  </si>
  <si>
    <r>
      <t>5 kW</t>
    </r>
    <r>
      <rPr>
        <sz val="10"/>
        <color theme="0"/>
        <rFont val="Bahnschrift"/>
        <family val="2"/>
      </rPr>
      <t xml:space="preserve"> ohne     </t>
    </r>
    <r>
      <rPr>
        <sz val="9"/>
        <color theme="0"/>
        <rFont val="Bahnschrift"/>
        <family val="2"/>
      </rPr>
      <t>WW-Fenster</t>
    </r>
  </si>
  <si>
    <t>Hoval AG VarioVal RLS o ZF</t>
  </si>
  <si>
    <t>Hoval AG VarioVal RLS m ZF</t>
  </si>
  <si>
    <t>Hoval AG VarioVal FLS o ZF</t>
  </si>
  <si>
    <t>Hoval AG VarioVal FLS m ZF</t>
  </si>
  <si>
    <t>Forstner HS-BM080-10/B/P/T ALT o ZF</t>
  </si>
  <si>
    <t>Forstner HS-BM080-10/B/P/T ALT m ZF</t>
  </si>
  <si>
    <t>Stiebel Eltron HS-BM 820L WT2 o ZF</t>
  </si>
  <si>
    <t>Stiebel Eltron HS-BM 820L WT2 m ZF</t>
  </si>
  <si>
    <t>Stiebel Eltron SBS W SOL m ZF</t>
  </si>
  <si>
    <t>Stiebel Eltron SBS W SOL o ZF</t>
  </si>
  <si>
    <t>Triple Solar</t>
  </si>
  <si>
    <t>3.5</t>
  </si>
  <si>
    <t>3,9</t>
  </si>
  <si>
    <t>EcoTouch Ai1 Compact 5003.5 ((NC) SG)</t>
  </si>
  <si>
    <t>141,0</t>
  </si>
  <si>
    <t>Vitocal 300-G BWC 301.C06</t>
  </si>
  <si>
    <t>Sole-Wasser-WPs           4,0 - 6,1 kW</t>
  </si>
  <si>
    <t>WPE-I 04 H 230 Premium</t>
  </si>
  <si>
    <t>199,0</t>
  </si>
  <si>
    <t>TTC 4.6</t>
  </si>
  <si>
    <t>Sole-Wasser-WPs                                               6,5 - 8,5 kW</t>
  </si>
  <si>
    <t>Sole-Wasser-WPs                                      10,6 - 12,7 kW</t>
  </si>
  <si>
    <t>Sole-Wasser-WPs                                                                    13,0 - 15,8 kW</t>
  </si>
  <si>
    <t>OCHSNER TERRA FOX 416 HPLA S200</t>
  </si>
  <si>
    <t>Sole-Wasser-WPs                            16,0 - 20,6 kW</t>
  </si>
  <si>
    <t>R513A</t>
  </si>
  <si>
    <t>x-change dynamic terra (pc) 18 BW I</t>
  </si>
  <si>
    <t>Sole-Wasser-WPs                                   21,0 - 25,1 kW</t>
  </si>
  <si>
    <t>Sole-Wasser-WPs                                   26,0 - 35,0 kW</t>
  </si>
  <si>
    <t>WPE-I 33 H 400 Premium</t>
  </si>
  <si>
    <t>TTF 33.5</t>
  </si>
  <si>
    <t>Luft-Wasser-WPs      4,0 - 6,4 kW</t>
  </si>
  <si>
    <t>Luft-Wasser-WPs                                                              10,0 - 11,9kW</t>
  </si>
  <si>
    <t>Luft-Wasser-WPs                                               21,0 - 30,0 kW</t>
  </si>
  <si>
    <t>S 4,0-6,1 kW</t>
  </si>
  <si>
    <t>S 6,5-8,5 kW</t>
  </si>
  <si>
    <t>S 8,5-10,5 kW</t>
  </si>
  <si>
    <t>S 10,6-12,7 kW</t>
  </si>
  <si>
    <t>S 21,0-25,1 kW</t>
  </si>
  <si>
    <t>S 26,0-35,0 kW</t>
  </si>
  <si>
    <t>Tabelle_S8</t>
  </si>
  <si>
    <t>S 13,0-15,8 kW</t>
  </si>
  <si>
    <t>S 16,0-20,6 kW</t>
  </si>
  <si>
    <t>Speichergröße</t>
  </si>
  <si>
    <t>Solarfocus Systemspeicher 800 l</t>
  </si>
  <si>
    <t>vamp air PRO 20</t>
  </si>
  <si>
    <t>Meine Ausgaben insgesamt nach Abzug Förderung</t>
  </si>
  <si>
    <t>CHA-16/20-400V-M2 CS-C2</t>
  </si>
  <si>
    <t>L 4,0-6,4 kW</t>
  </si>
  <si>
    <t>L 6,5-8,0 kW</t>
  </si>
  <si>
    <t>L 8,1-9,9 kW</t>
  </si>
  <si>
    <t>L 10,0-11,9 kW</t>
  </si>
  <si>
    <t>L 12,0-13,9 kW</t>
  </si>
  <si>
    <t>L 14,0-17,4 kW</t>
  </si>
  <si>
    <t>L 17,5-20,6 kW</t>
  </si>
  <si>
    <t>L 21,0-30,0 kW</t>
  </si>
  <si>
    <t>Unità esterna KITA-SP-10, 3Ph, vers. MONOBLOCCO R-290</t>
  </si>
  <si>
    <t>UNITÀ ESTERNA KITA-HRP-10, 3PH, VERS. MONOBLOCCO R-290</t>
  </si>
  <si>
    <t>x-change dynamic pro M</t>
  </si>
  <si>
    <t>SNT10L-M-R-CC</t>
  </si>
  <si>
    <t>HTS 205</t>
  </si>
  <si>
    <t>x-change dynamic pro L</t>
  </si>
  <si>
    <t>AEROTOP SPK16</t>
  </si>
  <si>
    <t>Belaria pro (24)</t>
  </si>
  <si>
    <t>AERO ALM 10-24</t>
  </si>
  <si>
    <t>SNT18L-M-R-CC</t>
  </si>
  <si>
    <t>HTS 205 Duo</t>
  </si>
  <si>
    <t>WPLK722</t>
  </si>
  <si>
    <t>Unità esterna KITA-MP-20, 3Ph, vers. MONOBLOCCO R-290</t>
  </si>
  <si>
    <t>AEROTOP SPK20</t>
  </si>
  <si>
    <t>UNITÀ ESTERNA KITA-LP PLUS-35, 3PH, VERS. MONOBLOCCO R-290</t>
  </si>
  <si>
    <t>ThermoTerra BF 6 kW (PC)</t>
  </si>
  <si>
    <t>Tecalor GmbH</t>
  </si>
  <si>
    <t>Logatherm WSW186i-6</t>
  </si>
  <si>
    <t>KNV Energietechnik GmbH</t>
  </si>
  <si>
    <t>Verbrauch Heizstab</t>
  </si>
  <si>
    <t>Faktor % FBHz</t>
  </si>
  <si>
    <t>CH</t>
  </si>
  <si>
    <t>AT</t>
  </si>
  <si>
    <t>Samsung Klimatechnik</t>
  </si>
  <si>
    <t>Panasonic Deutschland</t>
  </si>
  <si>
    <t>D30</t>
  </si>
  <si>
    <t>D45</t>
  </si>
  <si>
    <t>D60</t>
  </si>
  <si>
    <t>Öl-</t>
  </si>
  <si>
    <t>Gas-</t>
  </si>
  <si>
    <t>Pellet-</t>
  </si>
  <si>
    <t>Holz-</t>
  </si>
  <si>
    <t>Strom-</t>
  </si>
  <si>
    <t>Heizung</t>
  </si>
  <si>
    <t xml:space="preserve">   Kosten für den Ersatz der alten </t>
  </si>
  <si>
    <t>Förderung D: D30=Einfamilienhaus; D45=Zweifamilienhaus; D60=Dreifamilienhaus</t>
  </si>
  <si>
    <t>Förderung AT/CH: Maximal 11.000 €/11.000 CHF</t>
  </si>
  <si>
    <t>Zur Eingabe in bonotos-PV-Rechner</t>
  </si>
  <si>
    <t xml:space="preserve">  Der jährliche Stromverbrauch beträgt voraussichtlich      1</t>
  </si>
  <si>
    <t>kWh     2</t>
  </si>
  <si>
    <t>Hzg.</t>
  </si>
  <si>
    <t>Leistungsdifferenz</t>
  </si>
  <si>
    <t>iPump A 2-7</t>
  </si>
  <si>
    <t>Compress CS 7001i AW 7 OR (M/MS/E/B)-S</t>
  </si>
  <si>
    <t>Logatherm WLW196i-6 AR B</t>
  </si>
  <si>
    <t>200,0</t>
  </si>
  <si>
    <t>Vaillant Deutschland GmbH &amp; Co. KG</t>
  </si>
  <si>
    <t>AQUAREA [WH-WXG09ME8 + WH-ADC0316M9E8AN2]</t>
  </si>
  <si>
    <t>aroTHERM plus VWL 125/6 (A/S2)</t>
  </si>
  <si>
    <t>Rendite**</t>
  </si>
  <si>
    <t>Laufende Kosten</t>
  </si>
  <si>
    <t xml:space="preserve">Wärmequelle I </t>
  </si>
  <si>
    <t>Wärmequelle II</t>
  </si>
  <si>
    <t>Heizöl</t>
  </si>
  <si>
    <t>Erdgas</t>
  </si>
  <si>
    <t>Pellets</t>
  </si>
  <si>
    <t>Holz</t>
  </si>
  <si>
    <t>Strom</t>
  </si>
  <si>
    <t>pro Liter</t>
  </si>
  <si>
    <t>pro kg</t>
  </si>
  <si>
    <t>pro rm</t>
  </si>
  <si>
    <t xml:space="preserve">Finanzielle Bilanz nach 20 Jahren   </t>
  </si>
  <si>
    <t>AHPA618</t>
  </si>
  <si>
    <t>Hybrox 16</t>
  </si>
  <si>
    <t>Helox 16</t>
  </si>
  <si>
    <t>*0,5% p.a. Wartung/Instandh. WP     **20 Jahre Abschreibung WP</t>
  </si>
  <si>
    <t>OCHSNER AIR HAWK 726 C12A</t>
  </si>
  <si>
    <t>SOLVIS GmbH</t>
  </si>
  <si>
    <t>WBB 20-B-RMD-AI</t>
  </si>
  <si>
    <t>AEROTOP SX20 Kaskade</t>
  </si>
  <si>
    <t>F1155-6</t>
  </si>
  <si>
    <t>Compress CS 7800i LW 8 M/B/F</t>
  </si>
  <si>
    <t>Sole-Wasser-WPs                                                                   8,6 - 10,5 kW</t>
  </si>
  <si>
    <t>Compress CS 7800i LW 12 M/B/F</t>
  </si>
  <si>
    <t>WWP S 14 ID</t>
  </si>
  <si>
    <t>Topline S1155-25</t>
  </si>
  <si>
    <t>https://www.dropbox.com/scl/fi/scn6ao3y01legleno069b/normaussentemperaturen_-_oib-richtlinie_6_3.pdf?rlkey=cb95scgeee66atg2v9pfw9ejq&amp;st=08q8arud&amp;dl=0</t>
  </si>
  <si>
    <t>Warmwasserboiler</t>
  </si>
  <si>
    <t>Puffer mit Glattrohr-WT</t>
  </si>
  <si>
    <t>Puffer mit Wellrohr-WT</t>
  </si>
  <si>
    <t>Puffer mit FriWa-Modul</t>
  </si>
  <si>
    <t>noch nicht bekannt</t>
  </si>
  <si>
    <t>Die finanzielle Bilanz dient dem Vergleich verschiedener Alternativen.</t>
  </si>
  <si>
    <t>Wärmeenergie WW in kWh p.a.</t>
  </si>
  <si>
    <t>Wärmeenergie Heizen korrigiert</t>
  </si>
  <si>
    <t>Wärmeenergie WW korrigiert</t>
  </si>
  <si>
    <t>Einfluss Solarthermie</t>
  </si>
  <si>
    <t>Heizen</t>
  </si>
  <si>
    <t>Bisher</t>
  </si>
  <si>
    <t>Puffer</t>
  </si>
  <si>
    <t>Kombi-/Schichtspeicher</t>
  </si>
  <si>
    <t>Warmwassertemperatur</t>
  </si>
  <si>
    <t>° C</t>
  </si>
  <si>
    <t>Leitungswassertemperatur</t>
  </si>
  <si>
    <t>Leitungswasser</t>
  </si>
  <si>
    <t xml:space="preserve">                 WW-Siphon</t>
  </si>
  <si>
    <r>
      <rPr>
        <sz val="16"/>
        <color rgb="FFFFFF00"/>
        <rFont val="Bahnschrift SemiBold SemiConden"/>
        <family val="2"/>
      </rPr>
      <t xml:space="preserve"> 3.c.</t>
    </r>
    <r>
      <rPr>
        <sz val="16"/>
        <color rgb="FFC00000"/>
        <rFont val="Bahnschrift SemiBold SemiConden"/>
        <family val="2"/>
      </rPr>
      <t xml:space="preserve"> </t>
    </r>
    <r>
      <rPr>
        <sz val="14"/>
        <color theme="0"/>
        <rFont val="Bahnschrift SemiBold SemiConden"/>
        <family val="2"/>
      </rPr>
      <t>Wärmebed.Heizen netto</t>
    </r>
  </si>
  <si>
    <r>
      <rPr>
        <sz val="16"/>
        <color rgb="FFFFFF00"/>
        <rFont val="Bahnschrift SemiBold SemiConden"/>
        <family val="2"/>
      </rPr>
      <t xml:space="preserve"> 3.d. </t>
    </r>
    <r>
      <rPr>
        <sz val="14"/>
        <color theme="0"/>
        <rFont val="Bahnschrift SemiBold SemiConden"/>
        <family val="2"/>
      </rPr>
      <t>Wärmebedarf WW netto</t>
    </r>
  </si>
  <si>
    <t>brutto</t>
  </si>
  <si>
    <t>Zertif.Speicher</t>
  </si>
  <si>
    <t>8. Rechnet sich das Ganze  …....   ?</t>
  </si>
  <si>
    <t>Gesamtwertung</t>
  </si>
  <si>
    <t xml:space="preserve">Ltr. </t>
  </si>
  <si>
    <t>Kombi</t>
  </si>
  <si>
    <t xml:space="preserve">3    Die JAZ erreicht   </t>
  </si>
  <si>
    <t>Liebe bonotos-Freunde,</t>
  </si>
  <si>
    <t>dies ist eine EINGABE-MATRIX, die eigentlich dafür gedacht ist, mir für meine Kundenberatungen</t>
  </si>
  <si>
    <t>die erforderlichen Daten zu liefern. Ich rechne dann verschiedene Alternativen mit meinem Rechen-</t>
  </si>
  <si>
    <t>Tool durch , das doppelt so viele Rechenroutinen, insbesondere auch zu Speichern und Hydraulik</t>
  </si>
  <si>
    <t>beinhaltet wie diese Datei, wollte Euch aber dennoch die Möglichkeit geben, grobe Berechnungen</t>
  </si>
  <si>
    <t>nungen selber durchzuführen, quasi als erste Orientierung.</t>
  </si>
  <si>
    <t>Diese EINGABE-MATRIX wird an der einen oder anderen Stelle Ergebnisse zeigen, die nicht immer</t>
  </si>
  <si>
    <t xml:space="preserve">denen entsprechen, die ich anschließend mit meinem Rechen-Tool ermittle. Bitte verzichtet darauf, </t>
  </si>
  <si>
    <t>mir zu schreiben, wenn Ihr "Fehler" entdeckt. Schickt mir besser Eure Daten und lasst mich rechnen.</t>
  </si>
  <si>
    <t xml:space="preserve">Dafür habt Ihr die Möglichkeit, die drei grünen Felder auf dem Eingabe-Blatt in die entsprechenden </t>
  </si>
  <si>
    <t>Felder des PV-Rechners zu übertragen; so erhaltet Ihr den reduzierten Strompreis einem blauen Feld,</t>
  </si>
  <si>
    <t>den Ihr dann wiederum in dieser Eingabematrix an entsprechender Stelle eintragen könnt.</t>
  </si>
  <si>
    <t>Beste Grüße,  Falko Schling</t>
  </si>
  <si>
    <t>wp-systems Helix 950</t>
  </si>
  <si>
    <t>wp-systems Energietechnik WP 950</t>
  </si>
  <si>
    <t>Version 2026_02</t>
  </si>
  <si>
    <t>TEMPLARI SPA</t>
  </si>
  <si>
    <t>Unità esterna KITA-SP-8, 3Ph, vers. MONOBLOCCO R-290</t>
  </si>
  <si>
    <t>REMKO GmbH &amp; Co Kg</t>
  </si>
  <si>
    <t>Optional</t>
  </si>
  <si>
    <t>Xtherma GmbH</t>
  </si>
  <si>
    <t>Kombi-System 09 G2</t>
  </si>
  <si>
    <t>ACOND a.s.</t>
  </si>
  <si>
    <t>Zewotherm Heating GmbH</t>
  </si>
  <si>
    <t xml:space="preserve">Zewo WP Alpha G 7 </t>
  </si>
  <si>
    <t>STIEBEL ELTRON GmbH &amp; Co. KG</t>
  </si>
  <si>
    <t>WPL-A 05.2 W Plus HK 230</t>
  </si>
  <si>
    <t>TTL 5.1 ACS comfort</t>
  </si>
  <si>
    <t>Weider Wärmepumpen GmbH</t>
  </si>
  <si>
    <t>weiTrona air LWM 63</t>
  </si>
  <si>
    <t>Kombi-System 15 G2</t>
  </si>
  <si>
    <t>x-change dynamic eco S</t>
  </si>
  <si>
    <t>August Brötje GmbH</t>
  </si>
  <si>
    <t>BLW Eco-R 4.2</t>
  </si>
  <si>
    <t>WKM 85 Pro</t>
  </si>
  <si>
    <t>THERMA V[HM0717073HF.UB40]</t>
  </si>
  <si>
    <t>vampair ECO 08/1</t>
  </si>
  <si>
    <t>BLW Eco-W 6.2</t>
  </si>
  <si>
    <t>iDM Energiesysteme GmbH</t>
  </si>
  <si>
    <t>Buderus</t>
  </si>
  <si>
    <t>Bosch</t>
  </si>
  <si>
    <t>Heliotherm Wärmepumpentechnik Ges.m.b.H</t>
  </si>
  <si>
    <t>SNT07L-M-R-CC</t>
  </si>
  <si>
    <t>x-change dynamic pro S</t>
  </si>
  <si>
    <t>Ovum Heiztechnik GmbH</t>
  </si>
  <si>
    <t>Enpal Production GmbH</t>
  </si>
  <si>
    <t>EODU-V8-M2-AW-9E</t>
  </si>
  <si>
    <t>WKM 105 Pro</t>
  </si>
  <si>
    <t>iPump ALM 2-8 / AERO ALM 2-8</t>
  </si>
  <si>
    <t>THERMA V HM071HF /073HF</t>
  </si>
  <si>
    <t>Flex-System 09 G2</t>
  </si>
  <si>
    <t>Hoval GmbH</t>
  </si>
  <si>
    <t>WKF 100 Neo compact</t>
  </si>
  <si>
    <t>BLW Eco-W 9.2</t>
  </si>
  <si>
    <t>THERMA V[HM091 / 93HF.UB40 + PHCS0]</t>
  </si>
  <si>
    <t>Daikin Airconditioning Germany GmbH</t>
  </si>
  <si>
    <t>Daikin Altherma 4 H ECH2O 8 300l/500l H/C (Biv)</t>
  </si>
  <si>
    <t>Flex-System 11 G2 (1Ph)</t>
  </si>
  <si>
    <t>vampair ECO 12/3</t>
  </si>
  <si>
    <t>IDU-A Modular AWMIW.A1.19-V051 / ODU 250-A AWMOF-251.A1.10-400-V002</t>
  </si>
  <si>
    <t>AHPA412-LN</t>
  </si>
  <si>
    <t>BLW Eco-P 9.2</t>
  </si>
  <si>
    <t>THERMA V [HM091/93HFX.UB60 + HN1639HC.NK0]</t>
  </si>
  <si>
    <t>iPump ALM 4-12 / AERO ALM 4-12</t>
  </si>
  <si>
    <t>Daikin Altherma 4 H W 10 H/C</t>
  </si>
  <si>
    <t>Belaria pro compact (13/100/300)</t>
  </si>
  <si>
    <t>WPL-A 07.2 Plus HK 230</t>
  </si>
  <si>
    <t>YKF10ANB+YKF100/190ANB***</t>
  </si>
  <si>
    <t>IDU-A Compact AWMIT.A1.19 / ODU 150-A AWMOF-151.A1.10-400-V002</t>
  </si>
  <si>
    <t>Vitocal 250 / 252-A Typ AWOT(-M)-E-AC/AWOT(-M) 251.A10</t>
  </si>
  <si>
    <t>DAIKIN Altherma 3 H MT F 10 H/C 230l</t>
  </si>
  <si>
    <t>FHA-08/10-230V-M2 FC-200-R35-e6-B2</t>
  </si>
  <si>
    <t>Viessmann Climate Solutions GmbH &amp; Co.KG</t>
  </si>
  <si>
    <t>Johnson Controls Systems &amp; Service GmbH</t>
  </si>
  <si>
    <t>WOLF GmbH</t>
  </si>
  <si>
    <t>AHPA413</t>
  </si>
  <si>
    <t>THERMA V [HM123HF.UB60]</t>
  </si>
  <si>
    <t>EcoTouch Air Bloc 7016</t>
  </si>
  <si>
    <t>THERMA V [HM143HF.UB60]</t>
  </si>
  <si>
    <t>S2125 -16</t>
  </si>
  <si>
    <t>UNITÀ ESTERNA KITA-HRP-14, 1PH, VERS. MONOBLOCCO R-290</t>
  </si>
  <si>
    <t>Daikin Altherma 4 H W 12 H/C</t>
  </si>
  <si>
    <t>AEROTOP MONO 12.2M-RL / -R</t>
  </si>
  <si>
    <t>aroTHERM plus VWL 105/8.1 (A/400V)</t>
  </si>
  <si>
    <t>aroTHERM plus VWL 125/8.1 (A/400V)</t>
  </si>
  <si>
    <t>Ochsner Wärmepumpen GmbH</t>
  </si>
  <si>
    <t>OCHSNER AIR HAWK 518 C11A</t>
  </si>
  <si>
    <t>ait-deutschland GmbH</t>
  </si>
  <si>
    <t>Helox 11 / Hybrox 11</t>
  </si>
  <si>
    <t>CTA AG</t>
  </si>
  <si>
    <t>Aeroheat AH CL 11a</t>
  </si>
  <si>
    <t>WPL-A 10.2 Plus HK 400</t>
  </si>
  <si>
    <t>Logatherm WLW196i-14 IR TS185</t>
  </si>
  <si>
    <t>Compress CS 7000i AW 17 IR (M/MS/E/B)-T</t>
  </si>
  <si>
    <t>Unità esterna KITA-SP-12, 3Ph, vers. MONOBLOCCO R-290</t>
  </si>
  <si>
    <t>vampair ECO 15/3</t>
  </si>
  <si>
    <t>SolvisPia 13</t>
  </si>
  <si>
    <t>IDU-A Compact AWMIT.A1.19-V053-251.A1.13-400-V002</t>
  </si>
  <si>
    <t>THERMA V [HM163HF.UB60 + PHCS0]</t>
  </si>
  <si>
    <t>Daikin Altherma 4 H W 14 H/C</t>
  </si>
  <si>
    <t>Aquarea [WH-SXC12K6E5 / WH-UXZ12KE5]</t>
  </si>
  <si>
    <t>AE120BXYDGG/EU + AE160DNYMPK/EU</t>
  </si>
  <si>
    <t>OCHSNER AIR MILAN 1016 C11A</t>
  </si>
  <si>
    <t>EcoTouch Ai1 Air 5018.5 (Silent Ausführung)</t>
  </si>
  <si>
    <t>Compress CS6800iAW 12 ORE-T (AW 12 OR-T + CS6800iAW 12 E)</t>
  </si>
  <si>
    <t>Logaplus M WLW186i-12 AR E (Logatherm WLW-12 MB AR )</t>
  </si>
  <si>
    <t>Acond Grandis-L16</t>
  </si>
  <si>
    <t>TERRA AL 17 Twin (P)</t>
  </si>
  <si>
    <t>Aeroheat AH CL 16a</t>
  </si>
  <si>
    <t>WPL-A 13.2 Plus HK 400</t>
  </si>
  <si>
    <t>WPLW-Hydro Mono HT R290-16-160AI</t>
  </si>
  <si>
    <t xml:space="preserve">SolvisLea 14 </t>
  </si>
  <si>
    <t>Max Weishaupt SE</t>
  </si>
  <si>
    <t>EU20L</t>
  </si>
  <si>
    <t>OCHSNER AIR EAGLE 1830 C12A HM1</t>
  </si>
  <si>
    <t>WKM 135 Duo Pro (2x WKM 135 Pro)</t>
  </si>
  <si>
    <t>WWP LA 20/30-A R</t>
  </si>
  <si>
    <t>Grandis L-18</t>
  </si>
  <si>
    <t>SolvisPia 17</t>
  </si>
  <si>
    <t>EU35L</t>
  </si>
  <si>
    <t>Ygnis AG</t>
  </si>
  <si>
    <t>AirCalor-K-35-I-HT</t>
  </si>
  <si>
    <t>CHA-20/24-400V-M2 CS-D2</t>
  </si>
  <si>
    <t>Belaria pro (40)</t>
  </si>
  <si>
    <t>Acond Grandis-L21</t>
  </si>
  <si>
    <t>Vitocal 250-A PRO, Typ AWO-AC-AF 251.B40</t>
  </si>
  <si>
    <t>EcoTouch Air Kaskade 5045.5</t>
  </si>
  <si>
    <t>TTL 25.5 AC-2</t>
  </si>
  <si>
    <t>S07S-M-CO/CU</t>
  </si>
  <si>
    <t>Topline S1256-8-PC (Sole / Wasser)</t>
  </si>
  <si>
    <t>S1156-8-PC (Sole / Wasser)</t>
  </si>
  <si>
    <t>Thermia AG</t>
  </si>
  <si>
    <t>Calibra 7 / Calibra Eco (Cool) 8 (DUO)</t>
  </si>
  <si>
    <t>OCHSNER TERRA FOX 208 HPLA S200 / SWK007P8d</t>
  </si>
  <si>
    <t>Optiheat Inverta 4esr TWW (Sole / Wasser)</t>
  </si>
  <si>
    <t>HOTJET CZ s.r.o.</t>
  </si>
  <si>
    <t>7 WX (Sole / Wasser)</t>
  </si>
  <si>
    <t>Pollmann Technik GmH &amp; CoKG</t>
  </si>
  <si>
    <t>Geoflex 7</t>
  </si>
  <si>
    <t>Techno Therm AG</t>
  </si>
  <si>
    <t>TWS 07i (Sole / Wasser)</t>
  </si>
  <si>
    <t>iPump T 2-8 (Sole / Wasser)</t>
  </si>
  <si>
    <t>UltraSource T comfort (8) / Compact (8)</t>
  </si>
  <si>
    <t>Logatherm WSW196i.2-8 TP50</t>
  </si>
  <si>
    <t>TTF 6.6 cool</t>
  </si>
  <si>
    <t>BSW NEO 8 (Sole / Wasser)</t>
  </si>
  <si>
    <t>Logatherm WSW186i-8 TP50</t>
  </si>
  <si>
    <t>EcoTouch Geo Inverter 5010.5 Ai (NC) (Sole / Wasser)</t>
  </si>
  <si>
    <t>OCHSNER TERRA 8 HPLA (GMSW 8 plus)</t>
  </si>
  <si>
    <t>S10S-M-CU/CO</t>
  </si>
  <si>
    <t>Atlas 12 (DUO) (Sole / Wasser)</t>
  </si>
  <si>
    <t>Topline S1156-8-PC (Sole / Wasser)</t>
  </si>
  <si>
    <t>WSP 140 (Sole / Wasser)</t>
  </si>
  <si>
    <t>S(I/W)C 10.2 (H3 / K3)</t>
  </si>
  <si>
    <t>WZS 102 (H3M / K3M)</t>
  </si>
  <si>
    <t>WS 10.2 (H3M / K3M)</t>
  </si>
  <si>
    <t>EcoTouch Geo Inverter 5015.5 Ai (NC) (Sole / Wasser)</t>
  </si>
  <si>
    <t>EQ-Therm GmbH</t>
  </si>
  <si>
    <t>EQSol 311</t>
  </si>
  <si>
    <t>SW 121 eso</t>
  </si>
  <si>
    <t>WPS412-V2</t>
  </si>
  <si>
    <t>Triple Solar GmbH</t>
  </si>
  <si>
    <t>Wärmepumpe 10s</t>
  </si>
  <si>
    <t>Dimplex - Glen Dimplex Deutschland GmbH</t>
  </si>
  <si>
    <t>SIW 11 TES</t>
  </si>
  <si>
    <t>SW 91 eso</t>
  </si>
  <si>
    <t>Geoflex 10</t>
  </si>
  <si>
    <t>Topline S1156/1256-13 (Sole / Wasser)</t>
  </si>
  <si>
    <t>S1156/1256-13 (Sole / Wasser)</t>
  </si>
  <si>
    <t>TTC/F 12.6 (cool)</t>
  </si>
  <si>
    <t>Calibra Eco 12 (Duo)</t>
  </si>
  <si>
    <t>OCHSNER TERRA FOX 312 HPLA S1</t>
  </si>
  <si>
    <t>Calibra Eco Cool 12 400V BW</t>
  </si>
  <si>
    <t>CALIBRA 12 (Sole / Wasser)</t>
  </si>
  <si>
    <t>iPump T 3-13 (Sole / Wasser)</t>
  </si>
  <si>
    <t>TERRA SWM 3-13 (Sole / Wasser)</t>
  </si>
  <si>
    <t>Logatherm WSW196i.2-12 TP50</t>
  </si>
  <si>
    <t>S14S-M-CO/CU</t>
  </si>
  <si>
    <t>Topline S1156/1256-18 (Sole / Wasser)</t>
  </si>
  <si>
    <t>S1156/1256-18 (Sole / Wasser)</t>
  </si>
  <si>
    <t>Atlas 18 DUO (Sole / Wasser)</t>
  </si>
  <si>
    <t>Calibra Eco 16 Duo 400V</t>
  </si>
  <si>
    <t>EQSol 416</t>
  </si>
  <si>
    <t>TTC/F 15.6 cool</t>
  </si>
  <si>
    <t>WPE-I 15 HKW 230 Premium</t>
  </si>
  <si>
    <t>SW(C) 142 H3</t>
  </si>
  <si>
    <t>SI(C) 14.2 (H3 / K3)</t>
  </si>
  <si>
    <t>WPS618-V2-AK</t>
  </si>
  <si>
    <t>Wärmepumpe 15s</t>
  </si>
  <si>
    <t>15 WX (Sole / Wasser)</t>
  </si>
  <si>
    <t>Geoflex 15</t>
  </si>
  <si>
    <t>TWS 20i (Sole / Wasser)</t>
  </si>
  <si>
    <t>SI 14 TU</t>
  </si>
  <si>
    <t>TERRA SW 20 Twin (Sole / Wasser)</t>
  </si>
  <si>
    <t>UltraSource T comfort (17) (Sole / Wasser)</t>
  </si>
  <si>
    <t>WSP 180 (Sole / Wasser)</t>
  </si>
  <si>
    <t>BSW NEO 20 (Sole / Wasser)</t>
  </si>
  <si>
    <t>HP20S25W-M-BC (Sole / Wasser)</t>
  </si>
  <si>
    <t>WSP 140 Duo (Sole / Wasser)</t>
  </si>
  <si>
    <t>Ratiotherm GmbH &amp; Co. KG</t>
  </si>
  <si>
    <t>WP Max-HiQ KK35 (Sole / Wasser)</t>
  </si>
  <si>
    <t>EcoTouch DS 5028.5T (Sole / Wasser)</t>
  </si>
  <si>
    <t>WGB 20-A-MDP-A</t>
  </si>
  <si>
    <t>BHPA618-AK</t>
  </si>
  <si>
    <t>Arwego GmbH</t>
  </si>
  <si>
    <t>WP 18 (Sole / Wasser)</t>
  </si>
  <si>
    <t>SIC 17.2 (H3 K3)</t>
  </si>
  <si>
    <t>TERRA SW 26 Twin (Sole / Wasser)</t>
  </si>
  <si>
    <t>Supraeco T 220-2 (Sole / Wasser)</t>
  </si>
  <si>
    <t>EcoTouch DS 5034.5T (Sole / Wasser)</t>
  </si>
  <si>
    <t>SI/W 232 H3</t>
  </si>
  <si>
    <t>Herz Energietechnik GmbH</t>
  </si>
  <si>
    <t>commotherm SWP 30</t>
  </si>
  <si>
    <t>WP 22</t>
  </si>
  <si>
    <t>S1155-25 (Sole / Wasser)</t>
  </si>
  <si>
    <t>Vitocal 300-G BW(S) 301.A21</t>
  </si>
  <si>
    <t>Vitocal 350-G BW(S) 351.B20 (Sole / Wasser)</t>
  </si>
  <si>
    <t>WSP 180 Duo (Sole / Wasser)</t>
  </si>
  <si>
    <t>TERRA SW 35 Twin (Sole / Wasser)</t>
  </si>
  <si>
    <t>30S40W-M-Solid (Sole / Wasser)</t>
  </si>
  <si>
    <t>MEGA S (Sole / Wasser)</t>
  </si>
  <si>
    <t>Heim AG Heizsysteme</t>
  </si>
  <si>
    <t>SWM pro 3~38</t>
  </si>
  <si>
    <t>WPE-I 31 Premium H</t>
  </si>
  <si>
    <t>TTF 31.6 I topline</t>
  </si>
  <si>
    <t>Mega Eco S-E 400V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</si>
</sst>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%"/>
    <numFmt numFmtId="165" formatCode="0.0"/>
    <numFmt numFmtId="166" formatCode="0.000"/>
    <numFmt numFmtId="167" formatCode="0.000%"/>
    <numFmt numFmtId="168" formatCode="#,##0.0"/>
    <numFmt numFmtId="169" formatCode="#,##0.00\ &quot;€&quot;"/>
    <numFmt numFmtId="170" formatCode="#,##0.000\ &quot;€&quot;"/>
    <numFmt numFmtId="171" formatCode="0.0\°\ \C"/>
    <numFmt numFmtId="172" formatCode="0,000"/>
    <numFmt numFmtId="173" formatCode="0.0000"/>
    <numFmt numFmtId="174" formatCode="0.0\°"/>
    <numFmt numFmtId="175" formatCode="#,##0.000"/>
    <numFmt numFmtId="176" formatCode="0.00\ \k\W"/>
  </numFmts>
  <fonts count="119" x14ac:knownFonts="1">
    <font>
      <sz val="11"/>
      <color theme="1"/>
      <name val="Calibri"/>
      <family val="2"/>
      <scheme val="minor"/>
    </font>
    <font>
      <sz val="11"/>
      <color theme="1"/>
      <name val="Bahnschrift SemiBold SemiConden"/>
      <family val="2"/>
    </font>
    <font>
      <sz val="12"/>
      <color theme="1"/>
      <name val="Bahnschrift SemiBold SemiConden"/>
      <family val="2"/>
    </font>
    <font>
      <sz val="14"/>
      <color theme="1"/>
      <name val="Bahnschrift SemiBold SemiConden"/>
      <family val="2"/>
    </font>
    <font>
      <sz val="14"/>
      <color theme="0"/>
      <name val="Bahnschrift SemiBold SemiConden"/>
      <family val="2"/>
    </font>
    <font>
      <sz val="16"/>
      <color theme="1"/>
      <name val="Bahnschrift SemiBold SemiConden"/>
      <family val="2"/>
    </font>
    <font>
      <sz val="16"/>
      <color theme="0"/>
      <name val="Bahnschrift SemiBold SemiConden"/>
      <family val="2"/>
    </font>
    <font>
      <sz val="16"/>
      <name val="Bahnschrift SemiBold SemiConden"/>
      <family val="2"/>
    </font>
    <font>
      <sz val="8"/>
      <name val="Calibri"/>
      <family val="2"/>
      <scheme val="minor"/>
    </font>
    <font>
      <sz val="18"/>
      <color theme="0"/>
      <name val="Bahnschrift SemiBold SemiConden"/>
      <family val="2"/>
    </font>
    <font>
      <sz val="14"/>
      <name val="Bahnschrift SemiBold SemiConden"/>
      <family val="2"/>
    </font>
    <font>
      <sz val="14"/>
      <color theme="1"/>
      <name val="Bahnschrift"/>
      <family val="2"/>
    </font>
    <font>
      <sz val="12"/>
      <color theme="1"/>
      <name val="Bahnschrift"/>
      <family val="2"/>
    </font>
    <font>
      <b/>
      <sz val="14"/>
      <color theme="1"/>
      <name val="Bahnschrift"/>
      <family val="2"/>
    </font>
    <font>
      <b/>
      <sz val="12"/>
      <color theme="0"/>
      <name val="Bahnschrift SemiBold SemiConden"/>
      <family val="2"/>
    </font>
    <font>
      <b/>
      <sz val="14"/>
      <color theme="0"/>
      <name val="Bahnschrift"/>
      <family val="2"/>
    </font>
    <font>
      <b/>
      <i/>
      <sz val="14"/>
      <color theme="9" tint="0.79998168889431442"/>
      <name val="Bahnschrift"/>
      <family val="2"/>
    </font>
    <font>
      <sz val="11"/>
      <color theme="1"/>
      <name val="Bahnschrift"/>
      <family val="2"/>
    </font>
    <font>
      <i/>
      <sz val="14"/>
      <color theme="0"/>
      <name val="Bahnschrift SemiBold SemiConden"/>
      <family val="2"/>
    </font>
    <font>
      <sz val="28"/>
      <color rgb="FFFFC1C1"/>
      <name val="Bahnschrift SemiBold SemiConden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Bahnschrift"/>
      <family val="2"/>
    </font>
    <font>
      <b/>
      <u/>
      <sz val="11"/>
      <color theme="10"/>
      <name val="Calibri"/>
      <family val="2"/>
      <scheme val="minor"/>
    </font>
    <font>
      <sz val="28"/>
      <color rgb="FFC00000"/>
      <name val="Bahnschrift SemiBold SemiConden"/>
      <family val="2"/>
    </font>
    <font>
      <sz val="16"/>
      <color rgb="FFC00000"/>
      <name val="Bahnschrift SemiBold SemiConden"/>
      <family val="2"/>
    </font>
    <font>
      <sz val="20"/>
      <color theme="0"/>
      <name val="Bahnschrift SemiBold SemiConden"/>
      <family val="2"/>
    </font>
    <font>
      <sz val="12"/>
      <color theme="2" tint="-0.249977111117893"/>
      <name val="Bahnschrift SemiBold SemiConden"/>
      <family val="2"/>
    </font>
    <font>
      <i/>
      <sz val="14"/>
      <color theme="0"/>
      <name val="Bahnschrift"/>
      <family val="2"/>
    </font>
    <font>
      <b/>
      <i/>
      <sz val="14"/>
      <color theme="0"/>
      <name val="Bahnschrift"/>
      <family val="2"/>
    </font>
    <font>
      <b/>
      <sz val="14"/>
      <color theme="4" tint="0.79998168889431442"/>
      <name val="Bahnschrift"/>
      <family val="2"/>
    </font>
    <font>
      <sz val="16"/>
      <color rgb="FFFFFF00"/>
      <name val="Bahnschrift SemiBold SemiConden"/>
      <family val="2"/>
    </font>
    <font>
      <sz val="20"/>
      <color rgb="FFFFFF00"/>
      <name val="Bahnschrift SemiBold SemiConden"/>
      <family val="2"/>
    </font>
    <font>
      <sz val="8"/>
      <color theme="2" tint="-0.249977111117893"/>
      <name val="Bahnschrift SemiBold SemiConden"/>
      <family val="2"/>
    </font>
    <font>
      <sz val="14"/>
      <color theme="2" tint="-0.749992370372631"/>
      <name val="Bahnschrift SemiBold SemiConden"/>
      <family val="2"/>
    </font>
    <font>
      <sz val="14"/>
      <color theme="0" tint="-4.9989318521683403E-2"/>
      <name val="Bahnschrift SemiBold SemiConden"/>
      <family val="2"/>
    </font>
    <font>
      <sz val="18"/>
      <color rgb="FFFFFF00"/>
      <name val="Bahnschrift SemiBold SemiConden"/>
      <family val="2"/>
    </font>
    <font>
      <sz val="36"/>
      <color rgb="FFFFC1C1"/>
      <name val="Bahnschrift SemiBold SemiConden"/>
      <family val="2"/>
    </font>
    <font>
      <b/>
      <sz val="36"/>
      <color rgb="FFC00000"/>
      <name val="Bahnschrift"/>
      <family val="2"/>
    </font>
    <font>
      <sz val="36"/>
      <color rgb="FFC00000"/>
      <name val="Bahnschrift SemiBold SemiConden"/>
      <family val="2"/>
    </font>
    <font>
      <sz val="14"/>
      <color theme="1" tint="0.34998626667073579"/>
      <name val="Bahnschrift"/>
      <family val="2"/>
    </font>
    <font>
      <b/>
      <i/>
      <sz val="16"/>
      <color rgb="FFFFFF00"/>
      <name val="Bahnschrift"/>
      <family val="2"/>
    </font>
    <font>
      <sz val="9"/>
      <color theme="0"/>
      <name val="Bahnschrift SemiBold SemiConden"/>
      <family val="2"/>
    </font>
    <font>
      <sz val="18"/>
      <color theme="1"/>
      <name val="Bahnschrift SemiBold SemiConden"/>
      <family val="2"/>
    </font>
    <font>
      <b/>
      <sz val="14"/>
      <color theme="5" tint="0.39997558519241921"/>
      <name val="Bahnschrift"/>
      <family val="2"/>
    </font>
    <font>
      <b/>
      <sz val="14"/>
      <color theme="0"/>
      <name val="Bahnschrift SemiBold SemiConden"/>
      <family val="2"/>
    </font>
    <font>
      <sz val="12"/>
      <color theme="0"/>
      <name val="Bahnschrift SemiBold SemiConden"/>
      <family val="2"/>
    </font>
    <font>
      <sz val="14"/>
      <color theme="0" tint="-0.34998626667073579"/>
      <name val="Bahnschrift SemiBold SemiConden"/>
      <family val="2"/>
    </font>
    <font>
      <b/>
      <sz val="16"/>
      <color theme="0"/>
      <name val="Bahnschrift SemiBold SemiConden"/>
      <family val="2"/>
    </font>
    <font>
      <b/>
      <sz val="16"/>
      <color rgb="FFFFFF00"/>
      <name val="Bahnschrift SemiBold SemiConden"/>
      <family val="2"/>
    </font>
    <font>
      <sz val="14"/>
      <color theme="1"/>
      <name val="Bahnschrift SemiBold Condensed"/>
      <family val="2"/>
    </font>
    <font>
      <b/>
      <sz val="16"/>
      <color theme="0" tint="-4.9989318521683403E-2"/>
      <name val="Bahnschrift SemiBold SemiConden"/>
      <family val="2"/>
    </font>
    <font>
      <sz val="14"/>
      <color rgb="FFFFFFFF"/>
      <name val="Bahnschrift SemiBold SemiConden"/>
      <family val="2"/>
    </font>
    <font>
      <b/>
      <u/>
      <sz val="12"/>
      <color theme="10"/>
      <name val="Bahnschrift SemiBold SemiConden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11"/>
      <name val="Bahnschrift SemiBold SemiConden"/>
      <family val="2"/>
    </font>
    <font>
      <sz val="14"/>
      <color theme="0"/>
      <name val="Bahnschrift"/>
      <family val="2"/>
    </font>
    <font>
      <sz val="11"/>
      <color theme="0"/>
      <name val="Bahnschrift"/>
      <family val="2"/>
    </font>
    <font>
      <sz val="9"/>
      <color theme="0"/>
      <name val="Bahnschrift"/>
      <family val="2"/>
    </font>
    <font>
      <sz val="10"/>
      <color theme="0"/>
      <name val="Bahnschrift"/>
      <family val="2"/>
    </font>
    <font>
      <sz val="8"/>
      <color theme="0"/>
      <name val="Bahnschrift"/>
      <family val="2"/>
    </font>
    <font>
      <b/>
      <sz val="16"/>
      <color rgb="FF99FF99"/>
      <name val="Bahnschrift"/>
      <family val="2"/>
    </font>
    <font>
      <b/>
      <sz val="16"/>
      <color rgb="FFCCFFCC"/>
      <name val="Bahnschrift"/>
      <family val="2"/>
    </font>
    <font>
      <b/>
      <sz val="16"/>
      <color rgb="FFFFFF00"/>
      <name val="Bahnschrift"/>
      <family val="2"/>
    </font>
    <font>
      <b/>
      <sz val="16"/>
      <color rgb="FFFF9393"/>
      <name val="Bahnschrift"/>
      <family val="2"/>
    </font>
    <font>
      <b/>
      <sz val="18"/>
      <color rgb="FFFFFFFF"/>
      <name val="Bahnschrift SemiBold SemiConden"/>
      <family val="2"/>
    </font>
    <font>
      <b/>
      <sz val="11"/>
      <color rgb="FFFFFFFF"/>
      <name val="Bahnschrift SemiBold SemiConden"/>
      <family val="2"/>
    </font>
    <font>
      <b/>
      <sz val="11"/>
      <color theme="0"/>
      <name val="Bahnschrift SemiLight SemiConde"/>
      <family val="2"/>
    </font>
    <font>
      <sz val="11"/>
      <color theme="0"/>
      <name val="Bahnschrift SemiBold SemiConden"/>
      <family val="2"/>
    </font>
    <font>
      <sz val="22"/>
      <color theme="0"/>
      <name val="Bahnschrift SemiBold SemiConden"/>
      <family val="2"/>
    </font>
    <font>
      <sz val="22"/>
      <color theme="1"/>
      <name val="Bahnschrift SemiBold SemiConden"/>
      <family val="2"/>
    </font>
    <font>
      <sz val="11"/>
      <color theme="1" tint="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FF00"/>
      <name val="Bahnschrift SemiBold SemiConden"/>
      <family val="2"/>
    </font>
    <font>
      <sz val="14"/>
      <color theme="1" tint="0.34998626667073579"/>
      <name val="Bahnschrift SemiBold SemiConden"/>
      <family val="2"/>
    </font>
    <font>
      <sz val="11"/>
      <color theme="0"/>
      <name val="Bahnschrift SemiBold Condensed"/>
      <family val="2"/>
    </font>
    <font>
      <sz val="12"/>
      <name val="Bahnschrift SemiBold SemiConden"/>
      <family val="2"/>
    </font>
    <font>
      <sz val="16"/>
      <color rgb="FFFF0000"/>
      <name val="Bahnschrift SemiBold SemiConden"/>
      <family val="2"/>
    </font>
    <font>
      <sz val="18"/>
      <name val="Bahnschrift SemiBold SemiConden"/>
      <family val="2"/>
    </font>
    <font>
      <sz val="18"/>
      <color theme="2" tint="-0.749992370372631"/>
      <name val="Bahnschrift SemiBold SemiConden"/>
      <family val="2"/>
    </font>
    <font>
      <sz val="20"/>
      <color theme="1" tint="0.14999847407452621"/>
      <name val="Bahnschrift SemiBold SemiConden"/>
      <family val="2"/>
    </font>
    <font>
      <b/>
      <sz val="10"/>
      <color theme="0"/>
      <name val="Arial"/>
      <family val="2"/>
    </font>
    <font>
      <sz val="9"/>
      <color theme="1" tint="0.249977111117893"/>
      <name val="Bahnschrift"/>
      <family val="2"/>
    </font>
    <font>
      <b/>
      <sz val="14"/>
      <color theme="1" tint="0.249977111117893"/>
      <name val="Bahnschrift"/>
      <family val="2"/>
    </font>
    <font>
      <b/>
      <sz val="14"/>
      <color rgb="FFFFC1C1"/>
      <name val="Bahnschrift"/>
      <family val="2"/>
    </font>
    <font>
      <b/>
      <sz val="14"/>
      <name val="Bahnschrift"/>
      <family val="2"/>
    </font>
    <font>
      <i/>
      <sz val="14"/>
      <color theme="0" tint="-0.249977111117893"/>
      <name val="Bahnschrift"/>
      <family val="2"/>
    </font>
    <font>
      <b/>
      <i/>
      <sz val="16"/>
      <color rgb="FF92D050"/>
      <name val="Bahnschrift"/>
      <family val="2"/>
    </font>
    <font>
      <b/>
      <i/>
      <sz val="16"/>
      <color rgb="FFFF9981"/>
      <name val="Bahnschrift"/>
      <family val="2"/>
    </font>
    <font>
      <sz val="14"/>
      <color theme="4" tint="0.79998168889431442"/>
      <name val="Bahnschrift"/>
      <family val="2"/>
    </font>
    <font>
      <b/>
      <sz val="12"/>
      <color theme="1"/>
      <name val="Bahnschrift SemiBold SemiConden"/>
      <family val="2"/>
    </font>
    <font>
      <sz val="13"/>
      <color theme="1"/>
      <name val="Bahnschrift SemiBold SemiConden"/>
      <family val="2"/>
    </font>
    <font>
      <sz val="17"/>
      <color theme="0"/>
      <name val="Bahnschrift SemiBold SemiConden"/>
      <family val="2"/>
    </font>
    <font>
      <b/>
      <sz val="12"/>
      <color theme="1"/>
      <name val="Bahnschrift"/>
      <family val="2"/>
    </font>
    <font>
      <sz val="16"/>
      <color theme="0" tint="-0.249977111117893"/>
      <name val="Bahnschrift SemiBold SemiConden"/>
      <family val="2"/>
    </font>
    <font>
      <sz val="16"/>
      <color theme="1" tint="0.499984740745262"/>
      <name val="Bahnschrift SemiBold SemiConden"/>
      <family val="2"/>
    </font>
    <font>
      <sz val="17"/>
      <color theme="1"/>
      <name val="Bahnschrift SemiBold SemiConden"/>
      <family val="2"/>
    </font>
    <font>
      <sz val="17"/>
      <color theme="2" tint="-0.749992370372631"/>
      <name val="Bahnschrift SemiBold SemiConden"/>
      <family val="2"/>
    </font>
    <font>
      <sz val="18"/>
      <color theme="1" tint="0.499984740745262"/>
      <name val="Bahnschrift SemiBold SemiConden"/>
      <family val="2"/>
    </font>
    <font>
      <sz val="14"/>
      <color theme="1" tint="0.499984740745262"/>
      <name val="Bahnschrift SemiBold SemiConden"/>
      <family val="2"/>
    </font>
    <font>
      <sz val="24"/>
      <color theme="0"/>
      <name val="Aptos"/>
      <family val="2"/>
    </font>
    <font>
      <sz val="11"/>
      <color theme="0"/>
      <name val="Aptos"/>
      <family val="2"/>
    </font>
    <font>
      <sz val="9"/>
      <color theme="1" tint="0.499984740745262"/>
      <name val="Bahnschrift SemiBold SemiConden"/>
      <family val="2"/>
    </font>
    <font>
      <b/>
      <sz val="14"/>
      <color theme="1" tint="0.499984740745262"/>
      <name val="Bahnschrift SemiBold SemiConden"/>
      <family val="2"/>
    </font>
    <font>
      <sz val="10"/>
      <color theme="1" tint="0.499984740745262"/>
      <name val="Bahnschrift SemiBold SemiConden"/>
      <family val="2"/>
    </font>
    <font>
      <sz val="8"/>
      <color theme="1" tint="0.499984740745262"/>
      <name val="Bahnschrift SemiBold SemiConden"/>
      <family val="2"/>
    </font>
    <font>
      <sz val="26"/>
      <color theme="1" tint="0.499984740745262"/>
      <name val="Bahnschrift SemiBold SemiConden"/>
      <family val="2"/>
    </font>
    <font>
      <sz val="14"/>
      <color theme="1" tint="0.499984740745262"/>
      <name val="Calibri"/>
      <family val="2"/>
      <scheme val="minor"/>
    </font>
    <font>
      <b/>
      <sz val="12"/>
      <color theme="1" tint="0.499984740745262"/>
      <name val="Bahnschrift"/>
      <family val="2"/>
    </font>
    <font>
      <b/>
      <sz val="12"/>
      <color theme="1" tint="0.499984740745262"/>
      <name val="Bahnschrift SemiBold SemiConden"/>
      <family val="2"/>
    </font>
    <font>
      <sz val="14"/>
      <color theme="1" tint="0.499984740745262"/>
      <name val="Bahnschrift"/>
      <family val="2"/>
    </font>
    <font>
      <b/>
      <sz val="8"/>
      <color theme="1" tint="0.499984740745262"/>
      <name val="Bahnschrift SemiBold SemiConden"/>
      <family val="2"/>
    </font>
    <font>
      <sz val="12"/>
      <color theme="1" tint="0.499984740745262"/>
      <name val="Calibri"/>
      <family val="2"/>
      <scheme val="minor"/>
    </font>
    <font>
      <sz val="12"/>
      <color theme="1" tint="0.499984740745262"/>
      <name val="Bahnschrift SemiBold SemiConden"/>
      <family val="2"/>
    </font>
    <font>
      <sz val="11"/>
      <color theme="1" tint="0.499984740745262"/>
      <name val="Bahnschrift SemiBold SemiConden"/>
      <family val="2"/>
    </font>
    <font>
      <sz val="11"/>
      <color rgb="FF334155"/>
      <name val="Bahnschrift SemiBold SemiConden"/>
      <family val="2"/>
    </font>
  </fonts>
  <fills count="2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theme="4" tint="0.79995117038483843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FF66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theme="1"/>
      </patternFill>
    </fill>
    <fill>
      <patternFill patternType="solid">
        <fgColor theme="1" tint="0.499984740745262"/>
        <bgColor theme="0" tint="-0.14999847407452621"/>
      </patternFill>
    </fill>
  </fills>
  <borders count="1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 style="thin">
        <color theme="1" tint="0.24994659260841701"/>
      </right>
      <top/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medium">
        <color theme="1" tint="0.2499465926084170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/>
      <diagonal/>
    </border>
    <border>
      <left style="thick">
        <color rgb="FFFFAFAF"/>
      </left>
      <right style="thick">
        <color rgb="FFFFAFAF"/>
      </right>
      <top style="thick">
        <color rgb="FFFFAFAF"/>
      </top>
      <bottom style="thick">
        <color rgb="FFFFAFAF"/>
      </bottom>
      <diagonal/>
    </border>
    <border>
      <left style="thick">
        <color rgb="FFFFAFAF"/>
      </left>
      <right style="thick">
        <color rgb="FFFFAFAF"/>
      </right>
      <top style="thick">
        <color rgb="FFFFAFAF"/>
      </top>
      <bottom/>
      <diagonal/>
    </border>
    <border>
      <left style="thick">
        <color rgb="FFFFAFAF"/>
      </left>
      <right style="thick">
        <color rgb="FFFFAFAF"/>
      </right>
      <top/>
      <bottom style="thick">
        <color rgb="FFFFAFAF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 tint="0.24994659260841701"/>
      </left>
      <right style="medium">
        <color theme="1" tint="0.24994659260841701"/>
      </right>
      <top/>
      <bottom style="double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double">
        <color theme="1" tint="0.24994659260841701"/>
      </bottom>
      <diagonal/>
    </border>
    <border>
      <left style="thin">
        <color theme="4"/>
      </left>
      <right style="thin">
        <color theme="4"/>
      </right>
      <top style="thin">
        <color rgb="FFFFFFFF"/>
      </top>
      <bottom style="thin">
        <color rgb="FF1A3B75"/>
      </bottom>
      <diagonal/>
    </border>
    <border>
      <left style="thin">
        <color theme="4"/>
      </left>
      <right style="thin">
        <color rgb="FFFFFFFF"/>
      </right>
      <top style="thin">
        <color rgb="FFFFFFFF"/>
      </top>
      <bottom style="thin">
        <color rgb="FF1A3B75"/>
      </bottom>
      <diagonal/>
    </border>
    <border>
      <left style="thin">
        <color rgb="FFFFFFFF"/>
      </left>
      <right style="thin">
        <color theme="4"/>
      </right>
      <top style="thin">
        <color rgb="FFFFFFFF"/>
      </top>
      <bottom style="thin">
        <color rgb="FF1A3B7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1A3B7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1A3B75"/>
      </top>
      <bottom style="thin">
        <color rgb="FF1A3B75"/>
      </bottom>
      <diagonal/>
    </border>
    <border>
      <left style="thin">
        <color theme="4"/>
      </left>
      <right style="thin">
        <color rgb="FFFFFFFF"/>
      </right>
      <top style="thin">
        <color rgb="FF1A3B75"/>
      </top>
      <bottom style="thin">
        <color rgb="FF1A3B75"/>
      </bottom>
      <diagonal/>
    </border>
    <border>
      <left style="thin">
        <color rgb="FFFFFFFF"/>
      </left>
      <right style="thin">
        <color theme="4"/>
      </right>
      <top style="thin">
        <color rgb="FF1A3B75"/>
      </top>
      <bottom style="thin">
        <color rgb="FF1A3B75"/>
      </bottom>
      <diagonal/>
    </border>
    <border>
      <left style="thin">
        <color rgb="FFFFFFFF"/>
      </left>
      <right style="thin">
        <color rgb="FFFFFFFF"/>
      </right>
      <top style="thin">
        <color rgb="FF1A3B75"/>
      </top>
      <bottom style="thin">
        <color rgb="FF1A3B75"/>
      </bottom>
      <diagonal/>
    </border>
    <border>
      <left/>
      <right style="thin">
        <color theme="4"/>
      </right>
      <top style="thin">
        <color rgb="FF1A3B75"/>
      </top>
      <bottom style="thin">
        <color rgb="FF1A3B7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rgb="FF1A3B75"/>
      </bottom>
      <diagonal/>
    </border>
    <border>
      <left style="thin">
        <color theme="4"/>
      </left>
      <right style="thin">
        <color rgb="FFFFFFFF"/>
      </right>
      <top/>
      <bottom style="thin">
        <color rgb="FF1A3B75"/>
      </bottom>
      <diagonal/>
    </border>
    <border>
      <left style="thin">
        <color rgb="FFFFFFFF"/>
      </left>
      <right style="thin">
        <color theme="4"/>
      </right>
      <top/>
      <bottom style="thin">
        <color rgb="FF1A3B75"/>
      </bottom>
      <diagonal/>
    </border>
    <border>
      <left style="thin">
        <color rgb="FFFFFFFF"/>
      </left>
      <right style="thin">
        <color rgb="FFFFFFFF"/>
      </right>
      <top/>
      <bottom style="thin">
        <color rgb="FF1A3B75"/>
      </bottom>
      <diagonal/>
    </border>
    <border>
      <left style="thin">
        <color theme="4"/>
      </left>
      <right style="thin">
        <color theme="4"/>
      </right>
      <top/>
      <bottom style="thin">
        <color rgb="FF1A3B75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rgb="FF1A3B75"/>
      </bottom>
      <diagonal/>
    </border>
    <border>
      <left style="thin">
        <color theme="4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theme="4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rgb="FFFFFFFF"/>
      </right>
      <top/>
      <bottom style="thin">
        <color rgb="FF1A3B75"/>
      </bottom>
      <diagonal/>
    </border>
    <border>
      <left style="thin">
        <color rgb="FFFFFFFF"/>
      </left>
      <right/>
      <top/>
      <bottom style="thin">
        <color rgb="FF1A3B75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ck">
        <color theme="9" tint="-0.499984740745262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1A3B75"/>
      </left>
      <right style="thin">
        <color rgb="FF1A3B75"/>
      </right>
      <top style="thin">
        <color rgb="FF1A3B75"/>
      </top>
      <bottom style="thin">
        <color rgb="FF1A3B75"/>
      </bottom>
      <diagonal/>
    </border>
    <border>
      <left style="thin">
        <color rgb="FF1A3B75"/>
      </left>
      <right/>
      <top style="thin">
        <color rgb="FF1A3B75"/>
      </top>
      <bottom style="thin">
        <color rgb="FF1A3B75"/>
      </bottom>
      <diagonal/>
    </border>
    <border>
      <left style="thin">
        <color rgb="FF1A3B75"/>
      </left>
      <right style="thin">
        <color rgb="FF1A3B75"/>
      </right>
      <top style="thin">
        <color rgb="FF1A3B75"/>
      </top>
      <bottom/>
      <diagonal/>
    </border>
    <border>
      <left style="thin">
        <color rgb="FF1A3B75"/>
      </left>
      <right/>
      <top style="thin">
        <color rgb="FF1A3B7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medium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ck">
        <color rgb="FFFFAFAF"/>
      </left>
      <right/>
      <top/>
      <bottom/>
      <diagonal/>
    </border>
    <border>
      <left style="thick">
        <color rgb="FFFFAFAF"/>
      </left>
      <right/>
      <top style="thick">
        <color rgb="FFFFAFAF"/>
      </top>
      <bottom style="thick">
        <color rgb="FFFFAFAF"/>
      </bottom>
      <diagonal/>
    </border>
    <border>
      <left/>
      <right style="thick">
        <color rgb="FFFFAFAF"/>
      </right>
      <top style="thick">
        <color rgb="FFFFAFAF"/>
      </top>
      <bottom style="thick">
        <color rgb="FFFFAFAF"/>
      </bottom>
      <diagonal/>
    </border>
    <border>
      <left style="thick">
        <color rgb="FFFFAFAF"/>
      </left>
      <right/>
      <top style="thick">
        <color rgb="FFFFAFAF"/>
      </top>
      <bottom/>
      <diagonal/>
    </border>
    <border>
      <left/>
      <right style="thick">
        <color rgb="FFFFAFAF"/>
      </right>
      <top style="thick">
        <color rgb="FFFFAFAF"/>
      </top>
      <bottom/>
      <diagonal/>
    </border>
    <border>
      <left style="thick">
        <color rgb="FFFFAFAF"/>
      </left>
      <right/>
      <top/>
      <bottom style="thick">
        <color rgb="FFFFAFAF"/>
      </bottom>
      <diagonal/>
    </border>
    <border>
      <left/>
      <right style="thick">
        <color rgb="FFFFAFAF"/>
      </right>
      <top/>
      <bottom style="thick">
        <color rgb="FFFFAFAF"/>
      </bottom>
      <diagonal/>
    </border>
    <border>
      <left/>
      <right/>
      <top style="thin">
        <color rgb="FF1A3B75"/>
      </top>
      <bottom style="thin">
        <color rgb="FF1A3B75"/>
      </bottom>
      <diagonal/>
    </border>
    <border>
      <left/>
      <right/>
      <top style="thin">
        <color rgb="FF1A3B75"/>
      </top>
      <bottom/>
      <diagonal/>
    </border>
    <border>
      <left style="thin">
        <color rgb="FF1A3B75"/>
      </left>
      <right style="medium">
        <color rgb="FF1A3B75"/>
      </right>
      <top style="thin">
        <color rgb="FF1A3B75"/>
      </top>
      <bottom/>
      <diagonal/>
    </border>
    <border>
      <left/>
      <right/>
      <top style="thin">
        <color rgb="FFFFFFFF"/>
      </top>
      <bottom style="thin">
        <color rgb="FF1A3B7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rgb="FFFFFFFF"/>
      </right>
      <top/>
      <bottom style="thin">
        <color theme="4" tint="0.39997558519241921"/>
      </bottom>
      <diagonal/>
    </border>
    <border>
      <left style="thin">
        <color rgb="FFFFFFFF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rgb="FFFFFFFF"/>
      </left>
      <right style="thin">
        <color rgb="FFFFFFFF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1A3B75"/>
      </left>
      <right style="thin">
        <color theme="1"/>
      </right>
      <top style="medium">
        <color rgb="FF1A3B75"/>
      </top>
      <bottom style="thin">
        <color theme="1"/>
      </bottom>
      <diagonal/>
    </border>
    <border>
      <left style="thin">
        <color rgb="FF1A3B75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9" tint="-0.499984740745262"/>
      </right>
      <top/>
      <bottom style="thick">
        <color auto="1"/>
      </bottom>
      <diagonal/>
    </border>
    <border>
      <left style="thick">
        <color auto="1"/>
      </left>
      <right style="thick">
        <color theme="9" tint="-0.499984740745262"/>
      </right>
      <top/>
      <bottom style="thick">
        <color auto="1"/>
      </bottom>
      <diagonal/>
    </border>
    <border>
      <left style="thick">
        <color theme="9" tint="-0.499984740745262"/>
      </left>
      <right style="thick">
        <color auto="1"/>
      </right>
      <top/>
      <bottom style="thick">
        <color auto="1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auto="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auto="1"/>
      </left>
      <right/>
      <top style="thin">
        <color theme="0"/>
      </top>
      <bottom/>
      <diagonal/>
    </border>
    <border>
      <left style="thick">
        <color auto="1"/>
      </left>
      <right/>
      <top/>
      <bottom style="thin">
        <color theme="0"/>
      </bottom>
      <diagonal/>
    </border>
    <border>
      <left/>
      <right/>
      <top style="thick">
        <color rgb="FFFFAFAF"/>
      </top>
      <bottom style="thick">
        <color rgb="FFFFAFAF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auto="1"/>
      </left>
      <right style="thick">
        <color theme="9" tint="-0.499984740745262"/>
      </right>
      <top/>
      <bottom/>
      <diagonal/>
    </border>
    <border>
      <left/>
      <right style="thin">
        <color rgb="FF1A3B75"/>
      </right>
      <top style="thin">
        <color rgb="FF1A3B75"/>
      </top>
      <bottom style="thin">
        <color rgb="FF1A3B75"/>
      </bottom>
      <diagonal/>
    </border>
    <border>
      <left style="thin">
        <color theme="1"/>
      </left>
      <right style="thin">
        <color rgb="FF1A3B75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1A3B75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rgb="FF1A3B75"/>
      </right>
      <top style="thin">
        <color auto="1"/>
      </top>
      <bottom style="thin">
        <color auto="1"/>
      </bottom>
      <diagonal/>
    </border>
    <border>
      <left/>
      <right style="thin">
        <color rgb="FF1A3B75"/>
      </right>
      <top style="thin">
        <color rgb="FF1A3B75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2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Protection="1"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18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9" fontId="3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166" fontId="12" fillId="2" borderId="0" xfId="0" applyNumberFormat="1" applyFont="1" applyFill="1" applyAlignment="1" applyProtection="1">
      <alignment horizontal="center" vertical="center"/>
      <protection hidden="1"/>
    </xf>
    <xf numFmtId="166" fontId="11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3" fontId="4" fillId="4" borderId="0" xfId="0" applyNumberFormat="1" applyFont="1" applyFill="1" applyAlignment="1" applyProtection="1">
      <alignment horizontal="center" vertical="center"/>
      <protection hidden="1"/>
    </xf>
    <xf numFmtId="9" fontId="4" fillId="4" borderId="0" xfId="0" applyNumberFormat="1" applyFont="1" applyFill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left" vertical="center"/>
      <protection hidden="1"/>
    </xf>
    <xf numFmtId="2" fontId="4" fillId="4" borderId="0" xfId="0" applyNumberFormat="1" applyFont="1" applyFill="1" applyAlignment="1" applyProtection="1">
      <alignment horizontal="center" vertical="center"/>
      <protection hidden="1"/>
    </xf>
    <xf numFmtId="1" fontId="4" fillId="4" borderId="0" xfId="0" applyNumberFormat="1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/>
      <protection hidden="1"/>
    </xf>
    <xf numFmtId="0" fontId="3" fillId="7" borderId="9" xfId="0" applyFont="1" applyFill="1" applyBorder="1" applyAlignment="1" applyProtection="1">
      <alignment horizontal="center" vertical="center"/>
      <protection hidden="1"/>
    </xf>
    <xf numFmtId="0" fontId="33" fillId="7" borderId="0" xfId="0" applyFont="1" applyFill="1" applyAlignment="1" applyProtection="1">
      <alignment horizontal="center" vertical="center"/>
      <protection hidden="1"/>
    </xf>
    <xf numFmtId="0" fontId="19" fillId="7" borderId="2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Protection="1">
      <protection hidden="1"/>
    </xf>
    <xf numFmtId="0" fontId="3" fillId="7" borderId="3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Protection="1">
      <protection hidden="1"/>
    </xf>
    <xf numFmtId="0" fontId="3" fillId="7" borderId="4" xfId="0" applyFont="1" applyFill="1" applyBorder="1" applyProtection="1">
      <protection hidden="1"/>
    </xf>
    <xf numFmtId="0" fontId="19" fillId="7" borderId="22" xfId="0" applyFont="1" applyFill="1" applyBorder="1" applyAlignment="1" applyProtection="1">
      <alignment horizontal="center" vertical="center"/>
      <protection hidden="1"/>
    </xf>
    <xf numFmtId="0" fontId="3" fillId="7" borderId="22" xfId="0" applyFont="1" applyFill="1" applyBorder="1" applyProtection="1">
      <protection hidden="1"/>
    </xf>
    <xf numFmtId="0" fontId="3" fillId="7" borderId="6" xfId="0" applyFont="1" applyFill="1" applyBorder="1" applyProtection="1">
      <protection hidden="1"/>
    </xf>
    <xf numFmtId="0" fontId="19" fillId="8" borderId="2" xfId="0" applyFont="1" applyFill="1" applyBorder="1" applyAlignment="1" applyProtection="1">
      <alignment horizontal="center" vertical="center"/>
      <protection hidden="1"/>
    </xf>
    <xf numFmtId="0" fontId="3" fillId="8" borderId="2" xfId="0" applyFont="1" applyFill="1" applyBorder="1" applyProtection="1">
      <protection hidden="1"/>
    </xf>
    <xf numFmtId="0" fontId="3" fillId="8" borderId="3" xfId="0" applyFont="1" applyFill="1" applyBorder="1" applyProtection="1">
      <protection hidden="1"/>
    </xf>
    <xf numFmtId="0" fontId="4" fillId="8" borderId="9" xfId="0" applyFont="1" applyFill="1" applyBorder="1" applyAlignment="1" applyProtection="1">
      <alignment horizontal="left" vertical="center"/>
      <protection hidden="1"/>
    </xf>
    <xf numFmtId="0" fontId="4" fillId="8" borderId="0" xfId="0" applyFont="1" applyFill="1" applyAlignment="1" applyProtection="1">
      <alignment horizontal="left" vertical="center"/>
      <protection hidden="1"/>
    </xf>
    <xf numFmtId="0" fontId="21" fillId="8" borderId="0" xfId="0" applyFont="1" applyFill="1" applyProtection="1">
      <protection hidden="1"/>
    </xf>
    <xf numFmtId="0" fontId="4" fillId="8" borderId="9" xfId="0" applyFont="1" applyFill="1" applyBorder="1" applyAlignment="1" applyProtection="1">
      <alignment vertical="center"/>
      <protection hidden="1"/>
    </xf>
    <xf numFmtId="0" fontId="3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166" fontId="32" fillId="8" borderId="0" xfId="0" applyNumberFormat="1" applyFont="1" applyFill="1" applyAlignment="1" applyProtection="1">
      <alignment horizontal="center" vertical="center"/>
      <protection hidden="1"/>
    </xf>
    <xf numFmtId="0" fontId="3" fillId="8" borderId="9" xfId="0" applyFont="1" applyFill="1" applyBorder="1" applyProtection="1">
      <protection hidden="1"/>
    </xf>
    <xf numFmtId="0" fontId="3" fillId="8" borderId="0" xfId="0" applyFont="1" applyFill="1" applyAlignment="1" applyProtection="1">
      <alignment horizontal="left"/>
      <protection hidden="1"/>
    </xf>
    <xf numFmtId="0" fontId="18" fillId="8" borderId="9" xfId="0" applyFont="1" applyFill="1" applyBorder="1" applyAlignment="1" applyProtection="1">
      <alignment vertical="center" wrapText="1"/>
      <protection hidden="1"/>
    </xf>
    <xf numFmtId="0" fontId="18" fillId="8" borderId="0" xfId="0" applyFont="1" applyFill="1" applyAlignment="1" applyProtection="1">
      <alignment vertical="center" wrapText="1"/>
      <protection hidden="1"/>
    </xf>
    <xf numFmtId="0" fontId="4" fillId="8" borderId="5" xfId="0" applyFont="1" applyFill="1" applyBorder="1" applyAlignment="1" applyProtection="1">
      <alignment horizontal="left" vertical="center"/>
      <protection hidden="1"/>
    </xf>
    <xf numFmtId="0" fontId="4" fillId="8" borderId="22" xfId="0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vertical="center" wrapText="1"/>
      <protection hidden="1"/>
    </xf>
    <xf numFmtId="0" fontId="3" fillId="5" borderId="0" xfId="0" applyFont="1" applyFill="1" applyProtection="1"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3" fillId="5" borderId="4" xfId="0" applyFont="1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vertical="center"/>
      <protection hidden="1"/>
    </xf>
    <xf numFmtId="0" fontId="3" fillId="5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18" fillId="5" borderId="0" xfId="0" applyFont="1" applyFill="1" applyAlignment="1" applyProtection="1">
      <alignment vertical="center"/>
      <protection hidden="1"/>
    </xf>
    <xf numFmtId="0" fontId="18" fillId="5" borderId="4" xfId="0" applyFont="1" applyFill="1" applyBorder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21" fillId="8" borderId="22" xfId="0" applyFont="1" applyFill="1" applyBorder="1" applyProtection="1">
      <protection hidden="1"/>
    </xf>
    <xf numFmtId="0" fontId="3" fillId="7" borderId="1" xfId="0" applyFont="1" applyFill="1" applyBorder="1" applyProtection="1">
      <protection hidden="1"/>
    </xf>
    <xf numFmtId="0" fontId="19" fillId="8" borderId="0" xfId="0" applyFont="1" applyFill="1" applyAlignment="1" applyProtection="1">
      <alignment horizontal="center" vertical="center"/>
      <protection hidden="1"/>
    </xf>
    <xf numFmtId="0" fontId="3" fillId="8" borderId="4" xfId="0" applyFont="1" applyFill="1" applyBorder="1" applyProtection="1">
      <protection hidden="1"/>
    </xf>
    <xf numFmtId="0" fontId="3" fillId="8" borderId="22" xfId="0" applyFont="1" applyFill="1" applyBorder="1" applyProtection="1">
      <protection hidden="1"/>
    </xf>
    <xf numFmtId="0" fontId="3" fillId="8" borderId="6" xfId="0" applyFont="1" applyFill="1" applyBorder="1" applyProtection="1">
      <protection hidden="1"/>
    </xf>
    <xf numFmtId="0" fontId="6" fillId="5" borderId="0" xfId="0" applyFont="1" applyFill="1" applyProtection="1">
      <protection hidden="1"/>
    </xf>
    <xf numFmtId="0" fontId="3" fillId="5" borderId="22" xfId="0" applyFont="1" applyFill="1" applyBorder="1" applyProtection="1">
      <protection hidden="1"/>
    </xf>
    <xf numFmtId="0" fontId="3" fillId="5" borderId="6" xfId="0" applyFont="1" applyFill="1" applyBorder="1" applyProtection="1">
      <protection hidden="1"/>
    </xf>
    <xf numFmtId="3" fontId="4" fillId="8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3" fillId="5" borderId="1" xfId="0" applyFont="1" applyFill="1" applyBorder="1" applyProtection="1">
      <protection hidden="1"/>
    </xf>
    <xf numFmtId="0" fontId="3" fillId="5" borderId="2" xfId="0" applyFont="1" applyFill="1" applyBorder="1" applyProtection="1">
      <protection hidden="1"/>
    </xf>
    <xf numFmtId="0" fontId="3" fillId="5" borderId="3" xfId="0" applyFont="1" applyFill="1" applyBorder="1" applyProtection="1">
      <protection hidden="1"/>
    </xf>
    <xf numFmtId="0" fontId="3" fillId="5" borderId="5" xfId="0" applyFont="1" applyFill="1" applyBorder="1" applyProtection="1">
      <protection hidden="1"/>
    </xf>
    <xf numFmtId="0" fontId="9" fillId="5" borderId="0" xfId="0" applyFont="1" applyFill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25" fillId="5" borderId="4" xfId="0" applyFont="1" applyFill="1" applyBorder="1" applyAlignment="1" applyProtection="1">
      <alignment vertical="center" wrapText="1"/>
      <protection hidden="1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21" fillId="6" borderId="0" xfId="0" applyFont="1" applyFill="1" applyAlignment="1" applyProtection="1">
      <alignment horizontal="center" vertical="center"/>
      <protection hidden="1"/>
    </xf>
    <xf numFmtId="165" fontId="5" fillId="7" borderId="0" xfId="0" applyNumberFormat="1" applyFont="1" applyFill="1" applyAlignment="1" applyProtection="1">
      <alignment horizontal="center" vertical="center"/>
      <protection hidden="1"/>
    </xf>
    <xf numFmtId="168" fontId="4" fillId="7" borderId="0" xfId="0" applyNumberFormat="1" applyFont="1" applyFill="1" applyAlignment="1" applyProtection="1">
      <alignment horizontal="center" vertical="center"/>
      <protection hidden="1"/>
    </xf>
    <xf numFmtId="0" fontId="3" fillId="7" borderId="9" xfId="0" applyFont="1" applyFill="1" applyBorder="1" applyProtection="1">
      <protection hidden="1"/>
    </xf>
    <xf numFmtId="0" fontId="4" fillId="7" borderId="9" xfId="0" applyFont="1" applyFill="1" applyBorder="1" applyAlignment="1" applyProtection="1">
      <alignment vertical="center"/>
      <protection hidden="1"/>
    </xf>
    <xf numFmtId="0" fontId="4" fillId="7" borderId="9" xfId="0" applyFont="1" applyFill="1" applyBorder="1" applyAlignment="1" applyProtection="1">
      <alignment horizontal="left" vertical="center"/>
      <protection hidden="1"/>
    </xf>
    <xf numFmtId="0" fontId="6" fillId="7" borderId="0" xfId="0" applyFont="1" applyFill="1" applyAlignment="1" applyProtection="1">
      <alignment horizontal="center" vertical="center"/>
      <protection hidden="1"/>
    </xf>
    <xf numFmtId="0" fontId="3" fillId="7" borderId="5" xfId="0" applyFont="1" applyFill="1" applyBorder="1" applyProtection="1">
      <protection hidden="1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2" fontId="1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9" fontId="26" fillId="2" borderId="0" xfId="0" applyNumberFormat="1" applyFont="1" applyFill="1" applyAlignment="1">
      <alignment horizontal="center" vertical="center"/>
    </xf>
    <xf numFmtId="0" fontId="54" fillId="2" borderId="0" xfId="0" applyFont="1" applyFill="1" applyAlignment="1">
      <alignment horizontal="left"/>
    </xf>
    <xf numFmtId="0" fontId="54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166" fontId="59" fillId="0" borderId="8" xfId="0" applyNumberFormat="1" applyFont="1" applyBorder="1" applyAlignment="1" applyProtection="1">
      <alignment horizontal="center" vertical="center" wrapText="1"/>
      <protection hidden="1"/>
    </xf>
    <xf numFmtId="166" fontId="59" fillId="0" borderId="8" xfId="0" applyNumberFormat="1" applyFont="1" applyBorder="1" applyAlignment="1" applyProtection="1">
      <alignment horizontal="center" vertical="center"/>
      <protection hidden="1"/>
    </xf>
    <xf numFmtId="166" fontId="60" fillId="0" borderId="7" xfId="0" applyNumberFormat="1" applyFont="1" applyBorder="1" applyAlignment="1" applyProtection="1">
      <alignment horizontal="center" vertical="center" wrapText="1"/>
      <protection hidden="1"/>
    </xf>
    <xf numFmtId="166" fontId="59" fillId="0" borderId="7" xfId="0" applyNumberFormat="1" applyFont="1" applyBorder="1" applyAlignment="1" applyProtection="1">
      <alignment horizontal="center" vertical="center" wrapText="1"/>
      <protection hidden="1"/>
    </xf>
    <xf numFmtId="166" fontId="61" fillId="0" borderId="8" xfId="0" applyNumberFormat="1" applyFont="1" applyBorder="1" applyAlignment="1" applyProtection="1">
      <alignment horizontal="center" vertical="center" wrapText="1"/>
      <protection hidden="1"/>
    </xf>
    <xf numFmtId="0" fontId="56" fillId="14" borderId="33" xfId="0" applyFont="1" applyFill="1" applyBorder="1" applyAlignment="1" applyProtection="1">
      <alignment horizontal="left"/>
      <protection hidden="1"/>
    </xf>
    <xf numFmtId="0" fontId="56" fillId="14" borderId="34" xfId="0" applyFont="1" applyFill="1" applyBorder="1" applyAlignment="1" applyProtection="1">
      <alignment horizontal="center"/>
      <protection hidden="1"/>
    </xf>
    <xf numFmtId="0" fontId="56" fillId="14" borderId="33" xfId="0" applyFont="1" applyFill="1" applyBorder="1" applyAlignment="1" applyProtection="1">
      <alignment horizontal="center"/>
      <protection hidden="1"/>
    </xf>
    <xf numFmtId="0" fontId="56" fillId="14" borderId="32" xfId="0" applyFont="1" applyFill="1" applyBorder="1" applyAlignment="1" applyProtection="1">
      <alignment horizontal="center"/>
      <protection hidden="1"/>
    </xf>
    <xf numFmtId="9" fontId="56" fillId="14" borderId="42" xfId="0" applyNumberFormat="1" applyFont="1" applyFill="1" applyBorder="1" applyAlignment="1" applyProtection="1">
      <alignment horizontal="center"/>
      <protection hidden="1"/>
    </xf>
    <xf numFmtId="0" fontId="53" fillId="13" borderId="0" xfId="0" applyFont="1" applyFill="1" applyAlignment="1" applyProtection="1">
      <alignment horizontal="left"/>
      <protection hidden="1"/>
    </xf>
    <xf numFmtId="0" fontId="53" fillId="13" borderId="0" xfId="0" applyFont="1" applyFill="1" applyAlignment="1" applyProtection="1">
      <alignment horizontal="center"/>
      <protection hidden="1"/>
    </xf>
    <xf numFmtId="2" fontId="53" fillId="13" borderId="0" xfId="0" applyNumberFormat="1" applyFont="1" applyFill="1" applyAlignment="1" applyProtection="1">
      <alignment horizontal="center"/>
      <protection hidden="1"/>
    </xf>
    <xf numFmtId="9" fontId="53" fillId="13" borderId="0" xfId="0" applyNumberFormat="1" applyFont="1" applyFill="1" applyAlignment="1" applyProtection="1">
      <alignment horizontal="center"/>
      <protection hidden="1"/>
    </xf>
    <xf numFmtId="0" fontId="56" fillId="14" borderId="43" xfId="0" applyFont="1" applyFill="1" applyBorder="1" applyAlignment="1" applyProtection="1">
      <alignment horizontal="left"/>
      <protection hidden="1"/>
    </xf>
    <xf numFmtId="0" fontId="56" fillId="14" borderId="44" xfId="0" applyFont="1" applyFill="1" applyBorder="1" applyAlignment="1" applyProtection="1">
      <alignment horizontal="left"/>
      <protection hidden="1"/>
    </xf>
    <xf numFmtId="0" fontId="56" fillId="14" borderId="45" xfId="0" applyFont="1" applyFill="1" applyBorder="1" applyAlignment="1" applyProtection="1">
      <alignment horizontal="center"/>
      <protection hidden="1"/>
    </xf>
    <xf numFmtId="0" fontId="56" fillId="14" borderId="44" xfId="0" applyFont="1" applyFill="1" applyBorder="1" applyAlignment="1" applyProtection="1">
      <alignment horizontal="center"/>
      <protection hidden="1"/>
    </xf>
    <xf numFmtId="0" fontId="57" fillId="14" borderId="44" xfId="0" applyFont="1" applyFill="1" applyBorder="1" applyAlignment="1" applyProtection="1">
      <alignment horizontal="center"/>
      <protection hidden="1"/>
    </xf>
    <xf numFmtId="0" fontId="56" fillId="14" borderId="46" xfId="0" applyFont="1" applyFill="1" applyBorder="1" applyAlignment="1" applyProtection="1">
      <alignment horizontal="center"/>
      <protection hidden="1"/>
    </xf>
    <xf numFmtId="0" fontId="56" fillId="14" borderId="47" xfId="0" applyFont="1" applyFill="1" applyBorder="1" applyAlignment="1" applyProtection="1">
      <alignment horizontal="center"/>
      <protection hidden="1"/>
    </xf>
    <xf numFmtId="0" fontId="53" fillId="2" borderId="0" xfId="0" applyFont="1" applyFill="1" applyAlignment="1" applyProtection="1">
      <alignment horizontal="left"/>
      <protection hidden="1"/>
    </xf>
    <xf numFmtId="0" fontId="53" fillId="2" borderId="0" xfId="0" applyFont="1" applyFill="1" applyAlignment="1" applyProtection="1">
      <alignment horizontal="center"/>
      <protection hidden="1"/>
    </xf>
    <xf numFmtId="2" fontId="53" fillId="2" borderId="0" xfId="0" applyNumberFormat="1" applyFont="1" applyFill="1" applyAlignment="1" applyProtection="1">
      <alignment horizontal="center"/>
      <protection hidden="1"/>
    </xf>
    <xf numFmtId="9" fontId="53" fillId="2" borderId="0" xfId="0" applyNumberFormat="1" applyFont="1" applyFill="1" applyAlignment="1" applyProtection="1">
      <alignment horizontal="center"/>
      <protection hidden="1"/>
    </xf>
    <xf numFmtId="0" fontId="56" fillId="14" borderId="41" xfId="0" applyFont="1" applyFill="1" applyBorder="1" applyAlignment="1" applyProtection="1">
      <alignment horizontal="left"/>
      <protection hidden="1"/>
    </xf>
    <xf numFmtId="0" fontId="56" fillId="14" borderId="38" xfId="0" applyFont="1" applyFill="1" applyBorder="1" applyAlignment="1" applyProtection="1">
      <alignment horizontal="left"/>
      <protection hidden="1"/>
    </xf>
    <xf numFmtId="0" fontId="56" fillId="14" borderId="39" xfId="0" applyFont="1" applyFill="1" applyBorder="1" applyAlignment="1" applyProtection="1">
      <alignment horizontal="center"/>
      <protection hidden="1"/>
    </xf>
    <xf numFmtId="0" fontId="56" fillId="14" borderId="38" xfId="0" applyFont="1" applyFill="1" applyBorder="1" applyAlignment="1" applyProtection="1">
      <alignment horizontal="center"/>
      <protection hidden="1"/>
    </xf>
    <xf numFmtId="0" fontId="56" fillId="14" borderId="40" xfId="0" applyFont="1" applyFill="1" applyBorder="1" applyAlignment="1" applyProtection="1">
      <alignment horizontal="center"/>
      <protection hidden="1"/>
    </xf>
    <xf numFmtId="0" fontId="56" fillId="14" borderId="37" xfId="0" applyFont="1" applyFill="1" applyBorder="1" applyAlignment="1" applyProtection="1">
      <alignment horizontal="center"/>
      <protection hidden="1"/>
    </xf>
    <xf numFmtId="0" fontId="56" fillId="7" borderId="41" xfId="0" applyFont="1" applyFill="1" applyBorder="1" applyAlignment="1" applyProtection="1">
      <alignment horizontal="left"/>
      <protection hidden="1"/>
    </xf>
    <xf numFmtId="0" fontId="56" fillId="7" borderId="38" xfId="0" applyFont="1" applyFill="1" applyBorder="1" applyAlignment="1" applyProtection="1">
      <alignment horizontal="left"/>
      <protection hidden="1"/>
    </xf>
    <xf numFmtId="0" fontId="56" fillId="7" borderId="39" xfId="0" applyFont="1" applyFill="1" applyBorder="1" applyAlignment="1" applyProtection="1">
      <alignment horizontal="center"/>
      <protection hidden="1"/>
    </xf>
    <xf numFmtId="0" fontId="56" fillId="7" borderId="38" xfId="0" applyFont="1" applyFill="1" applyBorder="1" applyAlignment="1" applyProtection="1">
      <alignment horizontal="center"/>
      <protection hidden="1"/>
    </xf>
    <xf numFmtId="0" fontId="56" fillId="7" borderId="40" xfId="0" applyFont="1" applyFill="1" applyBorder="1" applyAlignment="1" applyProtection="1">
      <alignment horizontal="center"/>
      <protection hidden="1"/>
    </xf>
    <xf numFmtId="0" fontId="56" fillId="7" borderId="37" xfId="0" applyFont="1" applyFill="1" applyBorder="1" applyAlignment="1" applyProtection="1">
      <alignment horizontal="center"/>
      <protection hidden="1"/>
    </xf>
    <xf numFmtId="0" fontId="56" fillId="7" borderId="49" xfId="0" applyFont="1" applyFill="1" applyBorder="1" applyAlignment="1" applyProtection="1">
      <alignment horizontal="left"/>
      <protection hidden="1"/>
    </xf>
    <xf numFmtId="0" fontId="56" fillId="7" borderId="51" xfId="0" applyFont="1" applyFill="1" applyBorder="1" applyAlignment="1" applyProtection="1">
      <alignment horizontal="left"/>
      <protection hidden="1"/>
    </xf>
    <xf numFmtId="0" fontId="56" fillId="7" borderId="52" xfId="0" applyFont="1" applyFill="1" applyBorder="1" applyAlignment="1" applyProtection="1">
      <alignment horizontal="center"/>
      <protection hidden="1"/>
    </xf>
    <xf numFmtId="0" fontId="56" fillId="7" borderId="51" xfId="0" applyFont="1" applyFill="1" applyBorder="1" applyAlignment="1" applyProtection="1">
      <alignment horizontal="center"/>
      <protection hidden="1"/>
    </xf>
    <xf numFmtId="0" fontId="56" fillId="7" borderId="53" xfId="0" applyFont="1" applyFill="1" applyBorder="1" applyAlignment="1" applyProtection="1">
      <alignment horizontal="center"/>
      <protection hidden="1"/>
    </xf>
    <xf numFmtId="0" fontId="56" fillId="7" borderId="54" xfId="0" applyFont="1" applyFill="1" applyBorder="1" applyAlignment="1" applyProtection="1">
      <alignment horizontal="center"/>
      <protection hidden="1"/>
    </xf>
    <xf numFmtId="2" fontId="56" fillId="7" borderId="54" xfId="0" applyNumberFormat="1" applyFont="1" applyFill="1" applyBorder="1" applyAlignment="1" applyProtection="1">
      <alignment horizontal="center"/>
      <protection hidden="1"/>
    </xf>
    <xf numFmtId="9" fontId="56" fillId="7" borderId="48" xfId="0" applyNumberFormat="1" applyFont="1" applyFill="1" applyBorder="1" applyAlignment="1" applyProtection="1">
      <alignment horizontal="center"/>
      <protection hidden="1"/>
    </xf>
    <xf numFmtId="0" fontId="54" fillId="15" borderId="50" xfId="0" applyFont="1" applyFill="1" applyBorder="1" applyAlignment="1" applyProtection="1">
      <alignment horizontal="left"/>
      <protection hidden="1"/>
    </xf>
    <xf numFmtId="0" fontId="54" fillId="15" borderId="55" xfId="0" applyFont="1" applyFill="1" applyBorder="1" applyAlignment="1" applyProtection="1">
      <alignment horizontal="left"/>
      <protection hidden="1"/>
    </xf>
    <xf numFmtId="0" fontId="54" fillId="15" borderId="56" xfId="0" applyFont="1" applyFill="1" applyBorder="1" applyAlignment="1" applyProtection="1">
      <alignment horizontal="center"/>
      <protection hidden="1"/>
    </xf>
    <xf numFmtId="0" fontId="54" fillId="15" borderId="55" xfId="0" applyFont="1" applyFill="1" applyBorder="1" applyAlignment="1" applyProtection="1">
      <alignment horizontal="center"/>
      <protection hidden="1"/>
    </xf>
    <xf numFmtId="0" fontId="54" fillId="15" borderId="46" xfId="0" applyFont="1" applyFill="1" applyBorder="1" applyAlignment="1" applyProtection="1">
      <alignment horizontal="center"/>
      <protection hidden="1"/>
    </xf>
    <xf numFmtId="0" fontId="54" fillId="15" borderId="50" xfId="0" applyFont="1" applyFill="1" applyBorder="1" applyAlignment="1" applyProtection="1">
      <alignment horizontal="center"/>
      <protection hidden="1"/>
    </xf>
    <xf numFmtId="2" fontId="54" fillId="15" borderId="50" xfId="0" applyNumberFormat="1" applyFont="1" applyFill="1" applyBorder="1" applyAlignment="1" applyProtection="1">
      <alignment horizontal="center"/>
      <protection hidden="1"/>
    </xf>
    <xf numFmtId="9" fontId="54" fillId="15" borderId="50" xfId="0" applyNumberFormat="1" applyFont="1" applyFill="1" applyBorder="1" applyAlignment="1" applyProtection="1">
      <alignment horizontal="center"/>
      <protection hidden="1"/>
    </xf>
    <xf numFmtId="0" fontId="54" fillId="2" borderId="0" xfId="0" applyFont="1" applyFill="1" applyAlignment="1" applyProtection="1">
      <alignment horizontal="left"/>
      <protection hidden="1"/>
    </xf>
    <xf numFmtId="0" fontId="54" fillId="2" borderId="0" xfId="0" applyFont="1" applyFill="1" applyAlignment="1" applyProtection="1">
      <alignment horizontal="center"/>
      <protection hidden="1"/>
    </xf>
    <xf numFmtId="2" fontId="54" fillId="2" borderId="0" xfId="0" applyNumberFormat="1" applyFont="1" applyFill="1" applyAlignment="1" applyProtection="1">
      <alignment horizontal="center"/>
      <protection hidden="1"/>
    </xf>
    <xf numFmtId="9" fontId="54" fillId="2" borderId="0" xfId="0" applyNumberFormat="1" applyFont="1" applyFill="1" applyAlignment="1" applyProtection="1">
      <alignment horizontal="center"/>
      <protection hidden="1"/>
    </xf>
    <xf numFmtId="0" fontId="54" fillId="15" borderId="0" xfId="0" applyFont="1" applyFill="1" applyAlignment="1" applyProtection="1">
      <alignment horizontal="left"/>
      <protection hidden="1"/>
    </xf>
    <xf numFmtId="0" fontId="54" fillId="15" borderId="58" xfId="0" applyFont="1" applyFill="1" applyBorder="1" applyAlignment="1" applyProtection="1">
      <alignment horizontal="left"/>
      <protection hidden="1"/>
    </xf>
    <xf numFmtId="0" fontId="54" fillId="15" borderId="59" xfId="0" applyFont="1" applyFill="1" applyBorder="1" applyAlignment="1" applyProtection="1">
      <alignment horizontal="center"/>
      <protection hidden="1"/>
    </xf>
    <xf numFmtId="0" fontId="54" fillId="15" borderId="58" xfId="0" applyFont="1" applyFill="1" applyBorder="1" applyAlignment="1" applyProtection="1">
      <alignment horizontal="center"/>
      <protection hidden="1"/>
    </xf>
    <xf numFmtId="0" fontId="55" fillId="15" borderId="58" xfId="0" applyFont="1" applyFill="1" applyBorder="1" applyAlignment="1" applyProtection="1">
      <alignment horizontal="center"/>
      <protection hidden="1"/>
    </xf>
    <xf numFmtId="0" fontId="54" fillId="15" borderId="53" xfId="0" applyFont="1" applyFill="1" applyBorder="1" applyAlignment="1" applyProtection="1">
      <alignment horizontal="center"/>
      <protection hidden="1"/>
    </xf>
    <xf numFmtId="0" fontId="54" fillId="15" borderId="0" xfId="0" applyFont="1" applyFill="1" applyAlignment="1" applyProtection="1">
      <alignment horizontal="center"/>
      <protection hidden="1"/>
    </xf>
    <xf numFmtId="2" fontId="54" fillId="15" borderId="0" xfId="0" applyNumberFormat="1" applyFont="1" applyFill="1" applyAlignment="1" applyProtection="1">
      <alignment horizontal="center"/>
      <protection hidden="1"/>
    </xf>
    <xf numFmtId="9" fontId="54" fillId="15" borderId="0" xfId="0" applyNumberFormat="1" applyFont="1" applyFill="1" applyAlignment="1" applyProtection="1">
      <alignment horizontal="center"/>
      <protection hidden="1"/>
    </xf>
    <xf numFmtId="9" fontId="4" fillId="2" borderId="0" xfId="0" applyNumberFormat="1" applyFont="1" applyFill="1" applyAlignment="1" applyProtection="1">
      <alignment horizontal="left" vertical="center"/>
      <protection hidden="1"/>
    </xf>
    <xf numFmtId="165" fontId="10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69" fillId="16" borderId="53" xfId="0" applyFont="1" applyFill="1" applyBorder="1" applyAlignment="1">
      <alignment horizontal="center"/>
    </xf>
    <xf numFmtId="0" fontId="70" fillId="16" borderId="0" xfId="0" applyFont="1" applyFill="1" applyAlignment="1">
      <alignment horizontal="center" wrapText="1"/>
    </xf>
    <xf numFmtId="0" fontId="69" fillId="16" borderId="67" xfId="0" applyFont="1" applyFill="1" applyBorder="1" applyAlignment="1">
      <alignment horizontal="center"/>
    </xf>
    <xf numFmtId="0" fontId="69" fillId="16" borderId="68" xfId="0" applyFont="1" applyFill="1" applyBorder="1" applyAlignment="1">
      <alignment horizontal="center"/>
    </xf>
    <xf numFmtId="0" fontId="58" fillId="16" borderId="53" xfId="0" applyFont="1" applyFill="1" applyBorder="1" applyAlignment="1">
      <alignment horizontal="center"/>
    </xf>
    <xf numFmtId="0" fontId="71" fillId="16" borderId="53" xfId="0" applyFont="1" applyFill="1" applyBorder="1" applyAlignment="1">
      <alignment horizontal="center"/>
    </xf>
    <xf numFmtId="0" fontId="58" fillId="16" borderId="58" xfId="0" applyFont="1" applyFill="1" applyBorder="1" applyAlignment="1">
      <alignment horizontal="left"/>
    </xf>
    <xf numFmtId="0" fontId="58" fillId="16" borderId="53" xfId="0" applyFont="1" applyFill="1" applyBorder="1" applyAlignment="1">
      <alignment horizontal="left"/>
    </xf>
    <xf numFmtId="0" fontId="69" fillId="16" borderId="69" xfId="0" applyFont="1" applyFill="1" applyBorder="1" applyAlignment="1">
      <alignment horizontal="center" wrapText="1"/>
    </xf>
    <xf numFmtId="0" fontId="69" fillId="16" borderId="70" xfId="0" applyFont="1" applyFill="1" applyBorder="1" applyAlignment="1">
      <alignment horizontal="center"/>
    </xf>
    <xf numFmtId="0" fontId="71" fillId="16" borderId="53" xfId="0" applyFont="1" applyFill="1" applyBorder="1" applyAlignment="1">
      <alignment horizontal="center" vertical="top" wrapText="1"/>
    </xf>
    <xf numFmtId="0" fontId="71" fillId="16" borderId="68" xfId="0" applyFont="1" applyFill="1" applyBorder="1" applyAlignment="1">
      <alignment horizontal="left"/>
    </xf>
    <xf numFmtId="0" fontId="58" fillId="16" borderId="72" xfId="0" applyFont="1" applyFill="1" applyBorder="1" applyAlignment="1">
      <alignment horizontal="left"/>
    </xf>
    <xf numFmtId="0" fontId="58" fillId="16" borderId="72" xfId="0" applyFont="1" applyFill="1" applyBorder="1" applyAlignment="1">
      <alignment horizontal="center"/>
    </xf>
    <xf numFmtId="0" fontId="58" fillId="16" borderId="67" xfId="0" applyFont="1" applyFill="1" applyBorder="1" applyAlignment="1">
      <alignment horizontal="center"/>
    </xf>
    <xf numFmtId="0" fontId="58" fillId="16" borderId="68" xfId="0" applyFont="1" applyFill="1" applyBorder="1" applyAlignment="1">
      <alignment horizontal="center"/>
    </xf>
    <xf numFmtId="0" fontId="71" fillId="16" borderId="72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71" xfId="0" applyFill="1" applyBorder="1" applyAlignment="1">
      <alignment horizontal="left"/>
    </xf>
    <xf numFmtId="0" fontId="74" fillId="2" borderId="0" xfId="0" applyFont="1" applyFill="1"/>
    <xf numFmtId="164" fontId="6" fillId="4" borderId="0" xfId="0" applyNumberFormat="1" applyFont="1" applyFill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Alignment="1" applyProtection="1">
      <alignment vertical="center" wrapText="1"/>
      <protection hidden="1"/>
    </xf>
    <xf numFmtId="0" fontId="4" fillId="5" borderId="4" xfId="0" applyFont="1" applyFill="1" applyBorder="1" applyAlignment="1" applyProtection="1">
      <alignment vertical="center" wrapText="1"/>
      <protection hidden="1"/>
    </xf>
    <xf numFmtId="0" fontId="35" fillId="5" borderId="9" xfId="0" applyFont="1" applyFill="1" applyBorder="1" applyAlignment="1" applyProtection="1">
      <alignment vertical="center" wrapText="1"/>
      <protection hidden="1"/>
    </xf>
    <xf numFmtId="0" fontId="75" fillId="2" borderId="0" xfId="0" applyFont="1" applyFill="1"/>
    <xf numFmtId="0" fontId="71" fillId="2" borderId="62" xfId="0" applyFont="1" applyFill="1" applyBorder="1" applyAlignment="1">
      <alignment horizontal="center" vertical="center"/>
    </xf>
    <xf numFmtId="0" fontId="71" fillId="2" borderId="65" xfId="0" applyFont="1" applyFill="1" applyBorder="1" applyAlignment="1">
      <alignment horizontal="center" vertical="center"/>
    </xf>
    <xf numFmtId="0" fontId="71" fillId="2" borderId="60" xfId="0" applyFont="1" applyFill="1" applyBorder="1" applyAlignment="1">
      <alignment horizontal="center" vertical="center"/>
    </xf>
    <xf numFmtId="0" fontId="71" fillId="2" borderId="64" xfId="0" applyFont="1" applyFill="1" applyBorder="1" applyAlignment="1">
      <alignment horizontal="center" vertical="center"/>
    </xf>
    <xf numFmtId="0" fontId="71" fillId="2" borderId="61" xfId="0" applyFont="1" applyFill="1" applyBorder="1" applyAlignment="1">
      <alignment horizontal="center" vertical="center"/>
    </xf>
    <xf numFmtId="0" fontId="9" fillId="5" borderId="9" xfId="0" applyFont="1" applyFill="1" applyBorder="1" applyAlignment="1" applyProtection="1">
      <alignment vertical="center"/>
      <protection hidden="1"/>
    </xf>
    <xf numFmtId="0" fontId="51" fillId="5" borderId="9" xfId="0" applyFont="1" applyFill="1" applyBorder="1" applyAlignment="1" applyProtection="1">
      <alignment horizontal="center" vertical="center"/>
      <protection hidden="1"/>
    </xf>
    <xf numFmtId="0" fontId="51" fillId="5" borderId="0" xfId="0" applyFont="1" applyFill="1" applyAlignment="1" applyProtection="1">
      <alignment horizontal="center" vertical="center"/>
      <protection hidden="1"/>
    </xf>
    <xf numFmtId="0" fontId="44" fillId="5" borderId="0" xfId="0" applyFont="1" applyFill="1" applyAlignment="1" applyProtection="1">
      <alignment horizontal="center" vertical="center"/>
      <protection hidden="1"/>
    </xf>
    <xf numFmtId="0" fontId="44" fillId="5" borderId="0" xfId="0" applyFont="1" applyFill="1" applyAlignment="1" applyProtection="1">
      <alignment vertical="center" wrapText="1"/>
      <protection hidden="1"/>
    </xf>
    <xf numFmtId="164" fontId="6" fillId="17" borderId="73" xfId="0" applyNumberFormat="1" applyFont="1" applyFill="1" applyBorder="1" applyAlignment="1" applyProtection="1">
      <alignment horizontal="center" vertical="center"/>
      <protection hidden="1"/>
    </xf>
    <xf numFmtId="3" fontId="46" fillId="8" borderId="0" xfId="0" applyNumberFormat="1" applyFont="1" applyFill="1" applyAlignment="1" applyProtection="1">
      <alignment horizontal="center" vertical="center"/>
      <protection hidden="1"/>
    </xf>
    <xf numFmtId="0" fontId="78" fillId="18" borderId="0" xfId="0" applyFont="1" applyFill="1" applyAlignment="1" applyProtection="1">
      <alignment horizontal="center" vertical="center"/>
      <protection hidden="1"/>
    </xf>
    <xf numFmtId="171" fontId="5" fillId="3" borderId="0" xfId="0" applyNumberFormat="1" applyFont="1" applyFill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 vertical="center"/>
      <protection locked="0" hidden="1"/>
    </xf>
    <xf numFmtId="168" fontId="3" fillId="3" borderId="0" xfId="0" applyNumberFormat="1" applyFont="1" applyFill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0" fontId="10" fillId="3" borderId="0" xfId="0" applyFont="1" applyFill="1" applyAlignment="1" applyProtection="1">
      <alignment horizontal="center" vertical="center"/>
      <protection locked="0" hidden="1"/>
    </xf>
    <xf numFmtId="165" fontId="10" fillId="3" borderId="0" xfId="0" applyNumberFormat="1" applyFont="1" applyFill="1" applyAlignment="1" applyProtection="1">
      <alignment horizontal="center" vertical="center"/>
      <protection locked="0" hidden="1"/>
    </xf>
    <xf numFmtId="0" fontId="3" fillId="3" borderId="74" xfId="0" applyFont="1" applyFill="1" applyBorder="1" applyAlignment="1" applyProtection="1">
      <alignment horizontal="center" vertical="center"/>
      <protection locked="0" hidden="1"/>
    </xf>
    <xf numFmtId="0" fontId="56" fillId="14" borderId="35" xfId="0" applyFont="1" applyFill="1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right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25" fillId="11" borderId="0" xfId="0" applyFont="1" applyFill="1" applyAlignment="1" applyProtection="1">
      <alignment horizontal="center" vertical="center" wrapText="1"/>
      <protection hidden="1"/>
    </xf>
    <xf numFmtId="0" fontId="77" fillId="5" borderId="0" xfId="0" applyFont="1" applyFill="1" applyProtection="1">
      <protection hidden="1"/>
    </xf>
    <xf numFmtId="0" fontId="25" fillId="5" borderId="6" xfId="0" applyFont="1" applyFill="1" applyBorder="1" applyAlignment="1" applyProtection="1">
      <alignment horizontal="center" vertical="center" wrapText="1"/>
      <protection hidden="1"/>
    </xf>
    <xf numFmtId="0" fontId="4" fillId="20" borderId="1" xfId="0" applyFont="1" applyFill="1" applyBorder="1" applyProtection="1">
      <protection hidden="1"/>
    </xf>
    <xf numFmtId="0" fontId="4" fillId="20" borderId="2" xfId="0" applyFont="1" applyFill="1" applyBorder="1" applyProtection="1">
      <protection hidden="1"/>
    </xf>
    <xf numFmtId="0" fontId="4" fillId="20" borderId="3" xfId="0" applyFont="1" applyFill="1" applyBorder="1" applyProtection="1">
      <protection hidden="1"/>
    </xf>
    <xf numFmtId="0" fontId="4" fillId="20" borderId="4" xfId="0" applyFont="1" applyFill="1" applyBorder="1" applyAlignment="1" applyProtection="1">
      <alignment vertical="center"/>
      <protection hidden="1"/>
    </xf>
    <xf numFmtId="0" fontId="4" fillId="20" borderId="9" xfId="0" applyFont="1" applyFill="1" applyBorder="1" applyProtection="1">
      <protection hidden="1"/>
    </xf>
    <xf numFmtId="0" fontId="4" fillId="20" borderId="4" xfId="0" applyFont="1" applyFill="1" applyBorder="1" applyProtection="1">
      <protection hidden="1"/>
    </xf>
    <xf numFmtId="0" fontId="42" fillId="20" borderId="9" xfId="0" applyFont="1" applyFill="1" applyBorder="1" applyAlignment="1" applyProtection="1">
      <alignment vertical="center"/>
      <protection hidden="1"/>
    </xf>
    <xf numFmtId="0" fontId="3" fillId="20" borderId="4" xfId="0" applyFont="1" applyFill="1" applyBorder="1" applyProtection="1">
      <protection hidden="1"/>
    </xf>
    <xf numFmtId="0" fontId="7" fillId="10" borderId="0" xfId="0" applyFont="1" applyFill="1" applyAlignment="1" applyProtection="1">
      <alignment horizontal="center" vertical="center"/>
      <protection locked="0" hidden="1"/>
    </xf>
    <xf numFmtId="169" fontId="6" fillId="20" borderId="0" xfId="0" applyNumberFormat="1" applyFont="1" applyFill="1" applyAlignment="1" applyProtection="1">
      <alignment vertical="center"/>
      <protection hidden="1"/>
    </xf>
    <xf numFmtId="0" fontId="4" fillId="20" borderId="0" xfId="0" applyFont="1" applyFill="1" applyProtection="1">
      <protection hidden="1"/>
    </xf>
    <xf numFmtId="3" fontId="4" fillId="20" borderId="0" xfId="0" applyNumberFormat="1" applyFont="1" applyFill="1" applyProtection="1">
      <protection hidden="1"/>
    </xf>
    <xf numFmtId="169" fontId="7" fillId="10" borderId="0" xfId="0" applyNumberFormat="1" applyFont="1" applyFill="1" applyAlignment="1" applyProtection="1">
      <alignment horizontal="center" vertical="center"/>
      <protection locked="0" hidden="1"/>
    </xf>
    <xf numFmtId="169" fontId="5" fillId="10" borderId="0" xfId="0" applyNumberFormat="1" applyFont="1" applyFill="1" applyAlignment="1" applyProtection="1">
      <alignment horizontal="center" vertical="center"/>
      <protection locked="0" hidden="1"/>
    </xf>
    <xf numFmtId="0" fontId="42" fillId="20" borderId="0" xfId="0" applyFont="1" applyFill="1" applyAlignment="1" applyProtection="1">
      <alignment vertical="center"/>
      <protection hidden="1"/>
    </xf>
    <xf numFmtId="0" fontId="42" fillId="20" borderId="0" xfId="0" applyFont="1" applyFill="1" applyProtection="1">
      <protection hidden="1"/>
    </xf>
    <xf numFmtId="0" fontId="9" fillId="20" borderId="0" xfId="0" applyFont="1" applyFill="1" applyAlignment="1" applyProtection="1">
      <alignment horizontal="left" vertical="center"/>
      <protection hidden="1"/>
    </xf>
    <xf numFmtId="0" fontId="3" fillId="20" borderId="0" xfId="0" applyFont="1" applyFill="1" applyAlignment="1" applyProtection="1">
      <alignment vertical="center"/>
      <protection hidden="1"/>
    </xf>
    <xf numFmtId="0" fontId="4" fillId="20" borderId="0" xfId="0" applyFont="1" applyFill="1" applyAlignment="1" applyProtection="1">
      <alignment vertical="center"/>
      <protection hidden="1"/>
    </xf>
    <xf numFmtId="0" fontId="3" fillId="20" borderId="0" xfId="0" applyFont="1" applyFill="1" applyProtection="1">
      <protection hidden="1"/>
    </xf>
    <xf numFmtId="0" fontId="6" fillId="20" borderId="0" xfId="0" applyFont="1" applyFill="1" applyAlignment="1" applyProtection="1">
      <alignment vertical="center"/>
      <protection hidden="1"/>
    </xf>
    <xf numFmtId="165" fontId="42" fillId="0" borderId="22" xfId="0" applyNumberFormat="1" applyFont="1" applyBorder="1" applyAlignment="1" applyProtection="1">
      <alignment horizontal="center" vertical="center"/>
      <protection hidden="1"/>
    </xf>
    <xf numFmtId="0" fontId="9" fillId="5" borderId="22" xfId="0" applyFont="1" applyFill="1" applyBorder="1" applyProtection="1">
      <protection hidden="1"/>
    </xf>
    <xf numFmtId="0" fontId="25" fillId="11" borderId="22" xfId="0" applyFont="1" applyFill="1" applyBorder="1" applyAlignment="1" applyProtection="1">
      <alignment horizontal="center" vertical="center" wrapText="1"/>
      <protection hidden="1"/>
    </xf>
    <xf numFmtId="0" fontId="77" fillId="5" borderId="6" xfId="0" applyFont="1" applyFill="1" applyBorder="1" applyProtection="1">
      <protection hidden="1"/>
    </xf>
    <xf numFmtId="0" fontId="3" fillId="17" borderId="9" xfId="0" applyFont="1" applyFill="1" applyBorder="1" applyProtection="1">
      <protection hidden="1"/>
    </xf>
    <xf numFmtId="0" fontId="3" fillId="17" borderId="0" xfId="0" applyFont="1" applyFill="1" applyProtection="1">
      <protection hidden="1"/>
    </xf>
    <xf numFmtId="0" fontId="3" fillId="17" borderId="4" xfId="0" applyFont="1" applyFill="1" applyBorder="1" applyProtection="1"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Protection="1">
      <protection hidden="1"/>
    </xf>
    <xf numFmtId="0" fontId="58" fillId="0" borderId="92" xfId="0" applyFont="1" applyBorder="1" applyAlignment="1">
      <alignment horizontal="left" vertical="center"/>
    </xf>
    <xf numFmtId="2" fontId="58" fillId="0" borderId="0" xfId="0" applyNumberFormat="1" applyFont="1" applyAlignment="1">
      <alignment horizontal="center" vertical="center"/>
    </xf>
    <xf numFmtId="0" fontId="58" fillId="0" borderId="92" xfId="0" applyFont="1" applyBorder="1" applyAlignment="1">
      <alignment horizontal="left" vertical="center" wrapText="1"/>
    </xf>
    <xf numFmtId="9" fontId="84" fillId="14" borderId="36" xfId="0" applyNumberFormat="1" applyFont="1" applyFill="1" applyBorder="1" applyAlignment="1" applyProtection="1">
      <alignment horizontal="center"/>
      <protection hidden="1"/>
    </xf>
    <xf numFmtId="164" fontId="58" fillId="0" borderId="94" xfId="0" applyNumberFormat="1" applyFont="1" applyBorder="1" applyAlignment="1">
      <alignment horizontal="center" vertical="center"/>
    </xf>
    <xf numFmtId="164" fontId="58" fillId="0" borderId="94" xfId="0" applyNumberFormat="1" applyFont="1" applyBorder="1" applyAlignment="1" applyProtection="1">
      <alignment horizontal="center" vertical="center"/>
      <protection hidden="1"/>
    </xf>
    <xf numFmtId="0" fontId="58" fillId="0" borderId="93" xfId="0" applyFont="1" applyBorder="1" applyAlignment="1" applyProtection="1">
      <alignment horizontal="left" vertical="center"/>
      <protection hidden="1"/>
    </xf>
    <xf numFmtId="0" fontId="23" fillId="6" borderId="0" xfId="0" applyFont="1" applyFill="1" applyAlignment="1">
      <alignment vertical="center"/>
    </xf>
    <xf numFmtId="166" fontId="11" fillId="17" borderId="8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96" xfId="0" applyFont="1" applyBorder="1" applyAlignment="1" applyProtection="1">
      <alignment horizontal="center" vertical="center" wrapText="1"/>
      <protection hidden="1"/>
    </xf>
    <xf numFmtId="166" fontId="11" fillId="0" borderId="96" xfId="0" applyNumberFormat="1" applyFont="1" applyBorder="1" applyAlignment="1" applyProtection="1">
      <alignment horizontal="center" vertical="center" wrapText="1"/>
      <protection hidden="1"/>
    </xf>
    <xf numFmtId="166" fontId="39" fillId="0" borderId="96" xfId="0" applyNumberFormat="1" applyFont="1" applyBorder="1" applyAlignment="1" applyProtection="1">
      <alignment horizontal="center" vertical="center" wrapText="1"/>
      <protection hidden="1"/>
    </xf>
    <xf numFmtId="166" fontId="11" fillId="0" borderId="96" xfId="0" applyNumberFormat="1" applyFont="1" applyBorder="1" applyAlignment="1" applyProtection="1">
      <alignment horizontal="center" vertical="center"/>
      <protection hidden="1"/>
    </xf>
    <xf numFmtId="166" fontId="17" fillId="0" borderId="96" xfId="0" applyNumberFormat="1" applyFont="1" applyBorder="1" applyAlignment="1" applyProtection="1">
      <alignment horizontal="center" vertical="center" wrapText="1"/>
      <protection hidden="1"/>
    </xf>
    <xf numFmtId="166" fontId="85" fillId="0" borderId="96" xfId="0" applyNumberFormat="1" applyFont="1" applyBorder="1" applyAlignment="1" applyProtection="1">
      <alignment horizontal="center" vertical="center" wrapText="1"/>
      <protection hidden="1"/>
    </xf>
    <xf numFmtId="172" fontId="86" fillId="0" borderId="96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64" fillId="0" borderId="96" xfId="0" applyFont="1" applyBorder="1" applyAlignment="1" applyProtection="1">
      <alignment horizontal="center" vertical="center"/>
      <protection hidden="1"/>
    </xf>
    <xf numFmtId="164" fontId="16" fillId="0" borderId="96" xfId="0" applyNumberFormat="1" applyFont="1" applyBorder="1" applyAlignment="1" applyProtection="1">
      <alignment horizontal="center" vertical="center"/>
      <protection hidden="1"/>
    </xf>
    <xf numFmtId="164" fontId="15" fillId="0" borderId="96" xfId="0" applyNumberFormat="1" applyFont="1" applyBorder="1" applyAlignment="1" applyProtection="1">
      <alignment horizontal="center" vertical="center"/>
      <protection hidden="1"/>
    </xf>
    <xf numFmtId="164" fontId="43" fillId="0" borderId="96" xfId="0" applyNumberFormat="1" applyFont="1" applyBorder="1" applyAlignment="1" applyProtection="1">
      <alignment horizontal="center" vertical="center"/>
      <protection hidden="1"/>
    </xf>
    <xf numFmtId="1" fontId="15" fillId="0" borderId="96" xfId="0" applyNumberFormat="1" applyFont="1" applyBorder="1" applyAlignment="1" applyProtection="1">
      <alignment horizontal="center" vertical="center"/>
      <protection hidden="1"/>
    </xf>
    <xf numFmtId="3" fontId="29" fillId="0" borderId="96" xfId="0" applyNumberFormat="1" applyFont="1" applyBorder="1" applyAlignment="1" applyProtection="1">
      <alignment horizontal="center" vertical="center"/>
      <protection hidden="1"/>
    </xf>
    <xf numFmtId="167" fontId="27" fillId="0" borderId="96" xfId="0" applyNumberFormat="1" applyFont="1" applyBorder="1" applyAlignment="1" applyProtection="1">
      <alignment horizontal="center" vertical="center"/>
      <protection hidden="1"/>
    </xf>
    <xf numFmtId="164" fontId="28" fillId="0" borderId="96" xfId="0" applyNumberFormat="1" applyFont="1" applyBorder="1" applyAlignment="1" applyProtection="1">
      <alignment horizontal="center" vertical="center"/>
      <protection hidden="1"/>
    </xf>
    <xf numFmtId="10" fontId="15" fillId="0" borderId="96" xfId="0" applyNumberFormat="1" applyFont="1" applyBorder="1" applyAlignment="1" applyProtection="1">
      <alignment horizontal="center" vertical="center"/>
      <protection hidden="1"/>
    </xf>
    <xf numFmtId="164" fontId="13" fillId="0" borderId="96" xfId="0" applyNumberFormat="1" applyFont="1" applyBorder="1" applyAlignment="1" applyProtection="1">
      <alignment horizontal="center" vertical="center"/>
      <protection hidden="1"/>
    </xf>
    <xf numFmtId="1" fontId="13" fillId="0" borderId="96" xfId="0" applyNumberFormat="1" applyFont="1" applyBorder="1" applyAlignment="1" applyProtection="1">
      <alignment horizontal="center" vertical="center"/>
      <protection hidden="1"/>
    </xf>
    <xf numFmtId="167" fontId="15" fillId="0" borderId="96" xfId="0" applyNumberFormat="1" applyFont="1" applyBorder="1" applyAlignment="1" applyProtection="1">
      <alignment horizontal="center" vertical="center"/>
      <protection hidden="1"/>
    </xf>
    <xf numFmtId="0" fontId="65" fillId="0" borderId="96" xfId="0" applyFont="1" applyBorder="1" applyAlignment="1" applyProtection="1">
      <alignment horizontal="center" vertical="center"/>
      <protection hidden="1"/>
    </xf>
    <xf numFmtId="0" fontId="66" fillId="0" borderId="96" xfId="0" applyFont="1" applyBorder="1" applyAlignment="1" applyProtection="1">
      <alignment horizontal="center" vertical="center"/>
      <protection hidden="1"/>
    </xf>
    <xf numFmtId="10" fontId="40" fillId="0" borderId="96" xfId="0" applyNumberFormat="1" applyFont="1" applyBorder="1" applyAlignment="1" applyProtection="1">
      <alignment horizontal="center" vertical="center"/>
      <protection hidden="1"/>
    </xf>
    <xf numFmtId="0" fontId="67" fillId="0" borderId="96" xfId="0" applyFont="1" applyBorder="1" applyAlignment="1" applyProtection="1">
      <alignment horizontal="center" vertical="center"/>
      <protection hidden="1"/>
    </xf>
    <xf numFmtId="0" fontId="14" fillId="0" borderId="97" xfId="0" applyFont="1" applyBorder="1" applyAlignment="1" applyProtection="1">
      <alignment horizontal="left" vertical="center"/>
      <protection hidden="1"/>
    </xf>
    <xf numFmtId="164" fontId="15" fillId="0" borderId="98" xfId="0" applyNumberFormat="1" applyFont="1" applyBorder="1" applyAlignment="1" applyProtection="1">
      <alignment horizontal="center" vertical="center"/>
      <protection hidden="1"/>
    </xf>
    <xf numFmtId="164" fontId="13" fillId="0" borderId="98" xfId="0" applyNumberFormat="1" applyFont="1" applyBorder="1" applyAlignment="1" applyProtection="1">
      <alignment horizontal="center" vertical="center"/>
      <protection hidden="1"/>
    </xf>
    <xf numFmtId="164" fontId="43" fillId="0" borderId="98" xfId="0" applyNumberFormat="1" applyFont="1" applyBorder="1" applyAlignment="1" applyProtection="1">
      <alignment horizontal="center" vertical="center"/>
      <protection hidden="1"/>
    </xf>
    <xf numFmtId="1" fontId="13" fillId="0" borderId="98" xfId="0" applyNumberFormat="1" applyFont="1" applyBorder="1" applyAlignment="1" applyProtection="1">
      <alignment horizontal="center" vertical="center"/>
      <protection hidden="1"/>
    </xf>
    <xf numFmtId="3" fontId="29" fillId="0" borderId="98" xfId="0" applyNumberFormat="1" applyFont="1" applyBorder="1" applyAlignment="1" applyProtection="1">
      <alignment horizontal="center" vertical="center"/>
      <protection hidden="1"/>
    </xf>
    <xf numFmtId="167" fontId="27" fillId="0" borderId="98" xfId="0" applyNumberFormat="1" applyFont="1" applyBorder="1" applyAlignment="1" applyProtection="1">
      <alignment horizontal="center" vertical="center"/>
      <protection hidden="1"/>
    </xf>
    <xf numFmtId="164" fontId="28" fillId="0" borderId="98" xfId="0" applyNumberFormat="1" applyFont="1" applyBorder="1" applyAlignment="1" applyProtection="1">
      <alignment horizontal="center" vertical="center"/>
      <protection hidden="1"/>
    </xf>
    <xf numFmtId="10" fontId="15" fillId="0" borderId="98" xfId="0" applyNumberFormat="1" applyFont="1" applyBorder="1" applyAlignment="1" applyProtection="1">
      <alignment horizontal="center" vertical="center"/>
      <protection hidden="1"/>
    </xf>
    <xf numFmtId="0" fontId="84" fillId="20" borderId="103" xfId="0" applyFont="1" applyFill="1" applyBorder="1" applyAlignment="1">
      <alignment horizontal="left"/>
    </xf>
    <xf numFmtId="0" fontId="84" fillId="20" borderId="104" xfId="0" applyFont="1" applyFill="1" applyBorder="1" applyAlignment="1">
      <alignment horizontal="left"/>
    </xf>
    <xf numFmtId="0" fontId="84" fillId="20" borderId="105" xfId="0" applyFont="1" applyFill="1" applyBorder="1" applyAlignment="1">
      <alignment horizontal="center"/>
    </xf>
    <xf numFmtId="0" fontId="84" fillId="20" borderId="104" xfId="0" applyFont="1" applyFill="1" applyBorder="1" applyAlignment="1">
      <alignment horizontal="center"/>
    </xf>
    <xf numFmtId="0" fontId="84" fillId="20" borderId="106" xfId="0" applyFont="1" applyFill="1" applyBorder="1" applyAlignment="1">
      <alignment horizontal="center"/>
    </xf>
    <xf numFmtId="0" fontId="84" fillId="20" borderId="107" xfId="0" applyFont="1" applyFill="1" applyBorder="1" applyAlignment="1">
      <alignment horizontal="center"/>
    </xf>
    <xf numFmtId="2" fontId="84" fillId="20" borderId="107" xfId="0" applyNumberFormat="1" applyFont="1" applyFill="1" applyBorder="1" applyAlignment="1">
      <alignment horizontal="center"/>
    </xf>
    <xf numFmtId="9" fontId="84" fillId="20" borderId="108" xfId="0" applyNumberFormat="1" applyFont="1" applyFill="1" applyBorder="1" applyAlignment="1">
      <alignment horizontal="center"/>
    </xf>
    <xf numFmtId="164" fontId="89" fillId="0" borderId="96" xfId="0" applyNumberFormat="1" applyFont="1" applyBorder="1" applyAlignment="1" applyProtection="1">
      <alignment horizontal="center" vertical="center"/>
      <protection hidden="1"/>
    </xf>
    <xf numFmtId="164" fontId="89" fillId="0" borderId="98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10" fontId="90" fillId="0" borderId="96" xfId="0" applyNumberFormat="1" applyFont="1" applyBorder="1" applyAlignment="1" applyProtection="1">
      <alignment horizontal="center" vertical="center"/>
      <protection hidden="1"/>
    </xf>
    <xf numFmtId="10" fontId="91" fillId="0" borderId="96" xfId="0" applyNumberFormat="1" applyFont="1" applyBorder="1" applyAlignment="1" applyProtection="1">
      <alignment horizontal="center" vertical="center"/>
      <protection hidden="1"/>
    </xf>
    <xf numFmtId="0" fontId="64" fillId="0" borderId="98" xfId="0" applyFont="1" applyBorder="1" applyAlignment="1" applyProtection="1">
      <alignment horizontal="center" vertical="center"/>
      <protection hidden="1"/>
    </xf>
    <xf numFmtId="10" fontId="90" fillId="0" borderId="98" xfId="0" applyNumberFormat="1" applyFont="1" applyBorder="1" applyAlignment="1" applyProtection="1">
      <alignment horizontal="center" vertical="center"/>
      <protection hidden="1"/>
    </xf>
    <xf numFmtId="164" fontId="58" fillId="2" borderId="0" xfId="0" applyNumberFormat="1" applyFont="1" applyFill="1" applyAlignment="1">
      <alignment horizontal="center" vertical="center"/>
    </xf>
    <xf numFmtId="0" fontId="0" fillId="2" borderId="50" xfId="0" applyFill="1" applyBorder="1" applyProtection="1">
      <protection hidden="1"/>
    </xf>
    <xf numFmtId="0" fontId="71" fillId="2" borderId="109" xfId="0" applyFont="1" applyFill="1" applyBorder="1" applyAlignment="1">
      <alignment horizontal="center" vertical="center"/>
    </xf>
    <xf numFmtId="166" fontId="64" fillId="0" borderId="98" xfId="0" applyNumberFormat="1" applyFont="1" applyBorder="1" applyAlignment="1" applyProtection="1">
      <alignment horizontal="center" vertical="center"/>
      <protection hidden="1"/>
    </xf>
    <xf numFmtId="164" fontId="87" fillId="0" borderId="98" xfId="0" applyNumberFormat="1" applyFont="1" applyBorder="1" applyAlignment="1" applyProtection="1">
      <alignment horizontal="center" vertical="center"/>
      <protection hidden="1"/>
    </xf>
    <xf numFmtId="164" fontId="88" fillId="0" borderId="98" xfId="0" applyNumberFormat="1" applyFont="1" applyBorder="1" applyAlignment="1" applyProtection="1">
      <alignment horizontal="center" vertical="center"/>
      <protection hidden="1"/>
    </xf>
    <xf numFmtId="1" fontId="92" fillId="0" borderId="96" xfId="0" applyNumberFormat="1" applyFont="1" applyBorder="1" applyAlignment="1" applyProtection="1">
      <alignment horizontal="center" vertical="center"/>
      <protection hidden="1"/>
    </xf>
    <xf numFmtId="0" fontId="93" fillId="0" borderId="0" xfId="0" applyFont="1" applyAlignment="1" applyProtection="1">
      <alignment horizontal="left" vertical="center" wrapText="1"/>
      <protection hidden="1"/>
    </xf>
    <xf numFmtId="165" fontId="9" fillId="21" borderId="0" xfId="0" applyNumberFormat="1" applyFont="1" applyFill="1" applyAlignment="1" applyProtection="1">
      <alignment horizontal="center" vertical="center"/>
      <protection hidden="1"/>
    </xf>
    <xf numFmtId="164" fontId="9" fillId="21" borderId="0" xfId="0" applyNumberFormat="1" applyFont="1" applyFill="1" applyAlignment="1" applyProtection="1">
      <alignment horizontal="center" vertical="center"/>
      <protection hidden="1"/>
    </xf>
    <xf numFmtId="0" fontId="94" fillId="20" borderId="9" xfId="0" applyFont="1" applyFill="1" applyBorder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right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165" fontId="6" fillId="4" borderId="0" xfId="0" applyNumberFormat="1" applyFont="1" applyFill="1" applyAlignment="1" applyProtection="1">
      <alignment horizontal="center"/>
      <protection hidden="1"/>
    </xf>
    <xf numFmtId="0" fontId="79" fillId="0" borderId="92" xfId="0" applyFont="1" applyBorder="1" applyAlignment="1">
      <alignment horizontal="left"/>
    </xf>
    <xf numFmtId="0" fontId="79" fillId="0" borderId="112" xfId="0" applyFont="1" applyBorder="1" applyAlignment="1">
      <alignment horizontal="center" vertical="center"/>
    </xf>
    <xf numFmtId="0" fontId="58" fillId="0" borderId="92" xfId="0" applyFont="1" applyBorder="1" applyAlignment="1">
      <alignment horizontal="left"/>
    </xf>
    <xf numFmtId="0" fontId="58" fillId="0" borderId="92" xfId="0" applyFont="1" applyBorder="1" applyAlignment="1">
      <alignment horizontal="left" wrapText="1"/>
    </xf>
    <xf numFmtId="0" fontId="58" fillId="0" borderId="111" xfId="0" applyFont="1" applyBorder="1" applyAlignment="1">
      <alignment horizontal="center" vertical="center"/>
    </xf>
    <xf numFmtId="0" fontId="58" fillId="0" borderId="112" xfId="0" applyFont="1" applyBorder="1" applyAlignment="1">
      <alignment horizontal="center" vertical="center"/>
    </xf>
    <xf numFmtId="2" fontId="58" fillId="0" borderId="112" xfId="0" applyNumberFormat="1" applyFont="1" applyBorder="1" applyAlignment="1">
      <alignment horizontal="center" vertical="center"/>
    </xf>
    <xf numFmtId="164" fontId="58" fillId="0" borderId="112" xfId="0" applyNumberFormat="1" applyFont="1" applyBorder="1" applyAlignment="1">
      <alignment horizontal="center" vertical="center"/>
    </xf>
    <xf numFmtId="165" fontId="58" fillId="0" borderId="112" xfId="0" applyNumberFormat="1" applyFont="1" applyBorder="1" applyAlignment="1" applyProtection="1">
      <alignment horizontal="center" vertical="center"/>
      <protection hidden="1"/>
    </xf>
    <xf numFmtId="0" fontId="58" fillId="0" borderId="112" xfId="0" applyFont="1" applyBorder="1" applyAlignment="1" applyProtection="1">
      <alignment horizontal="center" vertical="center"/>
      <protection hidden="1"/>
    </xf>
    <xf numFmtId="165" fontId="58" fillId="0" borderId="113" xfId="0" applyNumberFormat="1" applyFont="1" applyBorder="1" applyAlignment="1" applyProtection="1">
      <alignment horizontal="center" vertical="center"/>
      <protection hidden="1"/>
    </xf>
    <xf numFmtId="0" fontId="58" fillId="0" borderId="113" xfId="0" applyFont="1" applyBorder="1" applyAlignment="1" applyProtection="1">
      <alignment horizontal="center" vertical="center"/>
      <protection hidden="1"/>
    </xf>
    <xf numFmtId="0" fontId="58" fillId="0" borderId="92" xfId="0" applyFont="1" applyBorder="1"/>
    <xf numFmtId="0" fontId="58" fillId="0" borderId="114" xfId="0" applyFont="1" applyBorder="1" applyAlignment="1">
      <alignment horizontal="center" vertical="center"/>
    </xf>
    <xf numFmtId="0" fontId="58" fillId="0" borderId="115" xfId="0" applyFont="1" applyBorder="1" applyAlignment="1">
      <alignment horizontal="center" vertical="center"/>
    </xf>
    <xf numFmtId="0" fontId="58" fillId="0" borderId="95" xfId="0" applyFont="1" applyBorder="1" applyAlignment="1">
      <alignment horizontal="left"/>
    </xf>
    <xf numFmtId="2" fontId="58" fillId="0" borderId="111" xfId="0" applyNumberFormat="1" applyFont="1" applyBorder="1" applyAlignment="1">
      <alignment horizontal="center" vertical="center"/>
    </xf>
    <xf numFmtId="0" fontId="58" fillId="0" borderId="112" xfId="0" applyFont="1" applyBorder="1" applyAlignment="1">
      <alignment horizontal="center" vertical="center" wrapText="1"/>
    </xf>
    <xf numFmtId="165" fontId="58" fillId="0" borderId="79" xfId="0" applyNumberFormat="1" applyFont="1" applyBorder="1" applyAlignment="1" applyProtection="1">
      <alignment horizontal="center"/>
      <protection hidden="1"/>
    </xf>
    <xf numFmtId="0" fontId="58" fillId="0" borderId="79" xfId="0" applyFont="1" applyBorder="1" applyAlignment="1" applyProtection="1">
      <alignment horizontal="center"/>
      <protection hidden="1"/>
    </xf>
    <xf numFmtId="2" fontId="58" fillId="0" borderId="79" xfId="0" applyNumberFormat="1" applyFont="1" applyBorder="1" applyAlignment="1" applyProtection="1">
      <alignment horizontal="center"/>
      <protection hidden="1"/>
    </xf>
    <xf numFmtId="164" fontId="58" fillId="0" borderId="79" xfId="0" applyNumberFormat="1" applyFont="1" applyBorder="1" applyAlignment="1" applyProtection="1">
      <alignment horizontal="center"/>
      <protection hidden="1"/>
    </xf>
    <xf numFmtId="0" fontId="58" fillId="0" borderId="79" xfId="0" applyFont="1" applyBorder="1" applyAlignment="1" applyProtection="1">
      <alignment horizontal="left"/>
      <protection hidden="1"/>
    </xf>
    <xf numFmtId="0" fontId="96" fillId="0" borderId="0" xfId="0" applyFont="1" applyAlignment="1" applyProtection="1">
      <alignment horizontal="left" vertical="center" wrapText="1"/>
      <protection hidden="1"/>
    </xf>
    <xf numFmtId="0" fontId="95" fillId="20" borderId="0" xfId="0" applyFont="1" applyFill="1" applyAlignment="1" applyProtection="1">
      <alignment vertical="center"/>
      <protection hidden="1"/>
    </xf>
    <xf numFmtId="0" fontId="95" fillId="20" borderId="0" xfId="0" applyFont="1" applyFill="1" applyAlignment="1" applyProtection="1">
      <alignment horizontal="right" vertical="center"/>
      <protection hidden="1"/>
    </xf>
    <xf numFmtId="175" fontId="3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4" fillId="7" borderId="0" xfId="0" applyFont="1" applyFill="1" applyAlignment="1" applyProtection="1">
      <alignment horizontal="right" vertical="center"/>
      <protection hidden="1"/>
    </xf>
    <xf numFmtId="0" fontId="10" fillId="3" borderId="110" xfId="0" applyFont="1" applyFill="1" applyBorder="1" applyAlignment="1" applyProtection="1">
      <alignment horizontal="center" vertical="center"/>
      <protection locked="0" hidden="1"/>
    </xf>
    <xf numFmtId="165" fontId="97" fillId="17" borderId="110" xfId="0" applyNumberFormat="1" applyFont="1" applyFill="1" applyBorder="1" applyAlignment="1" applyProtection="1">
      <alignment horizontal="center" vertical="center"/>
      <protection hidden="1"/>
    </xf>
    <xf numFmtId="0" fontId="6" fillId="20" borderId="0" xfId="0" applyFont="1" applyFill="1" applyAlignment="1" applyProtection="1">
      <alignment horizontal="center" vertical="center"/>
      <protection hidden="1"/>
    </xf>
    <xf numFmtId="0" fontId="6" fillId="20" borderId="0" xfId="0" applyFont="1" applyFill="1" applyAlignment="1" applyProtection="1">
      <alignment horizontal="left" vertical="center"/>
      <protection hidden="1"/>
    </xf>
    <xf numFmtId="0" fontId="99" fillId="20" borderId="0" xfId="0" applyFont="1" applyFill="1" applyAlignment="1" applyProtection="1">
      <alignment horizontal="center" vertical="center"/>
      <protection hidden="1"/>
    </xf>
    <xf numFmtId="0" fontId="99" fillId="20" borderId="0" xfId="0" applyFont="1" applyFill="1" applyAlignment="1" applyProtection="1">
      <alignment vertical="center"/>
      <protection hidden="1"/>
    </xf>
    <xf numFmtId="0" fontId="100" fillId="20" borderId="0" xfId="0" applyFont="1" applyFill="1" applyAlignment="1" applyProtection="1">
      <alignment horizontal="center" vertical="center"/>
      <protection hidden="1"/>
    </xf>
    <xf numFmtId="0" fontId="82" fillId="20" borderId="0" xfId="0" applyFont="1" applyFill="1" applyAlignment="1" applyProtection="1">
      <alignment horizontal="center" vertical="center"/>
      <protection hidden="1"/>
    </xf>
    <xf numFmtId="0" fontId="82" fillId="20" borderId="101" xfId="0" applyFont="1" applyFill="1" applyBorder="1" applyAlignment="1" applyProtection="1">
      <alignment horizontal="center" vertical="center"/>
      <protection hidden="1"/>
    </xf>
    <xf numFmtId="0" fontId="42" fillId="20" borderId="101" xfId="0" applyFont="1" applyFill="1" applyBorder="1" applyAlignment="1" applyProtection="1">
      <alignment vertical="center"/>
      <protection hidden="1"/>
    </xf>
    <xf numFmtId="2" fontId="58" fillId="0" borderId="77" xfId="0" applyNumberFormat="1" applyFont="1" applyBorder="1" applyAlignment="1" applyProtection="1">
      <alignment horizontal="center" vertical="center"/>
      <protection hidden="1"/>
    </xf>
    <xf numFmtId="2" fontId="58" fillId="0" borderId="75" xfId="0" applyNumberFormat="1" applyFont="1" applyBorder="1" applyAlignment="1" applyProtection="1">
      <alignment horizontal="center" vertical="center"/>
      <protection hidden="1"/>
    </xf>
    <xf numFmtId="164" fontId="58" fillId="0" borderId="78" xfId="0" applyNumberFormat="1" applyFont="1" applyBorder="1" applyAlignment="1" applyProtection="1">
      <alignment horizontal="center" vertical="center"/>
      <protection hidden="1"/>
    </xf>
    <xf numFmtId="164" fontId="58" fillId="0" borderId="76" xfId="0" applyNumberFormat="1" applyFont="1" applyBorder="1" applyAlignment="1" applyProtection="1">
      <alignment horizontal="center" vertical="center"/>
      <protection hidden="1"/>
    </xf>
    <xf numFmtId="0" fontId="58" fillId="0" borderId="77" xfId="0" applyFont="1" applyBorder="1" applyAlignment="1" applyProtection="1">
      <alignment horizontal="left"/>
      <protection hidden="1"/>
    </xf>
    <xf numFmtId="165" fontId="58" fillId="0" borderId="77" xfId="0" applyNumberFormat="1" applyFont="1" applyBorder="1" applyAlignment="1" applyProtection="1">
      <alignment horizontal="center"/>
      <protection hidden="1"/>
    </xf>
    <xf numFmtId="0" fontId="58" fillId="0" borderId="77" xfId="0" applyFont="1" applyBorder="1" applyAlignment="1" applyProtection="1">
      <alignment horizontal="center"/>
      <protection hidden="1"/>
    </xf>
    <xf numFmtId="0" fontId="58" fillId="0" borderId="78" xfId="0" applyFont="1" applyBorder="1" applyAlignment="1" applyProtection="1">
      <alignment horizontal="center"/>
      <protection hidden="1"/>
    </xf>
    <xf numFmtId="0" fontId="58" fillId="0" borderId="75" xfId="0" applyFont="1" applyBorder="1" applyAlignment="1" applyProtection="1">
      <alignment horizontal="left"/>
      <protection hidden="1"/>
    </xf>
    <xf numFmtId="165" fontId="58" fillId="0" borderId="75" xfId="0" applyNumberFormat="1" applyFont="1" applyBorder="1" applyAlignment="1" applyProtection="1">
      <alignment horizontal="center"/>
      <protection hidden="1"/>
    </xf>
    <xf numFmtId="0" fontId="58" fillId="0" borderId="75" xfId="0" applyFont="1" applyBorder="1" applyAlignment="1" applyProtection="1">
      <alignment horizontal="center"/>
      <protection hidden="1"/>
    </xf>
    <xf numFmtId="0" fontId="58" fillId="0" borderId="76" xfId="0" applyFont="1" applyBorder="1" applyAlignment="1" applyProtection="1">
      <alignment horizontal="center"/>
      <protection hidden="1"/>
    </xf>
    <xf numFmtId="0" fontId="58" fillId="0" borderId="116" xfId="0" applyFont="1" applyBorder="1" applyAlignment="1">
      <alignment horizontal="left"/>
    </xf>
    <xf numFmtId="0" fontId="58" fillId="0" borderId="102" xfId="0" applyFont="1" applyBorder="1" applyAlignment="1">
      <alignment horizontal="left"/>
    </xf>
    <xf numFmtId="0" fontId="58" fillId="0" borderId="102" xfId="0" applyFont="1" applyBorder="1" applyAlignment="1">
      <alignment horizontal="center"/>
    </xf>
    <xf numFmtId="2" fontId="58" fillId="0" borderId="102" xfId="0" applyNumberFormat="1" applyFont="1" applyBorder="1" applyAlignment="1">
      <alignment horizontal="center"/>
    </xf>
    <xf numFmtId="164" fontId="58" fillId="0" borderId="102" xfId="0" applyNumberFormat="1" applyFont="1" applyBorder="1" applyAlignment="1">
      <alignment horizontal="center"/>
    </xf>
    <xf numFmtId="0" fontId="58" fillId="19" borderId="80" xfId="0" applyFont="1" applyFill="1" applyBorder="1" applyAlignment="1" applyProtection="1">
      <alignment horizontal="left"/>
      <protection hidden="1"/>
    </xf>
    <xf numFmtId="165" fontId="58" fillId="0" borderId="79" xfId="0" applyNumberFormat="1" applyFont="1" applyBorder="1" applyAlignment="1" applyProtection="1">
      <alignment horizontal="left"/>
      <protection hidden="1"/>
    </xf>
    <xf numFmtId="0" fontId="58" fillId="0" borderId="81" xfId="0" applyFont="1" applyBorder="1" applyAlignment="1" applyProtection="1">
      <alignment horizontal="left"/>
      <protection hidden="1"/>
    </xf>
    <xf numFmtId="165" fontId="58" fillId="0" borderId="82" xfId="0" applyNumberFormat="1" applyFont="1" applyBorder="1" applyAlignment="1" applyProtection="1">
      <alignment horizontal="left"/>
      <protection hidden="1"/>
    </xf>
    <xf numFmtId="165" fontId="58" fillId="0" borderId="82" xfId="0" applyNumberFormat="1" applyFont="1" applyBorder="1" applyAlignment="1" applyProtection="1">
      <alignment horizontal="center"/>
      <protection hidden="1"/>
    </xf>
    <xf numFmtId="0" fontId="58" fillId="0" borderId="82" xfId="0" applyFont="1" applyBorder="1" applyAlignment="1" applyProtection="1">
      <alignment horizontal="center"/>
      <protection hidden="1"/>
    </xf>
    <xf numFmtId="2" fontId="58" fillId="0" borderId="82" xfId="0" applyNumberFormat="1" applyFont="1" applyBorder="1" applyAlignment="1" applyProtection="1">
      <alignment horizontal="center"/>
      <protection hidden="1"/>
    </xf>
    <xf numFmtId="164" fontId="58" fillId="0" borderId="82" xfId="0" applyNumberFormat="1" applyFont="1" applyBorder="1" applyAlignment="1" applyProtection="1">
      <alignment horizontal="center"/>
      <protection hidden="1"/>
    </xf>
    <xf numFmtId="2" fontId="58" fillId="0" borderId="79" xfId="0" applyNumberFormat="1" applyFont="1" applyBorder="1" applyAlignment="1">
      <alignment horizontal="center"/>
    </xf>
    <xf numFmtId="164" fontId="58" fillId="0" borderId="79" xfId="0" applyNumberFormat="1" applyFont="1" applyBorder="1" applyAlignment="1">
      <alignment horizontal="center"/>
    </xf>
    <xf numFmtId="0" fontId="58" fillId="0" borderId="79" xfId="0" applyFont="1" applyBorder="1" applyAlignment="1">
      <alignment horizontal="left"/>
    </xf>
    <xf numFmtId="165" fontId="58" fillId="0" borderId="79" xfId="0" applyNumberFormat="1" applyFont="1" applyBorder="1" applyAlignment="1">
      <alignment horizontal="center"/>
    </xf>
    <xf numFmtId="0" fontId="58" fillId="0" borderId="79" xfId="0" applyFont="1" applyBorder="1" applyAlignment="1">
      <alignment horizontal="center"/>
    </xf>
    <xf numFmtId="0" fontId="58" fillId="0" borderId="82" xfId="0" applyFont="1" applyBorder="1" applyAlignment="1" applyProtection="1">
      <alignment horizontal="left"/>
      <protection hidden="1"/>
    </xf>
    <xf numFmtId="0" fontId="58" fillId="0" borderId="80" xfId="0" applyFont="1" applyBorder="1" applyAlignment="1" applyProtection="1">
      <alignment horizontal="left"/>
      <protection hidden="1"/>
    </xf>
    <xf numFmtId="0" fontId="58" fillId="0" borderId="83" xfId="0" applyFont="1" applyBorder="1" applyAlignment="1" applyProtection="1">
      <alignment horizontal="left"/>
      <protection hidden="1"/>
    </xf>
    <xf numFmtId="0" fontId="58" fillId="0" borderId="84" xfId="0" applyFont="1" applyBorder="1" applyAlignment="1" applyProtection="1">
      <alignment horizontal="left"/>
      <protection hidden="1"/>
    </xf>
    <xf numFmtId="0" fontId="79" fillId="2" borderId="0" xfId="0" applyFont="1" applyFill="1" applyAlignment="1" applyProtection="1">
      <alignment horizontal="center"/>
      <protection hidden="1"/>
    </xf>
    <xf numFmtId="164" fontId="58" fillId="0" borderId="99" xfId="0" applyNumberFormat="1" applyFont="1" applyBorder="1" applyAlignment="1">
      <alignment horizontal="center"/>
    </xf>
    <xf numFmtId="0" fontId="10" fillId="10" borderId="4" xfId="0" applyFont="1" applyFill="1" applyBorder="1" applyAlignment="1" applyProtection="1">
      <alignment horizontal="center" vertical="center"/>
      <protection locked="0" hidden="1"/>
    </xf>
    <xf numFmtId="0" fontId="4" fillId="7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44" fillId="5" borderId="22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Protection="1">
      <protection hidden="1"/>
    </xf>
    <xf numFmtId="0" fontId="44" fillId="5" borderId="0" xfId="0" applyFont="1" applyFill="1" applyAlignment="1" applyProtection="1">
      <alignment horizontal="left" vertical="center"/>
      <protection hidden="1"/>
    </xf>
    <xf numFmtId="0" fontId="58" fillId="0" borderId="75" xfId="0" applyFont="1" applyBorder="1" applyAlignment="1">
      <alignment horizontal="center" vertical="center"/>
    </xf>
    <xf numFmtId="3" fontId="6" fillId="12" borderId="0" xfId="0" applyNumberFormat="1" applyFont="1" applyFill="1" applyAlignment="1" applyProtection="1">
      <alignment horizontal="center" vertical="center"/>
      <protection hidden="1"/>
    </xf>
    <xf numFmtId="0" fontId="103" fillId="2" borderId="0" xfId="0" applyFont="1" applyFill="1"/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71" fillId="0" borderId="0" xfId="0" applyFont="1" applyAlignment="1">
      <alignment horizontal="center"/>
    </xf>
    <xf numFmtId="9" fontId="71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3" fontId="45" fillId="0" borderId="0" xfId="0" applyNumberFormat="1" applyFont="1"/>
    <xf numFmtId="3" fontId="0" fillId="0" borderId="0" xfId="0" applyNumberFormat="1"/>
    <xf numFmtId="3" fontId="45" fillId="0" borderId="0" xfId="0" applyNumberFormat="1" applyFont="1" applyAlignment="1">
      <alignment horizontal="center"/>
    </xf>
    <xf numFmtId="0" fontId="71" fillId="0" borderId="0" xfId="0" applyFont="1" applyAlignment="1" applyProtection="1">
      <alignment horizontal="center"/>
      <protection hidden="1"/>
    </xf>
    <xf numFmtId="1" fontId="71" fillId="0" borderId="0" xfId="0" applyNumberFormat="1" applyFont="1" applyAlignment="1">
      <alignment horizontal="center"/>
    </xf>
    <xf numFmtId="2" fontId="71" fillId="0" borderId="0" xfId="0" applyNumberFormat="1" applyFont="1" applyAlignment="1">
      <alignment horizontal="center"/>
    </xf>
    <xf numFmtId="0" fontId="102" fillId="2" borderId="0" xfId="0" applyFont="1" applyFill="1" applyAlignment="1" applyProtection="1">
      <alignment horizontal="right"/>
      <protection hidden="1"/>
    </xf>
    <xf numFmtId="1" fontId="102" fillId="2" borderId="0" xfId="0" applyNumberFormat="1" applyFont="1" applyFill="1" applyProtection="1">
      <protection hidden="1"/>
    </xf>
    <xf numFmtId="0" fontId="102" fillId="2" borderId="0" xfId="0" applyFont="1" applyFill="1" applyProtection="1">
      <protection hidden="1"/>
    </xf>
    <xf numFmtId="0" fontId="102" fillId="2" borderId="0" xfId="0" applyFont="1" applyFill="1" applyAlignment="1" applyProtection="1">
      <alignment horizontal="center" vertical="center"/>
      <protection hidden="1"/>
    </xf>
    <xf numFmtId="0" fontId="102" fillId="2" borderId="0" xfId="0" applyFont="1" applyFill="1" applyAlignment="1" applyProtection="1">
      <alignment vertical="center"/>
      <protection hidden="1"/>
    </xf>
    <xf numFmtId="3" fontId="101" fillId="2" borderId="26" xfId="0" applyNumberFormat="1" applyFont="1" applyFill="1" applyBorder="1" applyAlignment="1">
      <alignment horizontal="center" vertical="center"/>
    </xf>
    <xf numFmtId="1" fontId="101" fillId="2" borderId="26" xfId="0" applyNumberFormat="1" applyFont="1" applyFill="1" applyBorder="1" applyAlignment="1">
      <alignment horizontal="center" vertical="center"/>
    </xf>
    <xf numFmtId="0" fontId="102" fillId="2" borderId="85" xfId="0" applyFont="1" applyFill="1" applyBorder="1" applyAlignment="1" applyProtection="1">
      <alignment vertical="center"/>
      <protection hidden="1"/>
    </xf>
    <xf numFmtId="1" fontId="102" fillId="2" borderId="0" xfId="0" applyNumberFormat="1" applyFont="1" applyFill="1" applyAlignment="1">
      <alignment horizontal="center" vertical="center"/>
    </xf>
    <xf numFmtId="3" fontId="102" fillId="2" borderId="0" xfId="0" applyNumberFormat="1" applyFont="1" applyFill="1" applyAlignment="1" applyProtection="1">
      <alignment vertical="center"/>
      <protection hidden="1"/>
    </xf>
    <xf numFmtId="3" fontId="102" fillId="2" borderId="0" xfId="0" applyNumberFormat="1" applyFont="1" applyFill="1" applyAlignment="1" applyProtection="1">
      <alignment horizontal="center" vertical="center"/>
      <protection hidden="1"/>
    </xf>
    <xf numFmtId="0" fontId="105" fillId="2" borderId="0" xfId="0" applyFont="1" applyFill="1" applyAlignment="1" applyProtection="1">
      <alignment horizontal="center" vertical="center"/>
      <protection hidden="1"/>
    </xf>
    <xf numFmtId="1" fontId="102" fillId="2" borderId="0" xfId="0" applyNumberFormat="1" applyFont="1" applyFill="1" applyAlignment="1" applyProtection="1">
      <alignment horizontal="center" vertical="center"/>
      <protection hidden="1"/>
    </xf>
    <xf numFmtId="2" fontId="102" fillId="2" borderId="0" xfId="0" applyNumberFormat="1" applyFont="1" applyFill="1" applyAlignment="1" applyProtection="1">
      <alignment horizontal="center" vertical="center"/>
      <protection hidden="1"/>
    </xf>
    <xf numFmtId="166" fontId="102" fillId="2" borderId="0" xfId="0" applyNumberFormat="1" applyFont="1" applyFill="1" applyAlignment="1" applyProtection="1">
      <alignment vertical="center"/>
      <protection hidden="1"/>
    </xf>
    <xf numFmtId="166" fontId="102" fillId="2" borderId="0" xfId="0" applyNumberFormat="1" applyFont="1" applyFill="1" applyProtection="1">
      <protection hidden="1"/>
    </xf>
    <xf numFmtId="0" fontId="102" fillId="2" borderId="0" xfId="0" applyFont="1" applyFill="1" applyAlignment="1" applyProtection="1">
      <alignment horizontal="center"/>
      <protection hidden="1"/>
    </xf>
    <xf numFmtId="0" fontId="106" fillId="23" borderId="23" xfId="0" applyFont="1" applyFill="1" applyBorder="1" applyAlignment="1" applyProtection="1">
      <alignment horizontal="center" vertical="center"/>
      <protection hidden="1"/>
    </xf>
    <xf numFmtId="0" fontId="98" fillId="2" borderId="0" xfId="0" applyFont="1" applyFill="1" applyAlignment="1" applyProtection="1">
      <alignment horizontal="center"/>
      <protection hidden="1"/>
    </xf>
    <xf numFmtId="0" fontId="101" fillId="2" borderId="0" xfId="0" applyFont="1" applyFill="1" applyAlignment="1" applyProtection="1">
      <alignment horizontal="center" vertical="center"/>
      <protection hidden="1"/>
    </xf>
    <xf numFmtId="9" fontId="102" fillId="2" borderId="0" xfId="0" applyNumberFormat="1" applyFont="1" applyFill="1" applyAlignment="1" applyProtection="1">
      <alignment horizontal="left"/>
      <protection hidden="1"/>
    </xf>
    <xf numFmtId="3" fontId="102" fillId="2" borderId="0" xfId="0" applyNumberFormat="1" applyFont="1" applyFill="1" applyProtection="1">
      <protection hidden="1"/>
    </xf>
    <xf numFmtId="3" fontId="102" fillId="2" borderId="0" xfId="0" applyNumberFormat="1" applyFont="1" applyFill="1" applyAlignment="1" applyProtection="1">
      <alignment horizontal="right" vertical="center"/>
      <protection hidden="1"/>
    </xf>
    <xf numFmtId="0" fontId="102" fillId="24" borderId="23" xfId="0" applyFont="1" applyFill="1" applyBorder="1" applyAlignment="1" applyProtection="1">
      <alignment horizontal="left" vertical="center"/>
      <protection hidden="1"/>
    </xf>
    <xf numFmtId="0" fontId="102" fillId="2" borderId="0" xfId="0" applyFont="1" applyFill="1" applyAlignment="1" applyProtection="1">
      <alignment horizontal="left"/>
      <protection hidden="1"/>
    </xf>
    <xf numFmtId="0" fontId="107" fillId="2" borderId="0" xfId="0" applyFont="1" applyFill="1" applyAlignment="1" applyProtection="1">
      <alignment horizontal="center" vertical="center"/>
      <protection hidden="1"/>
    </xf>
    <xf numFmtId="0" fontId="102" fillId="2" borderId="23" xfId="0" applyFont="1" applyFill="1" applyBorder="1" applyAlignment="1" applyProtection="1">
      <alignment horizontal="left" vertical="center"/>
      <protection hidden="1"/>
    </xf>
    <xf numFmtId="3" fontId="107" fillId="2" borderId="0" xfId="0" applyNumberFormat="1" applyFont="1" applyFill="1" applyAlignment="1" applyProtection="1">
      <alignment horizontal="center" vertical="center"/>
      <protection hidden="1"/>
    </xf>
    <xf numFmtId="0" fontId="105" fillId="2" borderId="0" xfId="0" applyFont="1" applyFill="1" applyProtection="1">
      <protection hidden="1"/>
    </xf>
    <xf numFmtId="1" fontId="108" fillId="2" borderId="0" xfId="0" applyNumberFormat="1" applyFont="1" applyFill="1" applyProtection="1">
      <protection hidden="1"/>
    </xf>
    <xf numFmtId="3" fontId="102" fillId="2" borderId="23" xfId="0" applyNumberFormat="1" applyFont="1" applyFill="1" applyBorder="1" applyAlignment="1" applyProtection="1">
      <alignment horizontal="right"/>
      <protection hidden="1"/>
    </xf>
    <xf numFmtId="0" fontId="102" fillId="2" borderId="29" xfId="0" applyFont="1" applyFill="1" applyBorder="1" applyProtection="1">
      <protection hidden="1"/>
    </xf>
    <xf numFmtId="0" fontId="102" fillId="2" borderId="10" xfId="0" applyFont="1" applyFill="1" applyBorder="1" applyAlignment="1" applyProtection="1">
      <alignment horizontal="center"/>
      <protection hidden="1"/>
    </xf>
    <xf numFmtId="166" fontId="102" fillId="2" borderId="11" xfId="0" applyNumberFormat="1" applyFont="1" applyFill="1" applyBorder="1" applyAlignment="1" applyProtection="1">
      <alignment horizontal="center"/>
      <protection hidden="1"/>
    </xf>
    <xf numFmtId="0" fontId="109" fillId="2" borderId="17" xfId="0" applyFont="1" applyFill="1" applyBorder="1" applyAlignment="1" applyProtection="1">
      <alignment horizontal="center" vertical="center" textRotation="90"/>
      <protection hidden="1"/>
    </xf>
    <xf numFmtId="166" fontId="102" fillId="2" borderId="0" xfId="0" applyNumberFormat="1" applyFont="1" applyFill="1" applyAlignment="1" applyProtection="1">
      <alignment horizontal="center"/>
      <protection hidden="1"/>
    </xf>
    <xf numFmtId="0" fontId="110" fillId="2" borderId="0" xfId="0" applyFont="1" applyFill="1"/>
    <xf numFmtId="0" fontId="111" fillId="23" borderId="0" xfId="0" applyFont="1" applyFill="1" applyAlignment="1" applyProtection="1">
      <alignment horizontal="center" vertical="center" wrapText="1"/>
      <protection hidden="1"/>
    </xf>
    <xf numFmtId="0" fontId="102" fillId="2" borderId="12" xfId="0" applyFont="1" applyFill="1" applyBorder="1" applyAlignment="1" applyProtection="1">
      <alignment horizontal="center"/>
      <protection hidden="1"/>
    </xf>
    <xf numFmtId="166" fontId="102" fillId="2" borderId="13" xfId="0" applyNumberFormat="1" applyFont="1" applyFill="1" applyBorder="1" applyAlignment="1" applyProtection="1">
      <alignment horizontal="center"/>
      <protection hidden="1"/>
    </xf>
    <xf numFmtId="0" fontId="112" fillId="2" borderId="0" xfId="0" applyFont="1" applyFill="1" applyAlignment="1" applyProtection="1">
      <alignment horizontal="left" vertical="center"/>
      <protection hidden="1"/>
    </xf>
    <xf numFmtId="2" fontId="102" fillId="2" borderId="0" xfId="0" applyNumberFormat="1" applyFont="1" applyFill="1" applyProtection="1">
      <protection hidden="1"/>
    </xf>
    <xf numFmtId="166" fontId="102" fillId="2" borderId="16" xfId="0" applyNumberFormat="1" applyFont="1" applyFill="1" applyBorder="1" applyAlignment="1" applyProtection="1">
      <alignment horizontal="center"/>
      <protection hidden="1"/>
    </xf>
    <xf numFmtId="166" fontId="102" fillId="2" borderId="24" xfId="0" applyNumberFormat="1" applyFont="1" applyFill="1" applyBorder="1" applyAlignment="1" applyProtection="1">
      <alignment horizontal="center"/>
      <protection hidden="1"/>
    </xf>
    <xf numFmtId="0" fontId="113" fillId="2" borderId="0" xfId="0" applyFont="1" applyFill="1" applyProtection="1">
      <protection hidden="1"/>
    </xf>
    <xf numFmtId="174" fontId="102" fillId="2" borderId="0" xfId="0" applyNumberFormat="1" applyFont="1" applyFill="1" applyAlignment="1" applyProtection="1">
      <alignment horizontal="center"/>
      <protection hidden="1"/>
    </xf>
    <xf numFmtId="173" fontId="102" fillId="2" borderId="0" xfId="0" applyNumberFormat="1" applyFont="1" applyFill="1" applyAlignment="1" applyProtection="1">
      <alignment horizontal="center"/>
      <protection hidden="1"/>
    </xf>
    <xf numFmtId="173" fontId="102" fillId="2" borderId="0" xfId="0" applyNumberFormat="1" applyFont="1" applyFill="1" applyProtection="1">
      <protection hidden="1"/>
    </xf>
    <xf numFmtId="9" fontId="102" fillId="2" borderId="0" xfId="0" applyNumberFormat="1" applyFont="1" applyFill="1" applyProtection="1">
      <protection hidden="1"/>
    </xf>
    <xf numFmtId="0" fontId="102" fillId="2" borderId="14" xfId="0" applyFont="1" applyFill="1" applyBorder="1" applyAlignment="1" applyProtection="1">
      <alignment horizontal="center"/>
      <protection hidden="1"/>
    </xf>
    <xf numFmtId="166" fontId="102" fillId="2" borderId="15" xfId="0" applyNumberFormat="1" applyFont="1" applyFill="1" applyBorder="1" applyAlignment="1" applyProtection="1">
      <alignment horizontal="center"/>
      <protection hidden="1"/>
    </xf>
    <xf numFmtId="0" fontId="102" fillId="2" borderId="17" xfId="0" applyFont="1" applyFill="1" applyBorder="1" applyAlignment="1" applyProtection="1">
      <alignment horizontal="center"/>
      <protection hidden="1"/>
    </xf>
    <xf numFmtId="0" fontId="109" fillId="2" borderId="19" xfId="0" applyFont="1" applyFill="1" applyBorder="1" applyAlignment="1" applyProtection="1">
      <alignment horizontal="center" vertical="center" textRotation="90"/>
      <protection hidden="1"/>
    </xf>
    <xf numFmtId="166" fontId="102" fillId="2" borderId="25" xfId="0" applyNumberFormat="1" applyFont="1" applyFill="1" applyBorder="1" applyAlignment="1" applyProtection="1">
      <alignment horizontal="center"/>
      <protection hidden="1"/>
    </xf>
    <xf numFmtId="0" fontId="109" fillId="2" borderId="20" xfId="0" applyFont="1" applyFill="1" applyBorder="1" applyAlignment="1" applyProtection="1">
      <alignment horizontal="center" vertical="center" textRotation="90"/>
      <protection hidden="1"/>
    </xf>
    <xf numFmtId="0" fontId="108" fillId="2" borderId="0" xfId="0" applyFont="1" applyFill="1" applyAlignment="1" applyProtection="1">
      <alignment horizontal="center" vertical="center"/>
      <protection hidden="1"/>
    </xf>
    <xf numFmtId="0" fontId="102" fillId="2" borderId="62" xfId="0" applyFont="1" applyFill="1" applyBorder="1" applyAlignment="1" applyProtection="1">
      <alignment horizontal="center" vertical="center"/>
      <protection hidden="1"/>
    </xf>
    <xf numFmtId="0" fontId="102" fillId="2" borderId="60" xfId="0" applyFont="1" applyFill="1" applyBorder="1" applyAlignment="1" applyProtection="1">
      <alignment horizontal="center" vertical="center"/>
      <protection hidden="1"/>
    </xf>
    <xf numFmtId="0" fontId="102" fillId="2" borderId="61" xfId="0" applyFont="1" applyFill="1" applyBorder="1" applyAlignment="1" applyProtection="1">
      <alignment horizontal="center" vertical="center"/>
      <protection hidden="1"/>
    </xf>
    <xf numFmtId="0" fontId="102" fillId="2" borderId="61" xfId="0" applyFont="1" applyFill="1" applyBorder="1" applyAlignment="1" applyProtection="1">
      <alignment horizontal="right" vertical="center"/>
      <protection hidden="1"/>
    </xf>
    <xf numFmtId="0" fontId="114" fillId="2" borderId="63" xfId="0" applyFont="1" applyFill="1" applyBorder="1" applyAlignment="1" applyProtection="1">
      <alignment horizontal="center" vertical="center"/>
      <protection hidden="1"/>
    </xf>
    <xf numFmtId="0" fontId="102" fillId="2" borderId="64" xfId="0" applyFont="1" applyFill="1" applyBorder="1" applyAlignment="1" applyProtection="1">
      <alignment horizontal="center" vertical="center"/>
      <protection hidden="1"/>
    </xf>
    <xf numFmtId="0" fontId="102" fillId="2" borderId="18" xfId="0" applyFont="1" applyFill="1" applyBorder="1" applyAlignment="1" applyProtection="1">
      <alignment horizontal="center"/>
      <protection hidden="1"/>
    </xf>
    <xf numFmtId="0" fontId="109" fillId="2" borderId="21" xfId="0" applyFont="1" applyFill="1" applyBorder="1" applyAlignment="1" applyProtection="1">
      <alignment horizontal="center" vertical="center" textRotation="90"/>
      <protection hidden="1"/>
    </xf>
    <xf numFmtId="166" fontId="102" fillId="2" borderId="30" xfId="0" applyNumberFormat="1" applyFont="1" applyFill="1" applyBorder="1" applyAlignment="1" applyProtection="1">
      <alignment horizontal="center"/>
      <protection hidden="1"/>
    </xf>
    <xf numFmtId="166" fontId="102" fillId="2" borderId="31" xfId="0" applyNumberFormat="1" applyFont="1" applyFill="1" applyBorder="1" applyAlignment="1" applyProtection="1">
      <alignment horizontal="center"/>
      <protection hidden="1"/>
    </xf>
    <xf numFmtId="171" fontId="102" fillId="2" borderId="0" xfId="0" applyNumberFormat="1" applyFont="1" applyFill="1" applyProtection="1">
      <protection hidden="1"/>
    </xf>
    <xf numFmtId="171" fontId="102" fillId="2" borderId="0" xfId="0" applyNumberFormat="1" applyFont="1" applyFill="1" applyAlignment="1" applyProtection="1">
      <alignment horizontal="center"/>
      <protection hidden="1"/>
    </xf>
    <xf numFmtId="165" fontId="102" fillId="2" borderId="0" xfId="0" applyNumberFormat="1" applyFont="1" applyFill="1" applyAlignment="1" applyProtection="1">
      <alignment horizontal="center"/>
      <protection hidden="1"/>
    </xf>
    <xf numFmtId="0" fontId="115" fillId="2" borderId="0" xfId="0" applyFont="1" applyFill="1" applyProtection="1">
      <protection hidden="1"/>
    </xf>
    <xf numFmtId="3" fontId="116" fillId="2" borderId="0" xfId="0" applyNumberFormat="1" applyFont="1" applyFill="1" applyAlignment="1" applyProtection="1">
      <alignment horizontal="center"/>
      <protection hidden="1"/>
    </xf>
    <xf numFmtId="0" fontId="116" fillId="2" borderId="0" xfId="0" applyFont="1" applyFill="1" applyAlignment="1" applyProtection="1">
      <alignment horizontal="center"/>
      <protection hidden="1"/>
    </xf>
    <xf numFmtId="3" fontId="116" fillId="2" borderId="0" xfId="0" applyNumberFormat="1" applyFont="1" applyFill="1" applyAlignment="1" applyProtection="1">
      <alignment horizontal="center" vertical="center"/>
      <protection hidden="1"/>
    </xf>
    <xf numFmtId="0" fontId="116" fillId="2" borderId="0" xfId="0" applyFont="1" applyFill="1" applyProtection="1">
      <protection hidden="1"/>
    </xf>
    <xf numFmtId="0" fontId="112" fillId="2" borderId="0" xfId="0" applyFont="1" applyFill="1" applyAlignment="1" applyProtection="1">
      <alignment horizontal="center"/>
      <protection hidden="1"/>
    </xf>
    <xf numFmtId="0" fontId="116" fillId="2" borderId="0" xfId="0" applyFont="1" applyFill="1" applyAlignment="1">
      <alignment horizontal="center"/>
    </xf>
    <xf numFmtId="0" fontId="115" fillId="2" borderId="0" xfId="0" applyFont="1" applyFill="1" applyAlignment="1" applyProtection="1">
      <alignment horizontal="center"/>
      <protection hidden="1"/>
    </xf>
    <xf numFmtId="0" fontId="116" fillId="2" borderId="0" xfId="0" applyFont="1" applyFill="1" applyAlignment="1" applyProtection="1">
      <alignment horizontal="right"/>
      <protection hidden="1"/>
    </xf>
    <xf numFmtId="10" fontId="116" fillId="2" borderId="0" xfId="0" applyNumberFormat="1" applyFont="1" applyFill="1" applyAlignment="1">
      <alignment horizontal="center"/>
    </xf>
    <xf numFmtId="1" fontId="116" fillId="2" borderId="0" xfId="0" applyNumberFormat="1" applyFont="1" applyFill="1" applyAlignment="1">
      <alignment horizontal="center"/>
    </xf>
    <xf numFmtId="0" fontId="116" fillId="2" borderId="0" xfId="0" applyFont="1" applyFill="1"/>
    <xf numFmtId="0" fontId="117" fillId="2" borderId="0" xfId="0" applyFont="1" applyFill="1" applyAlignment="1">
      <alignment horizontal="center"/>
    </xf>
    <xf numFmtId="1" fontId="117" fillId="2" borderId="0" xfId="0" applyNumberFormat="1" applyFont="1" applyFill="1" applyAlignment="1">
      <alignment horizontal="center"/>
    </xf>
    <xf numFmtId="2" fontId="117" fillId="2" borderId="0" xfId="0" applyNumberFormat="1" applyFont="1" applyFill="1" applyAlignment="1">
      <alignment horizontal="center"/>
    </xf>
    <xf numFmtId="2" fontId="116" fillId="2" borderId="0" xfId="0" applyNumberFormat="1" applyFont="1" applyFill="1" applyAlignment="1">
      <alignment horizontal="center"/>
    </xf>
    <xf numFmtId="3" fontId="116" fillId="2" borderId="0" xfId="0" applyNumberFormat="1" applyFont="1" applyFill="1"/>
    <xf numFmtId="3" fontId="116" fillId="2" borderId="0" xfId="0" applyNumberFormat="1" applyFont="1" applyFill="1" applyAlignment="1">
      <alignment vertical="center"/>
    </xf>
    <xf numFmtId="2" fontId="116" fillId="2" borderId="0" xfId="0" applyNumberFormat="1" applyFont="1" applyFill="1" applyAlignment="1" applyProtection="1">
      <alignment horizontal="center"/>
      <protection hidden="1"/>
    </xf>
    <xf numFmtId="3" fontId="116" fillId="2" borderId="0" xfId="0" applyNumberFormat="1" applyFont="1" applyFill="1" applyAlignment="1">
      <alignment horizontal="center"/>
    </xf>
    <xf numFmtId="1" fontId="116" fillId="2" borderId="0" xfId="0" applyNumberFormat="1" applyFont="1" applyFill="1" applyAlignment="1" applyProtection="1">
      <alignment horizontal="center"/>
      <protection hidden="1"/>
    </xf>
    <xf numFmtId="164" fontId="116" fillId="2" borderId="0" xfId="0" applyNumberFormat="1" applyFont="1" applyFill="1" applyAlignment="1">
      <alignment horizontal="center"/>
    </xf>
    <xf numFmtId="164" fontId="116" fillId="2" borderId="0" xfId="0" applyNumberFormat="1" applyFont="1" applyFill="1"/>
    <xf numFmtId="2" fontId="58" fillId="0" borderId="129" xfId="0" applyNumberFormat="1" applyFont="1" applyBorder="1" applyAlignment="1">
      <alignment horizontal="center" vertical="center"/>
    </xf>
    <xf numFmtId="0" fontId="118" fillId="0" borderId="102" xfId="0" applyFont="1" applyBorder="1" applyAlignment="1">
      <alignment horizontal="left" vertical="center" wrapText="1"/>
    </xf>
    <xf numFmtId="0" fontId="58" fillId="0" borderId="102" xfId="0" applyFont="1" applyBorder="1" applyAlignment="1">
      <alignment horizontal="left" vertical="center" wrapText="1"/>
    </xf>
    <xf numFmtId="176" fontId="58" fillId="0" borderId="102" xfId="0" applyNumberFormat="1" applyFont="1" applyBorder="1" applyAlignment="1">
      <alignment horizontal="center" vertical="center" wrapText="1"/>
    </xf>
    <xf numFmtId="10" fontId="58" fillId="0" borderId="102" xfId="0" applyNumberFormat="1" applyFont="1" applyBorder="1" applyAlignment="1">
      <alignment horizontal="center" vertical="center" wrapText="1"/>
    </xf>
    <xf numFmtId="0" fontId="58" fillId="0" borderId="102" xfId="0" applyFont="1" applyBorder="1" applyAlignment="1">
      <alignment horizontal="center" vertical="center" wrapText="1"/>
    </xf>
    <xf numFmtId="2" fontId="79" fillId="0" borderId="102" xfId="0" applyNumberFormat="1" applyFont="1" applyBorder="1" applyAlignment="1" applyProtection="1">
      <alignment horizontal="center" vertical="center"/>
      <protection hidden="1"/>
    </xf>
    <xf numFmtId="10" fontId="79" fillId="0" borderId="130" xfId="0" applyNumberFormat="1" applyFont="1" applyBorder="1" applyAlignment="1" applyProtection="1">
      <alignment horizontal="center" vertical="center"/>
      <protection hidden="1"/>
    </xf>
    <xf numFmtId="10" fontId="79" fillId="0" borderId="102" xfId="0" applyNumberFormat="1" applyFont="1" applyBorder="1" applyAlignment="1" applyProtection="1">
      <alignment horizontal="center" vertical="center"/>
      <protection hidden="1"/>
    </xf>
    <xf numFmtId="0" fontId="58" fillId="0" borderId="102" xfId="0" applyFont="1" applyBorder="1" applyAlignment="1">
      <alignment horizontal="left" wrapText="1"/>
    </xf>
    <xf numFmtId="0" fontId="58" fillId="0" borderId="102" xfId="0" applyFont="1" applyBorder="1" applyAlignment="1">
      <alignment horizontal="center" vertical="center"/>
    </xf>
    <xf numFmtId="0" fontId="58" fillId="0" borderId="102" xfId="0" applyFont="1" applyBorder="1" applyAlignment="1" applyProtection="1">
      <alignment horizontal="left" vertical="center"/>
      <protection hidden="1"/>
    </xf>
    <xf numFmtId="165" fontId="58" fillId="0" borderId="102" xfId="0" applyNumberFormat="1" applyFont="1" applyBorder="1" applyAlignment="1" applyProtection="1">
      <alignment horizontal="center" vertical="center"/>
      <protection hidden="1"/>
    </xf>
    <xf numFmtId="0" fontId="58" fillId="0" borderId="102" xfId="0" applyFont="1" applyBorder="1" applyAlignment="1" applyProtection="1">
      <alignment horizontal="center" vertical="center"/>
      <protection hidden="1"/>
    </xf>
    <xf numFmtId="0" fontId="58" fillId="0" borderId="75" xfId="0" applyFont="1" applyBorder="1" applyAlignment="1">
      <alignment horizontal="left" vertical="center" wrapText="1"/>
    </xf>
    <xf numFmtId="176" fontId="58" fillId="0" borderId="75" xfId="0" applyNumberFormat="1" applyFont="1" applyBorder="1" applyAlignment="1">
      <alignment horizontal="center" vertical="center" wrapText="1"/>
    </xf>
    <xf numFmtId="10" fontId="58" fillId="0" borderId="75" xfId="0" applyNumberFormat="1" applyFont="1" applyBorder="1" applyAlignment="1">
      <alignment horizontal="center" vertical="center" wrapText="1"/>
    </xf>
    <xf numFmtId="0" fontId="58" fillId="0" borderId="75" xfId="0" applyFont="1" applyBorder="1" applyAlignment="1">
      <alignment horizontal="center" vertical="center" wrapText="1"/>
    </xf>
    <xf numFmtId="10" fontId="58" fillId="0" borderId="112" xfId="0" applyNumberFormat="1" applyFont="1" applyBorder="1" applyAlignment="1">
      <alignment horizontal="center" vertical="center"/>
    </xf>
    <xf numFmtId="0" fontId="58" fillId="0" borderId="75" xfId="0" applyFont="1" applyBorder="1" applyAlignment="1">
      <alignment horizontal="left"/>
    </xf>
    <xf numFmtId="0" fontId="58" fillId="0" borderId="75" xfId="0" applyFont="1" applyBorder="1" applyAlignment="1">
      <alignment horizontal="left" wrapText="1"/>
    </xf>
    <xf numFmtId="2" fontId="79" fillId="0" borderId="116" xfId="0" applyNumberFormat="1" applyFont="1" applyBorder="1" applyAlignment="1" applyProtection="1">
      <alignment horizontal="center" vertical="center"/>
      <protection hidden="1"/>
    </xf>
    <xf numFmtId="0" fontId="58" fillId="0" borderId="130" xfId="0" applyFont="1" applyBorder="1" applyAlignment="1" applyProtection="1">
      <alignment horizontal="left" vertical="center"/>
      <protection hidden="1"/>
    </xf>
    <xf numFmtId="165" fontId="58" fillId="0" borderId="130" xfId="0" applyNumberFormat="1" applyFont="1" applyBorder="1" applyAlignment="1" applyProtection="1">
      <alignment horizontal="center" vertical="center"/>
      <protection hidden="1"/>
    </xf>
    <xf numFmtId="0" fontId="58" fillId="0" borderId="130" xfId="0" applyFont="1" applyBorder="1" applyAlignment="1" applyProtection="1">
      <alignment horizontal="center" vertical="center"/>
      <protection hidden="1"/>
    </xf>
    <xf numFmtId="2" fontId="58" fillId="0" borderId="102" xfId="0" applyNumberFormat="1" applyFont="1" applyBorder="1" applyAlignment="1" applyProtection="1">
      <alignment horizontal="center" vertical="center"/>
      <protection hidden="1"/>
    </xf>
    <xf numFmtId="10" fontId="58" fillId="0" borderId="130" xfId="0" applyNumberFormat="1" applyFont="1" applyBorder="1" applyAlignment="1" applyProtection="1">
      <alignment horizontal="center" vertical="center"/>
      <protection hidden="1"/>
    </xf>
    <xf numFmtId="10" fontId="58" fillId="0" borderId="102" xfId="0" applyNumberFormat="1" applyFont="1" applyBorder="1" applyAlignment="1" applyProtection="1">
      <alignment horizontal="center" vertical="center"/>
      <protection hidden="1"/>
    </xf>
    <xf numFmtId="0" fontId="79" fillId="0" borderId="92" xfId="0" applyFont="1" applyBorder="1" applyAlignment="1" applyProtection="1">
      <alignment horizontal="left"/>
      <protection hidden="1"/>
    </xf>
    <xf numFmtId="165" fontId="79" fillId="0" borderId="75" xfId="0" applyNumberFormat="1" applyFont="1" applyBorder="1" applyAlignment="1" applyProtection="1">
      <alignment horizontal="center"/>
      <protection hidden="1"/>
    </xf>
    <xf numFmtId="165" fontId="79" fillId="0" borderId="112" xfId="0" applyNumberFormat="1" applyFont="1" applyBorder="1" applyAlignment="1" applyProtection="1">
      <alignment horizontal="center" vertical="center"/>
      <protection hidden="1"/>
    </xf>
    <xf numFmtId="0" fontId="79" fillId="0" borderId="112" xfId="0" applyFont="1" applyBorder="1" applyAlignment="1" applyProtection="1">
      <alignment horizontal="center" vertical="center"/>
      <protection hidden="1"/>
    </xf>
    <xf numFmtId="2" fontId="58" fillId="0" borderId="131" xfId="0" applyNumberFormat="1" applyFont="1" applyBorder="1" applyAlignment="1">
      <alignment horizontal="center" vertical="center"/>
    </xf>
    <xf numFmtId="2" fontId="58" fillId="0" borderId="132" xfId="0" applyNumberFormat="1" applyFont="1" applyBorder="1" applyAlignment="1">
      <alignment horizontal="center" vertical="center"/>
    </xf>
    <xf numFmtId="0" fontId="58" fillId="0" borderId="130" xfId="0" applyFont="1" applyBorder="1" applyAlignment="1">
      <alignment horizontal="left" wrapText="1"/>
    </xf>
    <xf numFmtId="0" fontId="58" fillId="0" borderId="130" xfId="0" applyFont="1" applyBorder="1" applyAlignment="1">
      <alignment horizontal="center" vertical="center"/>
    </xf>
    <xf numFmtId="0" fontId="58" fillId="0" borderId="130" xfId="0" applyFont="1" applyBorder="1" applyAlignment="1">
      <alignment horizontal="left"/>
    </xf>
    <xf numFmtId="0" fontId="58" fillId="0" borderId="112" xfId="0" applyFont="1" applyBorder="1" applyAlignment="1">
      <alignment horizontal="left" vertical="center" wrapText="1"/>
    </xf>
    <xf numFmtId="176" fontId="58" fillId="0" borderId="112" xfId="0" applyNumberFormat="1" applyFont="1" applyBorder="1" applyAlignment="1">
      <alignment horizontal="center" vertical="center" wrapText="1"/>
    </xf>
    <xf numFmtId="10" fontId="58" fillId="0" borderId="112" xfId="0" applyNumberFormat="1" applyFont="1" applyBorder="1" applyAlignment="1">
      <alignment horizontal="center" vertical="center" wrapText="1"/>
    </xf>
    <xf numFmtId="0" fontId="58" fillId="0" borderId="102" xfId="0" applyFont="1" applyBorder="1" applyAlignment="1" applyProtection="1">
      <alignment horizontal="left"/>
      <protection hidden="1"/>
    </xf>
    <xf numFmtId="165" fontId="58" fillId="0" borderId="102" xfId="0" applyNumberFormat="1" applyFont="1" applyBorder="1" applyAlignment="1" applyProtection="1">
      <alignment horizontal="center"/>
      <protection hidden="1"/>
    </xf>
    <xf numFmtId="0" fontId="58" fillId="0" borderId="102" xfId="0" applyFont="1" applyBorder="1" applyAlignment="1" applyProtection="1">
      <alignment horizontal="center"/>
      <protection hidden="1"/>
    </xf>
    <xf numFmtId="2" fontId="58" fillId="0" borderId="133" xfId="0" applyNumberFormat="1" applyFont="1" applyBorder="1" applyAlignment="1" applyProtection="1">
      <alignment horizontal="center" vertical="center"/>
      <protection hidden="1"/>
    </xf>
    <xf numFmtId="2" fontId="58" fillId="0" borderId="128" xfId="0" applyNumberFormat="1" applyFont="1" applyBorder="1" applyAlignment="1" applyProtection="1">
      <alignment horizontal="center" vertical="center"/>
      <protection hidden="1"/>
    </xf>
    <xf numFmtId="0" fontId="104" fillId="2" borderId="0" xfId="0" applyFont="1" applyFill="1" applyAlignment="1">
      <alignment horizontal="center"/>
    </xf>
    <xf numFmtId="0" fontId="41" fillId="5" borderId="2" xfId="0" applyFont="1" applyFill="1" applyBorder="1" applyAlignment="1" applyProtection="1">
      <alignment horizontal="center" vertical="center"/>
      <protection hidden="1"/>
    </xf>
    <xf numFmtId="0" fontId="41" fillId="5" borderId="0" xfId="0" applyFont="1" applyFill="1" applyAlignment="1" applyProtection="1">
      <alignment horizontal="center" vertical="center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/>
      <protection locked="0" hidden="1"/>
    </xf>
    <xf numFmtId="0" fontId="6" fillId="20" borderId="0" xfId="0" applyFont="1" applyFill="1" applyAlignment="1" applyProtection="1">
      <alignment horizontal="center" vertical="center"/>
      <protection hidden="1"/>
    </xf>
    <xf numFmtId="0" fontId="6" fillId="20" borderId="4" xfId="0" applyFont="1" applyFill="1" applyBorder="1" applyAlignment="1" applyProtection="1">
      <alignment horizontal="center" vertical="center"/>
      <protection hidden="1"/>
    </xf>
    <xf numFmtId="169" fontId="6" fillId="17" borderId="0" xfId="0" applyNumberFormat="1" applyFont="1" applyFill="1" applyAlignment="1" applyProtection="1">
      <alignment horizontal="center" vertical="center"/>
      <protection hidden="1"/>
    </xf>
    <xf numFmtId="0" fontId="95" fillId="20" borderId="62" xfId="0" applyFont="1" applyFill="1" applyBorder="1" applyAlignment="1" applyProtection="1">
      <alignment horizontal="center" vertical="center"/>
      <protection hidden="1"/>
    </xf>
    <xf numFmtId="0" fontId="95" fillId="20" borderId="0" xfId="0" applyFont="1" applyFill="1" applyAlignment="1" applyProtection="1">
      <alignment horizontal="center" vertical="center"/>
      <protection hidden="1"/>
    </xf>
    <xf numFmtId="42" fontId="9" fillId="17" borderId="61" xfId="0" applyNumberFormat="1" applyFont="1" applyFill="1" applyBorder="1" applyAlignment="1" applyProtection="1">
      <alignment horizontal="center" vertical="center"/>
      <protection hidden="1"/>
    </xf>
    <xf numFmtId="42" fontId="9" fillId="17" borderId="122" xfId="0" applyNumberFormat="1" applyFont="1" applyFill="1" applyBorder="1" applyAlignment="1" applyProtection="1">
      <alignment horizontal="center" vertical="center"/>
      <protection hidden="1"/>
    </xf>
    <xf numFmtId="42" fontId="9" fillId="17" borderId="0" xfId="0" applyNumberFormat="1" applyFont="1" applyFill="1" applyAlignment="1" applyProtection="1">
      <alignment horizontal="center" vertical="center"/>
      <protection hidden="1"/>
    </xf>
    <xf numFmtId="42" fontId="9" fillId="17" borderId="101" xfId="0" applyNumberFormat="1" applyFont="1" applyFill="1" applyBorder="1" applyAlignment="1" applyProtection="1">
      <alignment horizontal="center" vertical="center"/>
      <protection hidden="1"/>
    </xf>
    <xf numFmtId="42" fontId="9" fillId="17" borderId="62" xfId="0" applyNumberFormat="1" applyFont="1" applyFill="1" applyBorder="1" applyAlignment="1" applyProtection="1">
      <alignment horizontal="center" vertical="center"/>
      <protection hidden="1"/>
    </xf>
    <xf numFmtId="42" fontId="9" fillId="17" borderId="100" xfId="0" applyNumberFormat="1" applyFont="1" applyFill="1" applyBorder="1" applyAlignment="1" applyProtection="1">
      <alignment horizontal="center" vertical="center"/>
      <protection hidden="1"/>
    </xf>
    <xf numFmtId="0" fontId="95" fillId="20" borderId="9" xfId="0" applyFont="1" applyFill="1" applyBorder="1" applyAlignment="1" applyProtection="1">
      <alignment horizontal="center" vertical="center"/>
      <protection hidden="1"/>
    </xf>
    <xf numFmtId="0" fontId="35" fillId="20" borderId="9" xfId="0" applyFont="1" applyFill="1" applyBorder="1" applyAlignment="1" applyProtection="1">
      <alignment horizontal="center" vertical="center"/>
      <protection hidden="1"/>
    </xf>
    <xf numFmtId="0" fontId="35" fillId="20" borderId="0" xfId="0" applyFont="1" applyFill="1" applyAlignment="1" applyProtection="1">
      <alignment horizontal="center" vertical="center"/>
      <protection hidden="1"/>
    </xf>
    <xf numFmtId="0" fontId="9" fillId="20" borderId="0" xfId="0" applyFont="1" applyFill="1" applyAlignment="1" applyProtection="1">
      <alignment horizontal="center" vertical="center"/>
      <protection hidden="1"/>
    </xf>
    <xf numFmtId="0" fontId="95" fillId="20" borderId="61" xfId="0" applyFont="1" applyFill="1" applyBorder="1" applyAlignment="1" applyProtection="1">
      <alignment horizontal="center" vertical="center"/>
      <protection hidden="1"/>
    </xf>
    <xf numFmtId="0" fontId="6" fillId="20" borderId="9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vertical="center"/>
      <protection locked="0"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3" fontId="6" fillId="18" borderId="0" xfId="0" applyNumberFormat="1" applyFont="1" applyFill="1" applyAlignment="1" applyProtection="1">
      <alignment horizontal="center" vertical="center"/>
      <protection hidden="1"/>
    </xf>
    <xf numFmtId="0" fontId="6" fillId="18" borderId="0" xfId="0" applyFont="1" applyFill="1" applyAlignment="1" applyProtection="1">
      <alignment horizontal="center"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7" borderId="9" xfId="0" applyFont="1" applyFill="1" applyBorder="1" applyAlignment="1" applyProtection="1">
      <alignment horizontal="center" vertical="top"/>
      <protection hidden="1"/>
    </xf>
    <xf numFmtId="0" fontId="4" fillId="7" borderId="0" xfId="0" applyFont="1" applyFill="1" applyAlignment="1" applyProtection="1">
      <alignment horizontal="center" vertical="top"/>
      <protection hidden="1"/>
    </xf>
    <xf numFmtId="0" fontId="49" fillId="3" borderId="0" xfId="0" applyFont="1" applyFill="1" applyAlignment="1" applyProtection="1">
      <alignment horizontal="center" vertical="center"/>
      <protection locked="0" hidden="1"/>
    </xf>
    <xf numFmtId="0" fontId="20" fillId="6" borderId="0" xfId="1" applyFill="1" applyBorder="1" applyAlignment="1" applyProtection="1">
      <alignment horizontal="center" vertical="center" wrapText="1"/>
      <protection hidden="1"/>
    </xf>
    <xf numFmtId="0" fontId="52" fillId="6" borderId="0" xfId="1" applyFont="1" applyFill="1" applyBorder="1" applyAlignment="1" applyProtection="1">
      <alignment horizontal="center" vertical="center" wrapText="1"/>
      <protection hidden="1"/>
    </xf>
    <xf numFmtId="0" fontId="52" fillId="6" borderId="4" xfId="1" applyFont="1" applyFill="1" applyBorder="1" applyAlignment="1" applyProtection="1">
      <alignment horizontal="center" vertical="center" wrapText="1"/>
      <protection hidden="1"/>
    </xf>
    <xf numFmtId="0" fontId="22" fillId="6" borderId="0" xfId="1" applyFont="1" applyFill="1" applyBorder="1" applyAlignment="1" applyProtection="1">
      <alignment horizontal="center" vertical="center"/>
      <protection hidden="1"/>
    </xf>
    <xf numFmtId="0" fontId="22" fillId="6" borderId="4" xfId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47" fillId="7" borderId="9" xfId="0" applyFont="1" applyFill="1" applyBorder="1" applyAlignment="1" applyProtection="1">
      <alignment horizontal="center" vertical="center"/>
      <protection hidden="1"/>
    </xf>
    <xf numFmtId="0" fontId="47" fillId="7" borderId="0" xfId="0" applyFont="1" applyFill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right" vertical="center"/>
      <protection hidden="1"/>
    </xf>
    <xf numFmtId="0" fontId="4" fillId="7" borderId="0" xfId="0" applyFont="1" applyFill="1" applyAlignment="1" applyProtection="1">
      <alignment horizontal="right" vertical="center"/>
      <protection hidden="1"/>
    </xf>
    <xf numFmtId="0" fontId="45" fillId="7" borderId="9" xfId="0" applyFont="1" applyFill="1" applyBorder="1" applyAlignment="1" applyProtection="1">
      <alignment horizontal="center" vertical="top" wrapText="1"/>
      <protection hidden="1"/>
    </xf>
    <xf numFmtId="0" fontId="45" fillId="7" borderId="0" xfId="0" applyFont="1" applyFill="1" applyAlignment="1" applyProtection="1">
      <alignment horizontal="center" vertical="top" wrapText="1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4" fillId="8" borderId="9" xfId="0" applyFont="1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170" fontId="7" fillId="10" borderId="0" xfId="0" applyNumberFormat="1" applyFont="1" applyFill="1" applyAlignment="1" applyProtection="1">
      <alignment horizontal="center" vertical="center"/>
      <protection locked="0" hidden="1"/>
    </xf>
    <xf numFmtId="0" fontId="44" fillId="5" borderId="0" xfId="0" applyFont="1" applyFill="1" applyAlignment="1" applyProtection="1">
      <alignment horizontal="center" vertical="center" wrapText="1"/>
      <protection hidden="1"/>
    </xf>
    <xf numFmtId="0" fontId="45" fillId="5" borderId="0" xfId="0" applyFont="1" applyFill="1" applyAlignment="1" applyProtection="1">
      <alignment horizontal="center" wrapText="1"/>
      <protection hidden="1"/>
    </xf>
    <xf numFmtId="0" fontId="45" fillId="5" borderId="4" xfId="0" applyFont="1" applyFill="1" applyBorder="1" applyAlignment="1" applyProtection="1">
      <alignment horizontal="center" wrapText="1"/>
      <protection hidden="1"/>
    </xf>
    <xf numFmtId="3" fontId="98" fillId="17" borderId="66" xfId="0" applyNumberFormat="1" applyFont="1" applyFill="1" applyBorder="1" applyAlignment="1" applyProtection="1">
      <alignment horizontal="center" vertical="center"/>
      <protection hidden="1"/>
    </xf>
    <xf numFmtId="3" fontId="98" fillId="17" borderId="4" xfId="0" applyNumberFormat="1" applyFont="1" applyFill="1" applyBorder="1" applyAlignment="1" applyProtection="1">
      <alignment horizontal="center" vertical="center"/>
      <protection hidden="1"/>
    </xf>
    <xf numFmtId="44" fontId="7" fillId="10" borderId="0" xfId="0" applyNumberFormat="1" applyFont="1" applyFill="1" applyAlignment="1" applyProtection="1">
      <alignment horizontal="center" vertical="center"/>
      <protection locked="0" hidden="1"/>
    </xf>
    <xf numFmtId="0" fontId="6" fillId="20" borderId="0" xfId="0" applyFont="1" applyFill="1" applyAlignment="1" applyProtection="1">
      <alignment horizontal="center"/>
      <protection hidden="1"/>
    </xf>
    <xf numFmtId="3" fontId="80" fillId="22" borderId="126" xfId="0" applyNumberFormat="1" applyFont="1" applyFill="1" applyBorder="1" applyAlignment="1" applyProtection="1">
      <alignment horizontal="center" vertical="center"/>
      <protection hidden="1"/>
    </xf>
    <xf numFmtId="3" fontId="80" fillId="22" borderId="120" xfId="0" applyNumberFormat="1" applyFont="1" applyFill="1" applyBorder="1" applyAlignment="1" applyProtection="1">
      <alignment horizontal="center" vertical="center"/>
      <protection hidden="1"/>
    </xf>
    <xf numFmtId="0" fontId="9" fillId="5" borderId="121" xfId="0" applyFont="1" applyFill="1" applyBorder="1" applyAlignment="1" applyProtection="1">
      <alignment horizontal="center" vertical="center"/>
      <protection hidden="1"/>
    </xf>
    <xf numFmtId="0" fontId="9" fillId="5" borderId="119" xfId="0" applyFont="1" applyFill="1" applyBorder="1" applyAlignment="1" applyProtection="1">
      <alignment horizontal="center" vertical="center"/>
      <protection hidden="1"/>
    </xf>
    <xf numFmtId="0" fontId="6" fillId="20" borderId="0" xfId="0" applyFont="1" applyFill="1" applyAlignment="1" applyProtection="1">
      <alignment horizontal="right" vertical="center"/>
      <protection hidden="1"/>
    </xf>
    <xf numFmtId="3" fontId="80" fillId="22" borderId="121" xfId="0" applyNumberFormat="1" applyFont="1" applyFill="1" applyBorder="1" applyAlignment="1" applyProtection="1">
      <alignment horizontal="center" vertical="center"/>
      <protection hidden="1"/>
    </xf>
    <xf numFmtId="3" fontId="80" fillId="22" borderId="119" xfId="0" applyNumberFormat="1" applyFont="1" applyFill="1" applyBorder="1" applyAlignment="1" applyProtection="1">
      <alignment horizontal="center" vertical="center"/>
      <protection hidden="1"/>
    </xf>
    <xf numFmtId="0" fontId="9" fillId="5" borderId="9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5" borderId="5" xfId="0" applyFont="1" applyFill="1" applyBorder="1" applyAlignment="1" applyProtection="1">
      <alignment horizontal="left" vertical="center"/>
      <protection hidden="1"/>
    </xf>
    <xf numFmtId="0" fontId="9" fillId="5" borderId="22" xfId="0" applyFont="1" applyFill="1" applyBorder="1" applyAlignment="1" applyProtection="1">
      <alignment horizontal="left" vertical="center"/>
      <protection hidden="1"/>
    </xf>
    <xf numFmtId="2" fontId="5" fillId="9" borderId="0" xfId="0" applyNumberFormat="1" applyFont="1" applyFill="1" applyAlignment="1" applyProtection="1">
      <alignment horizontal="center" vertical="center"/>
      <protection hidden="1"/>
    </xf>
    <xf numFmtId="2" fontId="5" fillId="9" borderId="22" xfId="0" applyNumberFormat="1" applyFont="1" applyFill="1" applyBorder="1" applyAlignment="1" applyProtection="1">
      <alignment horizontal="center" vertical="center"/>
      <protection hidden="1"/>
    </xf>
    <xf numFmtId="169" fontId="9" fillId="11" borderId="0" xfId="0" applyNumberFormat="1" applyFont="1" applyFill="1" applyAlignment="1" applyProtection="1">
      <alignment horizontal="center" vertical="center"/>
      <protection hidden="1"/>
    </xf>
    <xf numFmtId="0" fontId="6" fillId="20" borderId="0" xfId="0" applyFont="1" applyFill="1" applyAlignment="1" applyProtection="1">
      <alignment horizontal="left" vertical="center"/>
      <protection hidden="1"/>
    </xf>
    <xf numFmtId="0" fontId="9" fillId="20" borderId="4" xfId="0" applyFont="1" applyFill="1" applyBorder="1" applyAlignment="1" applyProtection="1">
      <alignment horizontal="center" vertical="center"/>
      <protection hidden="1"/>
    </xf>
    <xf numFmtId="168" fontId="80" fillId="22" borderId="127" xfId="0" applyNumberFormat="1" applyFont="1" applyFill="1" applyBorder="1" applyAlignment="1" applyProtection="1">
      <alignment horizontal="center" vertical="center"/>
      <protection hidden="1"/>
    </xf>
    <xf numFmtId="168" fontId="80" fillId="22" borderId="118" xfId="0" applyNumberFormat="1" applyFont="1" applyFill="1" applyBorder="1" applyAlignment="1" applyProtection="1">
      <alignment horizontal="center" vertical="center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168" fontId="9" fillId="12" borderId="0" xfId="0" applyNumberFormat="1" applyFont="1" applyFill="1" applyAlignment="1" applyProtection="1">
      <alignment horizontal="center" vertical="center"/>
      <protection hidden="1"/>
    </xf>
    <xf numFmtId="0" fontId="25" fillId="20" borderId="123" xfId="0" applyFont="1" applyFill="1" applyBorder="1" applyAlignment="1" applyProtection="1">
      <alignment horizontal="center" vertical="center" wrapText="1"/>
      <protection hidden="1"/>
    </xf>
    <xf numFmtId="0" fontId="25" fillId="20" borderId="9" xfId="0" applyFont="1" applyFill="1" applyBorder="1" applyAlignment="1" applyProtection="1">
      <alignment horizontal="center" vertical="center" wrapText="1"/>
      <protection hidden="1"/>
    </xf>
    <xf numFmtId="0" fontId="25" fillId="20" borderId="124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83" fillId="2" borderId="0" xfId="0" applyFont="1" applyFill="1" applyAlignment="1" applyProtection="1">
      <alignment horizontal="center" vertical="center" wrapText="1"/>
      <protection hidden="1"/>
    </xf>
    <xf numFmtId="164" fontId="7" fillId="10" borderId="0" xfId="0" applyNumberFormat="1" applyFont="1" applyFill="1" applyAlignment="1" applyProtection="1">
      <alignment horizontal="center" vertical="center"/>
      <protection locked="0"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3" fontId="6" fillId="12" borderId="0" xfId="0" applyNumberFormat="1" applyFont="1" applyFill="1" applyAlignment="1" applyProtection="1">
      <alignment horizontal="center" vertical="center"/>
      <protection hidden="1"/>
    </xf>
    <xf numFmtId="0" fontId="6" fillId="12" borderId="0" xfId="0" applyFont="1" applyFill="1" applyAlignment="1" applyProtection="1">
      <alignment horizontal="center" vertical="center"/>
      <protection hidden="1"/>
    </xf>
    <xf numFmtId="169" fontId="9" fillId="11" borderId="22" xfId="0" applyNumberFormat="1" applyFont="1" applyFill="1" applyBorder="1" applyAlignment="1" applyProtection="1">
      <alignment horizontal="center" vertical="center"/>
      <protection hidden="1"/>
    </xf>
    <xf numFmtId="42" fontId="81" fillId="10" borderId="0" xfId="0" applyNumberFormat="1" applyFont="1" applyFill="1" applyAlignment="1" applyProtection="1">
      <alignment horizontal="center" vertical="center"/>
      <protection locked="0" hidden="1"/>
    </xf>
    <xf numFmtId="0" fontId="95" fillId="20" borderId="9" xfId="0" applyFont="1" applyFill="1" applyBorder="1" applyAlignment="1" applyProtection="1">
      <alignment horizontal="left" vertical="center"/>
      <protection hidden="1"/>
    </xf>
    <xf numFmtId="0" fontId="95" fillId="20" borderId="0" xfId="0" applyFont="1" applyFill="1" applyAlignment="1" applyProtection="1">
      <alignment horizontal="left" vertical="center"/>
      <protection hidden="1"/>
    </xf>
    <xf numFmtId="0" fontId="9" fillId="11" borderId="5" xfId="0" applyFont="1" applyFill="1" applyBorder="1" applyAlignment="1" applyProtection="1">
      <alignment horizontal="center" vertical="center"/>
      <protection hidden="1"/>
    </xf>
    <xf numFmtId="0" fontId="9" fillId="11" borderId="22" xfId="0" applyFont="1" applyFill="1" applyBorder="1" applyAlignment="1" applyProtection="1">
      <alignment horizontal="center" vertical="center"/>
      <protection hidden="1"/>
    </xf>
    <xf numFmtId="168" fontId="9" fillId="12" borderId="22" xfId="0" applyNumberFormat="1" applyFont="1" applyFill="1" applyBorder="1" applyAlignment="1" applyProtection="1">
      <alignment horizontal="center" vertical="center"/>
      <protection hidden="1"/>
    </xf>
    <xf numFmtId="0" fontId="9" fillId="5" borderId="9" xfId="0" applyFont="1" applyFill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9" fillId="5" borderId="73" xfId="0" applyFont="1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 applyProtection="1">
      <alignment horizontal="center" vertical="center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0" fontId="9" fillId="5" borderId="117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left"/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6" fillId="5" borderId="9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 vertical="center" wrapText="1"/>
      <protection locked="0" hidden="1"/>
    </xf>
    <xf numFmtId="0" fontId="9" fillId="2" borderId="0" xfId="0" applyFont="1" applyFill="1" applyAlignment="1" applyProtection="1">
      <alignment horizontal="left"/>
      <protection hidden="1"/>
    </xf>
    <xf numFmtId="9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72" fillId="7" borderId="0" xfId="0" applyFont="1" applyFill="1" applyAlignment="1">
      <alignment horizontal="center" vertical="center" textRotation="90" wrapText="1"/>
    </xf>
    <xf numFmtId="0" fontId="73" fillId="15" borderId="0" xfId="0" applyFont="1" applyFill="1" applyAlignment="1">
      <alignment horizontal="center" vertical="center" textRotation="90" wrapText="1"/>
    </xf>
    <xf numFmtId="0" fontId="72" fillId="7" borderId="57" xfId="0" applyFont="1" applyFill="1" applyBorder="1" applyAlignment="1">
      <alignment horizontal="center" vertical="center" textRotation="90" wrapText="1"/>
    </xf>
    <xf numFmtId="0" fontId="69" fillId="16" borderId="59" xfId="0" applyFont="1" applyFill="1" applyBorder="1" applyAlignment="1">
      <alignment horizontal="center"/>
    </xf>
    <xf numFmtId="0" fontId="69" fillId="16" borderId="58" xfId="0" applyFont="1" applyFill="1" applyBorder="1" applyAlignment="1">
      <alignment horizontal="center"/>
    </xf>
    <xf numFmtId="0" fontId="69" fillId="16" borderId="67" xfId="0" applyFont="1" applyFill="1" applyBorder="1" applyAlignment="1">
      <alignment horizontal="center"/>
    </xf>
    <xf numFmtId="0" fontId="69" fillId="16" borderId="68" xfId="0" applyFont="1" applyFill="1" applyBorder="1" applyAlignment="1">
      <alignment horizontal="center"/>
    </xf>
    <xf numFmtId="0" fontId="68" fillId="16" borderId="58" xfId="0" applyFont="1" applyFill="1" applyBorder="1" applyAlignment="1">
      <alignment horizontal="center" vertical="center"/>
    </xf>
    <xf numFmtId="0" fontId="68" fillId="16" borderId="53" xfId="0" applyFont="1" applyFill="1" applyBorder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0" fontId="102" fillId="2" borderId="0" xfId="0" applyFont="1" applyFill="1" applyAlignment="1" applyProtection="1">
      <alignment horizontal="center"/>
      <protection hidden="1"/>
    </xf>
    <xf numFmtId="9" fontId="101" fillId="2" borderId="26" xfId="0" applyNumberFormat="1" applyFont="1" applyFill="1" applyBorder="1" applyAlignment="1">
      <alignment horizontal="center" vertical="center"/>
    </xf>
    <xf numFmtId="9" fontId="101" fillId="2" borderId="86" xfId="0" applyNumberFormat="1" applyFont="1" applyFill="1" applyBorder="1" applyAlignment="1">
      <alignment horizontal="center" vertical="center"/>
    </xf>
    <xf numFmtId="9" fontId="101" fillId="2" borderId="125" xfId="0" applyNumberFormat="1" applyFont="1" applyFill="1" applyBorder="1" applyAlignment="1">
      <alignment horizontal="center" vertical="center"/>
    </xf>
    <xf numFmtId="9" fontId="101" fillId="2" borderId="87" xfId="0" applyNumberFormat="1" applyFont="1" applyFill="1" applyBorder="1" applyAlignment="1">
      <alignment horizontal="center" vertical="center"/>
    </xf>
    <xf numFmtId="1" fontId="101" fillId="2" borderId="86" xfId="0" applyNumberFormat="1" applyFont="1" applyFill="1" applyBorder="1" applyAlignment="1">
      <alignment horizontal="center" vertical="center"/>
    </xf>
    <xf numFmtId="1" fontId="101" fillId="2" borderId="87" xfId="0" applyNumberFormat="1" applyFont="1" applyFill="1" applyBorder="1" applyAlignment="1">
      <alignment horizontal="center" vertical="center"/>
    </xf>
    <xf numFmtId="1" fontId="101" fillId="2" borderId="26" xfId="0" applyNumberFormat="1" applyFont="1" applyFill="1" applyBorder="1" applyAlignment="1">
      <alignment horizontal="center" vertical="center"/>
    </xf>
    <xf numFmtId="0" fontId="101" fillId="2" borderId="26" xfId="0" applyFont="1" applyFill="1" applyBorder="1" applyAlignment="1">
      <alignment horizontal="center" vertical="center"/>
    </xf>
    <xf numFmtId="164" fontId="101" fillId="2" borderId="26" xfId="0" applyNumberFormat="1" applyFont="1" applyFill="1" applyBorder="1" applyAlignment="1">
      <alignment horizontal="center" vertical="center"/>
    </xf>
    <xf numFmtId="0" fontId="102" fillId="2" borderId="85" xfId="0" applyFont="1" applyFill="1" applyBorder="1" applyAlignment="1" applyProtection="1">
      <alignment horizontal="center" vertical="center"/>
      <protection hidden="1"/>
    </xf>
    <xf numFmtId="0" fontId="102" fillId="2" borderId="0" xfId="0" applyFont="1" applyFill="1" applyAlignment="1" applyProtection="1">
      <alignment horizontal="center" vertical="center"/>
      <protection hidden="1"/>
    </xf>
    <xf numFmtId="9" fontId="101" fillId="2" borderId="88" xfId="0" applyNumberFormat="1" applyFont="1" applyFill="1" applyBorder="1" applyAlignment="1">
      <alignment horizontal="center" vertical="center"/>
    </xf>
    <xf numFmtId="9" fontId="101" fillId="2" borderId="89" xfId="0" applyNumberFormat="1" applyFont="1" applyFill="1" applyBorder="1" applyAlignment="1">
      <alignment horizontal="center" vertical="center"/>
    </xf>
    <xf numFmtId="9" fontId="101" fillId="2" borderId="90" xfId="0" applyNumberFormat="1" applyFont="1" applyFill="1" applyBorder="1" applyAlignment="1">
      <alignment horizontal="center" vertical="center"/>
    </xf>
    <xf numFmtId="9" fontId="101" fillId="2" borderId="91" xfId="0" applyNumberFormat="1" applyFont="1" applyFill="1" applyBorder="1" applyAlignment="1">
      <alignment horizontal="center" vertical="center"/>
    </xf>
    <xf numFmtId="9" fontId="101" fillId="2" borderId="27" xfId="0" applyNumberFormat="1" applyFont="1" applyFill="1" applyBorder="1" applyAlignment="1">
      <alignment horizontal="center" vertical="center"/>
    </xf>
    <xf numFmtId="9" fontId="101" fillId="2" borderId="28" xfId="0" applyNumberFormat="1" applyFont="1" applyFill="1" applyBorder="1" applyAlignment="1">
      <alignment horizontal="center" vertical="center"/>
    </xf>
    <xf numFmtId="0" fontId="102" fillId="2" borderId="85" xfId="0" applyFont="1" applyFill="1" applyBorder="1" applyAlignment="1" applyProtection="1">
      <alignment horizontal="right"/>
      <protection hidden="1"/>
    </xf>
    <xf numFmtId="0" fontId="102" fillId="2" borderId="0" xfId="0" applyFont="1" applyFill="1" applyAlignment="1" applyProtection="1">
      <alignment horizontal="right"/>
      <protection hidden="1"/>
    </xf>
    <xf numFmtId="165" fontId="101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right" vertical="center"/>
    </xf>
    <xf numFmtId="3" fontId="45" fillId="0" borderId="0" xfId="0" applyNumberFormat="1" applyFont="1" applyAlignment="1">
      <alignment horizontal="right" vertical="center"/>
    </xf>
    <xf numFmtId="9" fontId="102" fillId="2" borderId="0" xfId="0" applyNumberFormat="1" applyFont="1" applyFill="1" applyAlignment="1">
      <alignment horizontal="right" vertical="center"/>
    </xf>
    <xf numFmtId="9" fontId="102" fillId="2" borderId="0" xfId="0" applyNumberFormat="1" applyFont="1" applyFill="1" applyAlignment="1">
      <alignment horizontal="center" vertical="center"/>
    </xf>
    <xf numFmtId="3" fontId="102" fillId="2" borderId="0" xfId="0" applyNumberFormat="1" applyFont="1" applyFill="1" applyAlignment="1">
      <alignment horizontal="right" vertical="center"/>
    </xf>
    <xf numFmtId="1" fontId="116" fillId="2" borderId="0" xfId="0" applyNumberFormat="1" applyFont="1" applyFill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0" fontId="45" fillId="0" borderId="0" xfId="0" applyFont="1" applyAlignment="1">
      <alignment horizontal="center"/>
    </xf>
    <xf numFmtId="9" fontId="4" fillId="0" borderId="0" xfId="0" applyNumberFormat="1" applyFont="1" applyAlignment="1">
      <alignment horizontal="center" vertical="center"/>
    </xf>
  </cellXfs>
  <cellStyles count="2">
    <cellStyle name="Link" xfId="1" builtinId="8"/>
    <cellStyle name="Standard" xfId="0" builtinId="0"/>
  </cellStyles>
  <dxfs count="3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A3B75"/>
        </left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1A3B75"/>
        </right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color rgb="FF92D05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theme="1" tint="0.14996795556505021"/>
      </font>
      <fill>
        <patternFill>
          <fgColor theme="1" tint="0.14993743705557422"/>
          <bgColor theme="1" tint="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6C0000"/>
      </font>
      <fill>
        <patternFill>
          <bgColor rgb="FF6C0000"/>
        </patternFill>
      </fill>
    </dxf>
    <dxf>
      <font>
        <color rgb="FF6C0000"/>
      </font>
    </dxf>
    <dxf>
      <font>
        <color rgb="FF6C0000"/>
      </font>
      <fill>
        <patternFill>
          <bgColor rgb="FF6C0000"/>
        </patternFill>
      </fill>
    </dxf>
    <dxf>
      <font>
        <color theme="0"/>
      </font>
    </dxf>
    <dxf>
      <font>
        <color rgb="FF002060"/>
      </font>
      <fill>
        <patternFill>
          <bgColor rgb="FF002060"/>
        </patternFill>
      </fill>
    </dxf>
    <dxf>
      <font>
        <color rgb="FF6C0000"/>
      </font>
    </dxf>
    <dxf>
      <font>
        <color theme="1" tint="0.499984740745262"/>
      </font>
      <fill>
        <patternFill>
          <bgColor theme="1" tint="0.499984740745262"/>
        </patternFill>
      </fill>
      <border>
        <vertical/>
        <horizontal/>
      </border>
    </dxf>
    <dxf>
      <font>
        <color rgb="FF002060"/>
      </font>
      <fill>
        <patternFill>
          <bgColor rgb="FF002060"/>
        </patternFill>
      </fill>
    </dxf>
    <dxf>
      <font>
        <color theme="1" tint="0.14996795556505021"/>
      </font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57257D"/>
      </font>
      <fill>
        <patternFill>
          <bgColor rgb="FF57257D"/>
        </patternFill>
      </fill>
      <border>
        <left/>
        <right/>
        <top/>
        <bottom/>
      </border>
    </dxf>
    <dxf>
      <font>
        <color theme="1" tint="0.499984740745262"/>
      </font>
      <fill>
        <patternFill>
          <fgColor theme="1" tint="0.499984740745262"/>
          <bgColor theme="1" tint="0.499984740745262"/>
        </patternFill>
      </fill>
      <border>
        <left/>
        <right/>
        <top/>
        <bottom/>
      </border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theme="9" tint="-0.499984740745262"/>
      </font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002060"/>
      </font>
      <fill>
        <patternFill>
          <bgColor rgb="FF002060"/>
        </patternFill>
      </fill>
    </dxf>
    <dxf>
      <font>
        <color rgb="FF00206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numFmt numFmtId="173" formatCode="0.0000"/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numFmt numFmtId="174" formatCode="0.0\°"/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 patternType="none">
          <fgColor indexed="64"/>
          <bgColor theme="1" tint="0.499984740745262"/>
        </patternFill>
      </fill>
    </dxf>
    <dxf>
      <font>
        <strike val="0"/>
        <outline val="0"/>
        <shadow val="0"/>
        <u val="none"/>
        <vertAlign val="baseline"/>
        <color theme="1" tint="0.499984740745262"/>
      </font>
      <fill>
        <patternFill patternType="none"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numFmt numFmtId="166" formatCode="0.000"/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theme="1" tint="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theme="1" tint="0.24994659260841701"/>
        </left>
        <right style="thin">
          <color theme="1" tint="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1" tint="0.24994659260841701"/>
        </left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theme="1" tint="0.499984740745262"/>
        <family val="2"/>
      </font>
      <fill>
        <patternFill patternType="none">
          <fgColor indexed="64"/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499984740745262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>
          <bgColor theme="1" tint="0.499984740745262"/>
        </patternFill>
      </fill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>
          <bgColor theme="1" tint="0.499984740745262"/>
        </patternFill>
      </fill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>
          <bgColor theme="1" tint="0.499984740745262"/>
        </patternFill>
      </fill>
      <protection locked="1" hidden="1"/>
    </dxf>
    <dxf>
      <border outline="0">
        <left style="thin">
          <color theme="1"/>
        </left>
      </border>
    </dxf>
    <dxf>
      <font>
        <strike val="0"/>
        <outline val="0"/>
        <shadow val="0"/>
        <u val="none"/>
        <vertAlign val="baseline"/>
        <color theme="1" tint="0.499984740745262"/>
      </font>
      <fill>
        <patternFill>
          <bgColor theme="1" tint="0.499984740745262"/>
        </patternFill>
      </fill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Bahnschrift"/>
        <family val="2"/>
        <scheme val="none"/>
      </font>
      <fill>
        <patternFill patternType="solid">
          <fgColor theme="1"/>
          <bgColor theme="1" tint="0.499984740745262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numFmt numFmtId="3" formatCode="#,##0"/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strike val="0"/>
        <outline val="0"/>
        <shadow val="0"/>
        <u val="none"/>
        <vertAlign val="baseline"/>
        <color theme="1" tint="0.499984740745262"/>
      </font>
      <fill>
        <patternFill patternType="none">
          <fgColor indexed="64"/>
          <bgColor theme="1" tint="0.49998474074526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numFmt numFmtId="13" formatCode="0%"/>
      <fill>
        <patternFill patternType="none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Bahnschrift SemiBold SemiConden"/>
        <family val="2"/>
        <scheme val="none"/>
      </font>
      <fill>
        <patternFill patternType="none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ahnschrift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0"/>
        <name val="Bahnschrift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Bahnschrift"/>
        <family val="2"/>
        <scheme val="none"/>
      </font>
      <numFmt numFmtId="167" formatCode="0.0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ahnschrift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C1C1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Bahnschrift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FFFF00"/>
        <name val="Bahnschrift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 SemiConden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medium">
          <color auto="1"/>
        </left>
        <top style="medium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ahnschrift"/>
        <family val="2"/>
        <scheme val="none"/>
      </font>
      <numFmt numFmtId="172" formatCode="0,0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ahnschrift"/>
        <family val="2"/>
        <scheme val="none"/>
      </font>
      <numFmt numFmtId="166" formatCode="0.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1A3B75"/>
        </left>
        <right/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/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</dxf>
    <dxf>
      <border outline="0">
        <bottom style="thin">
          <color theme="4" tint="0.39997558519241921"/>
        </bottom>
      </border>
    </dxf>
    <dxf>
      <fill>
        <patternFill patternType="solid">
          <fgColor indexed="64"/>
          <bgColor theme="8" tint="-0.499984740745262"/>
        </patternFill>
      </fill>
    </dxf>
    <dxf>
      <font>
        <color auto="1"/>
        <name val="Bahnschrift SemiBold SemiConden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auto="1"/>
        <name val="Bahnschrift SemiBold SemiConden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1A3B75"/>
        </left>
        <right style="thin">
          <color rgb="FF1A3B75"/>
        </right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sz val="12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theme="4" tint="0.79998168889431442"/>
          <bgColor rgb="FF002060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0"/>
        <name val="Bahnschrift SemiBold SemiConden"/>
        <family val="2"/>
        <scheme val="none"/>
      </font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ahnschrift SemiBold SemiConden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medium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/>
      </border>
      <protection locked="1" hidden="1"/>
    </dxf>
    <dxf>
      <border outline="0">
        <top style="thin">
          <color rgb="FF1A3B75"/>
        </top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protection locked="1" hidden="1"/>
    </dxf>
    <dxf>
      <border outline="0">
        <bottom style="thin">
          <color rgb="FF1A3B75"/>
        </bottom>
      </border>
    </dxf>
    <dxf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  <protection locked="1" hidden="1"/>
    </dxf>
    <dxf>
      <border outline="0">
        <top style="thin">
          <color rgb="FF9EB8DA"/>
        </top>
        <bottom style="thin">
          <color rgb="FF1A3B7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</dxf>
    <dxf>
      <border outline="0"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6600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rgb="FF1A3B75"/>
        </top>
        <bottom style="thin">
          <color rgb="FF1A3B75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8" formatCode="#,##0.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5" formatCode="0.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numFmt numFmtId="168" formatCode="#,##0.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FFFFFF"/>
        </left>
        <right/>
        <top style="thin">
          <color rgb="FF1A3B75"/>
        </top>
        <bottom style="thin">
          <color rgb="FF1A3B75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 tint="0.79998168889431442"/>
          <bgColor rgb="FF002060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numFmt numFmtId="2" formatCode="0.0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numFmt numFmtId="168" formatCode="#,##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numFmt numFmtId="165" formatCode="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numFmt numFmtId="168" formatCode="#,##0.0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color auto="1"/>
        <name val="Bahnschrift SemiBold SemiConden"/>
        <family val="2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hnschrift SemiBold SemiConden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theme="4" tint="0.79998168889431442"/>
          <bgColor rgb="FF002060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numFmt numFmtId="165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sz val="12"/>
        <color auto="1"/>
        <name val="Bahnschrift SemiBold SemiConden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1A3B75"/>
        </top>
        <bottom style="thin">
          <color rgb="FF1A3B75"/>
        </bottom>
        <vertical/>
        <horizontal/>
      </border>
      <protection locked="1" hidden="1"/>
    </dxf>
    <dxf>
      <border outline="0">
        <left style="thin">
          <color theme="4"/>
        </left>
        <right style="thin">
          <color theme="4"/>
        </right>
        <bottom style="thin">
          <color rgb="FF1A3B7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ahnschrift SemiBold SemiConden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theme="4" tint="0.79998168889431442"/>
          <bgColor rgb="FF002060"/>
        </patternFill>
      </fill>
      <protection locked="1" hidden="1"/>
    </dxf>
  </dxfs>
  <tableStyles count="2" defaultTableStyle="TableStyleMedium2" defaultPivotStyle="PivotStyleLight16">
    <tableStyle name="PivotTable-Format 1" table="0" count="0" xr9:uid="{01042D28-A41A-4DA9-85ED-E0AF8250C381}"/>
    <tableStyle name="Tabellenformat 1" pivot="0" count="0" xr9:uid="{B9CE6AAB-2BD0-4523-97F9-47873C27E5A3}"/>
  </tableStyles>
  <colors>
    <mruColors>
      <color rgb="FFFF9981"/>
      <color rgb="FF99FF99"/>
      <color rgb="FF00FFFF"/>
      <color rgb="FFAC75D5"/>
      <color rgb="FFFF5353"/>
      <color rgb="FFFF4F4F"/>
      <color rgb="FFFF3737"/>
      <color rgb="FFFF3F3F"/>
      <color rgb="FFFF5757"/>
      <color rgb="FF75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6</xdr:col>
      <xdr:colOff>0</xdr:colOff>
      <xdr:row>19</xdr:row>
      <xdr:rowOff>101600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D075F93-EDFB-4B64-866E-0155D656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3810000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165894</xdr:colOff>
      <xdr:row>9</xdr:row>
      <xdr:rowOff>18580</xdr:rowOff>
    </xdr:from>
    <xdr:ext cx="4676322" cy="2773931"/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394" y="2030736"/>
          <a:ext cx="4695031" cy="2878609"/>
        </a:xfrm>
        <a:prstGeom prst="rect">
          <a:avLst/>
        </a:prstGeom>
      </xdr:spPr>
    </xdr:pic>
    <xdr:clientData/>
  </xdr:one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15" name="Pfeil: nach link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8130207">
          <a:off x="7712666" y="435267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10</xdr:col>
      <xdr:colOff>190500</xdr:colOff>
      <xdr:row>27</xdr:row>
      <xdr:rowOff>47626</xdr:rowOff>
    </xdr:from>
    <xdr:ext cx="4849494" cy="2806914"/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5238751"/>
          <a:ext cx="4868203" cy="2893218"/>
        </a:xfrm>
        <a:prstGeom prst="rect">
          <a:avLst/>
        </a:prstGeom>
      </xdr:spPr>
    </xdr:pic>
    <xdr:clientData/>
  </xdr:one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5" name="Pfeil: nach link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8130207">
          <a:off x="7712666" y="435267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9" name="Pfeil: nach link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8130207">
          <a:off x="7712666" y="435267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21" name="Pfeil: nach links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24" name="Pfeil: nach links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26" name="Pfeil: nach links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29" name="Pfeil: nach links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32" name="Pfeil: nach links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34" name="Pfeil: nach link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37" name="Pfeil: nach links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40" name="Pfeil: nach links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42" name="Pfeil: nach links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45" name="Pfeil: nach links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48" name="Pfeil: nach links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50" name="Pfeil: nach links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 rot="8130207">
          <a:off x="7712666" y="4574929"/>
          <a:ext cx="42672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11" name="Pfeil: nach link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8130207">
          <a:off x="7687266" y="4574929"/>
          <a:ext cx="42037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14" name="Pfeil: nach link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8130207">
          <a:off x="7687266" y="4574929"/>
          <a:ext cx="42037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18" name="Pfeil: nach links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8130207">
          <a:off x="7687266" y="4574929"/>
          <a:ext cx="42037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53" name="Pfeil: nach links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rot="8130207">
          <a:off x="7687266" y="4574929"/>
          <a:ext cx="42037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56" name="Pfeil: nach links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 rot="8130207">
          <a:off x="7687266" y="4574929"/>
          <a:ext cx="42037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58" name="Pfeil: nach links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 rot="8130207">
          <a:off x="7687266" y="4574929"/>
          <a:ext cx="420377" cy="24959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2</xdr:col>
      <xdr:colOff>1152</xdr:colOff>
      <xdr:row>1</xdr:row>
      <xdr:rowOff>9071</xdr:rowOff>
    </xdr:from>
    <xdr:ext cx="949399" cy="993215"/>
    <xdr:pic>
      <xdr:nvPicPr>
        <xdr:cNvPr id="59" name="Grafik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54723" y="235857"/>
          <a:ext cx="949399" cy="1015893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9</xdr:col>
      <xdr:colOff>785880</xdr:colOff>
      <xdr:row>23</xdr:row>
      <xdr:rowOff>85680</xdr:rowOff>
    </xdr:from>
    <xdr:to>
      <xdr:col>10</xdr:col>
      <xdr:colOff>399240</xdr:colOff>
      <xdr:row>24</xdr:row>
      <xdr:rowOff>99720</xdr:rowOff>
    </xdr:to>
    <xdr:sp macro="" textlink="">
      <xdr:nvSpPr>
        <xdr:cNvPr id="61" name="Pfeil: nach links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 rot="8130000">
          <a:off x="7713730" y="4454480"/>
          <a:ext cx="426160" cy="242640"/>
        </a:xfrm>
        <a:prstGeom prst="leftArrow">
          <a:avLst>
            <a:gd name="adj1" fmla="val 50000"/>
            <a:gd name="adj2" fmla="val 50000"/>
          </a:avLst>
        </a:prstGeom>
        <a:solidFill>
          <a:srgbClr val="0036A2"/>
        </a:solidFill>
        <a:ln w="25400">
          <a:solidFill>
            <a:srgbClr val="FFFFFF"/>
          </a:solidFill>
          <a:round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</xdr:sp>
    <xdr:clientData/>
  </xdr:twoCellAnchor>
  <xdr:twoCellAnchor>
    <xdr:from>
      <xdr:col>9</xdr:col>
      <xdr:colOff>785880</xdr:colOff>
      <xdr:row>23</xdr:row>
      <xdr:rowOff>85680</xdr:rowOff>
    </xdr:from>
    <xdr:to>
      <xdr:col>10</xdr:col>
      <xdr:colOff>399240</xdr:colOff>
      <xdr:row>24</xdr:row>
      <xdr:rowOff>99720</xdr:rowOff>
    </xdr:to>
    <xdr:sp macro="" textlink="">
      <xdr:nvSpPr>
        <xdr:cNvPr id="64" name="Pfeil: nach links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 rot="8130000">
          <a:off x="7713730" y="4454480"/>
          <a:ext cx="426160" cy="242640"/>
        </a:xfrm>
        <a:prstGeom prst="leftArrow">
          <a:avLst>
            <a:gd name="adj1" fmla="val 50000"/>
            <a:gd name="adj2" fmla="val 50000"/>
          </a:avLst>
        </a:prstGeom>
        <a:solidFill>
          <a:srgbClr val="0036A2"/>
        </a:solidFill>
        <a:ln w="25400">
          <a:solidFill>
            <a:srgbClr val="FFFFFF"/>
          </a:solidFill>
          <a:round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</xdr:sp>
    <xdr:clientData/>
  </xdr:twoCellAnchor>
  <xdr:twoCellAnchor>
    <xdr:from>
      <xdr:col>9</xdr:col>
      <xdr:colOff>785880</xdr:colOff>
      <xdr:row>23</xdr:row>
      <xdr:rowOff>85680</xdr:rowOff>
    </xdr:from>
    <xdr:to>
      <xdr:col>10</xdr:col>
      <xdr:colOff>399240</xdr:colOff>
      <xdr:row>24</xdr:row>
      <xdr:rowOff>99720</xdr:rowOff>
    </xdr:to>
    <xdr:sp macro="" textlink="">
      <xdr:nvSpPr>
        <xdr:cNvPr id="66" name="Pfeil: nach links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 rot="8130000">
          <a:off x="7713730" y="4454480"/>
          <a:ext cx="426160" cy="242640"/>
        </a:xfrm>
        <a:prstGeom prst="leftArrow">
          <a:avLst>
            <a:gd name="adj1" fmla="val 50000"/>
            <a:gd name="adj2" fmla="val 50000"/>
          </a:avLst>
        </a:prstGeom>
        <a:solidFill>
          <a:srgbClr val="0036A2"/>
        </a:solidFill>
        <a:ln w="25400">
          <a:solidFill>
            <a:srgbClr val="FFFFFF"/>
          </a:solidFill>
          <a:round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69" name="Pfeil: nach link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rot="8130207">
          <a:off x="7376116" y="4486029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72" name="Pfeil: nach links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 rot="8130207">
          <a:off x="7376116" y="4486029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74" name="Pfeil: nach link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 rot="8130207">
          <a:off x="7376116" y="4486029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10" name="Pfeil: nach link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8130207">
          <a:off x="7376116" y="4495554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17" name="Pfeil: nach link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8130207">
          <a:off x="7376116" y="4495554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22" name="Pfeil: nach link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8130207">
          <a:off x="7376116" y="4495554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28" name="Pfeil: nach links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8130207">
          <a:off x="7376116" y="4495554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33" name="Pfeil: nach links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8130207">
          <a:off x="7376116" y="4495554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784816</xdr:colOff>
      <xdr:row>23</xdr:row>
      <xdr:rowOff>85479</xdr:rowOff>
    </xdr:from>
    <xdr:to>
      <xdr:col>10</xdr:col>
      <xdr:colOff>398743</xdr:colOff>
      <xdr:row>24</xdr:row>
      <xdr:rowOff>100122</xdr:rowOff>
    </xdr:to>
    <xdr:sp macro="" textlink="">
      <xdr:nvSpPr>
        <xdr:cNvPr id="38" name="Pfeil: nach link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8130207">
          <a:off x="7376116" y="4495554"/>
          <a:ext cx="394977" cy="243243"/>
        </a:xfrm>
        <a:prstGeom prst="leftArrow">
          <a:avLst/>
        </a:prstGeom>
        <a:solidFill>
          <a:srgbClr val="0036A2"/>
        </a:solidFill>
        <a:ln w="25400">
          <a:solidFill>
            <a:schemeClr val="bg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10</xdr:col>
      <xdr:colOff>91849</xdr:colOff>
      <xdr:row>45</xdr:row>
      <xdr:rowOff>57882</xdr:rowOff>
    </xdr:from>
    <xdr:ext cx="4946197" cy="4232904"/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920" y="8730168"/>
          <a:ext cx="5195661" cy="4341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81642</xdr:colOff>
      <xdr:row>86</xdr:row>
      <xdr:rowOff>193500</xdr:rowOff>
    </xdr:from>
    <xdr:ext cx="6111258" cy="1891659"/>
    <xdr:pic>
      <xdr:nvPicPr>
        <xdr:cNvPr id="12" name="Grafik 11">
          <a:extLst>
            <a:ext uri="{FF2B5EF4-FFF2-40B4-BE49-F238E27FC236}">
              <a16:creationId xmlns:a16="http://schemas.microsoft.com/office/drawing/2014/main" id="{87D654A1-FB9E-45C5-A4FD-3B49A2C4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0356" y="16494857"/>
          <a:ext cx="6111258" cy="1891659"/>
        </a:xfrm>
        <a:prstGeom prst="rect">
          <a:avLst/>
        </a:prstGeom>
      </xdr:spPr>
    </xdr:pic>
    <xdr:clientData/>
  </xdr:oneCellAnchor>
  <xdr:twoCellAnchor>
    <xdr:from>
      <xdr:col>6</xdr:col>
      <xdr:colOff>281214</xdr:colOff>
      <xdr:row>48</xdr:row>
      <xdr:rowOff>244927</xdr:rowOff>
    </xdr:from>
    <xdr:to>
      <xdr:col>6</xdr:col>
      <xdr:colOff>594178</xdr:colOff>
      <xdr:row>50</xdr:row>
      <xdr:rowOff>-1</xdr:rowOff>
    </xdr:to>
    <xdr:sp macro="" textlink="">
      <xdr:nvSpPr>
        <xdr:cNvPr id="2" name="Gleichschenkliges Dreieck 1">
          <a:extLst>
            <a:ext uri="{FF2B5EF4-FFF2-40B4-BE49-F238E27FC236}">
              <a16:creationId xmlns:a16="http://schemas.microsoft.com/office/drawing/2014/main" id="{BD91D5B2-B091-4411-BB34-9917B754B3B3}"/>
            </a:ext>
          </a:extLst>
        </xdr:cNvPr>
        <xdr:cNvSpPr/>
      </xdr:nvSpPr>
      <xdr:spPr>
        <a:xfrm>
          <a:off x="4544785" y="9552213"/>
          <a:ext cx="312964" cy="154215"/>
        </a:xfrm>
        <a:prstGeom prst="triangle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 kern="1200"/>
        </a:p>
      </xdr:txBody>
    </xdr:sp>
    <xdr:clientData/>
  </xdr:twoCellAnchor>
  <xdr:twoCellAnchor>
    <xdr:from>
      <xdr:col>2</xdr:col>
      <xdr:colOff>1161143</xdr:colOff>
      <xdr:row>88</xdr:row>
      <xdr:rowOff>45357</xdr:rowOff>
    </xdr:from>
    <xdr:to>
      <xdr:col>3</xdr:col>
      <xdr:colOff>190862</xdr:colOff>
      <xdr:row>94</xdr:row>
      <xdr:rowOff>208643</xdr:rowOff>
    </xdr:to>
    <xdr:sp macro="" textlink="">
      <xdr:nvSpPr>
        <xdr:cNvPr id="6" name="Geschweifte Klammer links 5">
          <a:extLst>
            <a:ext uri="{FF2B5EF4-FFF2-40B4-BE49-F238E27FC236}">
              <a16:creationId xmlns:a16="http://schemas.microsoft.com/office/drawing/2014/main" id="{8E7B8D66-F4C2-5A70-7B72-661C563B1AE7}"/>
            </a:ext>
          </a:extLst>
        </xdr:cNvPr>
        <xdr:cNvSpPr/>
      </xdr:nvSpPr>
      <xdr:spPr>
        <a:xfrm>
          <a:off x="1614714" y="16854714"/>
          <a:ext cx="272505" cy="1306286"/>
        </a:xfrm>
        <a:prstGeom prst="leftBrace">
          <a:avLst/>
        </a:prstGeom>
        <a:noFill/>
        <a:ln w="22225">
          <a:solidFill>
            <a:schemeClr val="bg1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75</xdr:col>
      <xdr:colOff>1674812</xdr:colOff>
      <xdr:row>52</xdr:row>
      <xdr:rowOff>0</xdr:rowOff>
    </xdr:from>
    <xdr:to>
      <xdr:col>75</xdr:col>
      <xdr:colOff>2405062</xdr:colOff>
      <xdr:row>52</xdr:row>
      <xdr:rowOff>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9858A0FE-390D-42C6-8508-2A7E279CDDB8}"/>
            </a:ext>
          </a:extLst>
        </xdr:cNvPr>
        <xdr:cNvCxnSpPr/>
      </xdr:nvCxnSpPr>
      <xdr:spPr>
        <a:xfrm>
          <a:off x="24865466" y="10314214"/>
          <a:ext cx="6350" cy="0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1674812</xdr:colOff>
      <xdr:row>52</xdr:row>
      <xdr:rowOff>0</xdr:rowOff>
    </xdr:from>
    <xdr:to>
      <xdr:col>32</xdr:col>
      <xdr:colOff>2405062</xdr:colOff>
      <xdr:row>52</xdr:row>
      <xdr:rowOff>0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4FEF5DED-104D-4A2F-B1CF-0B6D4B3F60A4}"/>
            </a:ext>
          </a:extLst>
        </xdr:cNvPr>
        <xdr:cNvCxnSpPr/>
      </xdr:nvCxnSpPr>
      <xdr:spPr>
        <a:xfrm>
          <a:off x="24801512" y="10001250"/>
          <a:ext cx="6350" cy="0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</xdr:colOff>
      <xdr:row>0</xdr:row>
      <xdr:rowOff>53975</xdr:rowOff>
    </xdr:from>
    <xdr:to>
      <xdr:col>1</xdr:col>
      <xdr:colOff>908049</xdr:colOff>
      <xdr:row>3</xdr:row>
      <xdr:rowOff>117474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325" y="53975"/>
          <a:ext cx="847724" cy="854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380998</xdr:colOff>
      <xdr:row>0</xdr:row>
      <xdr:rowOff>71438</xdr:rowOff>
    </xdr:from>
    <xdr:to>
      <xdr:col>0</xdr:col>
      <xdr:colOff>1428749</xdr:colOff>
      <xdr:row>4</xdr:row>
      <xdr:rowOff>147638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8" y="71438"/>
          <a:ext cx="1047751" cy="1004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67197</xdr:colOff>
      <xdr:row>22</xdr:row>
      <xdr:rowOff>144461</xdr:rowOff>
    </xdr:from>
    <xdr:ext cx="461729" cy="325437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D52311E-825B-4201-83DF-C9E4C52814FE}"/>
            </a:ext>
          </a:extLst>
        </xdr:cNvPr>
        <xdr:cNvSpPr txBox="1"/>
      </xdr:nvSpPr>
      <xdr:spPr>
        <a:xfrm rot="16200000">
          <a:off x="2912674" y="29817334"/>
          <a:ext cx="3254376" cy="46172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de-DE" sz="2400">
              <a:latin typeface="Bahnschrift" panose="020B0502040204020203" pitchFamily="34" charset="0"/>
            </a:rPr>
            <a:t>FUSSBODENHEIZUNG</a:t>
          </a:r>
        </a:p>
      </xdr:txBody>
    </xdr:sp>
    <xdr:clientData/>
  </xdr:oneCellAnchor>
  <xdr:oneCellAnchor>
    <xdr:from>
      <xdr:col>1</xdr:col>
      <xdr:colOff>197371</xdr:colOff>
      <xdr:row>38</xdr:row>
      <xdr:rowOff>47625</xdr:rowOff>
    </xdr:from>
    <xdr:ext cx="461729" cy="436403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EA26B51-251C-4D3D-9561-65D148C105FF}"/>
            </a:ext>
          </a:extLst>
        </xdr:cNvPr>
        <xdr:cNvSpPr txBox="1"/>
      </xdr:nvSpPr>
      <xdr:spPr>
        <a:xfrm rot="16200000">
          <a:off x="-71034" y="33844030"/>
          <a:ext cx="4364039" cy="46172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de-DE" sz="2400">
              <a:latin typeface="Bahnschrift" panose="020B0502040204020203" pitchFamily="34" charset="0"/>
            </a:rPr>
            <a:t>HEIZKÖRPER UND WW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1BEA17-F4D5-4343-909A-A76419F7CAE9}" name="Tabelle_L1" displayName="Tabelle_L1" ref="B5:L27" totalsRowShown="0" headerRowDxfId="320" dataDxfId="319" tableBorderDxfId="318">
  <autoFilter ref="B5:L27" xr:uid="{F01BEA17-F4D5-4343-909A-A76419F7CAE9}"/>
  <tableColumns count="11">
    <tableColumn id="1" xr3:uid="{FE35F7FA-68CF-4617-A81A-5AD27C9C9FED}" name="Hersteller - LUFT-WASSER" dataDxfId="317"/>
    <tableColumn id="2" xr3:uid="{F7C4FDF1-A45D-4CB0-94B5-6526528437AE}" name="Typ" dataDxfId="316"/>
    <tableColumn id="3" xr3:uid="{55E00A43-C2F9-4AEA-9E44-93EB313DAE90}" name="Leist.1" dataDxfId="315"/>
    <tableColumn id="4" xr3:uid="{90674EFC-14B0-4C47-86E5-EDB2514DC29E}" name="ETA35" dataDxfId="314"/>
    <tableColumn id="5" xr3:uid="{876303DB-B621-4431-8AB1-82C1756ADFCC}" name="Leist.2" dataDxfId="313"/>
    <tableColumn id="6" xr3:uid="{9F085A05-ABDA-4846-8F27-E483BD496D96}" name="ETA55" dataDxfId="312"/>
    <tableColumn id="7" xr3:uid="{00CFD236-40CC-4081-8D48-744954C7C110}" name="KM" dataDxfId="311"/>
    <tableColumn id="8" xr3:uid="{7937ECD3-F2CD-489B-8067-44F814D5FE83}" name="Netz" dataDxfId="310"/>
    <tableColumn id="9" xr3:uid="{D88EE400-876F-46F3-89EE-F6FA3543F6B9}" name="EE" dataDxfId="309"/>
    <tableColumn id="11" xr3:uid="{5ED326B0-5D39-4A12-A55F-2FB917890CA3}" name="SCOP 80/20" dataDxfId="308"/>
    <tableColumn id="10" xr3:uid="{95A1E811-3A21-4591-B1AF-B191EFE915CF}" name="Verbr." dataDxfId="30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9C8A916-9E4E-4384-A39D-9D7F2C5B2B58}" name="Tabelle_S4" displayName="Tabelle_S4" ref="B266:L282" totalsRowShown="0" headerRowDxfId="199" dataDxfId="198" tableBorderDxfId="197">
  <autoFilter ref="B266:L282" xr:uid="{F9C8A916-9E4E-4384-A39D-9D7F2C5B2B58}"/>
  <sortState xmlns:xlrd2="http://schemas.microsoft.com/office/spreadsheetml/2017/richdata2" ref="B267:L270">
    <sortCondition descending="1" ref="K266:K270"/>
  </sortState>
  <tableColumns count="11">
    <tableColumn id="1" xr3:uid="{BE52B6D4-3382-4F20-A31A-2359D748735B}" name="Hersteller - SOLE" dataDxfId="196"/>
    <tableColumn id="2" xr3:uid="{D8C6F4B1-0148-4CC2-B3B2-3CDC4D283983}" name="Typ" dataDxfId="195"/>
    <tableColumn id="3" xr3:uid="{9567C99A-31FA-4190-BD42-E8E9FF23A38C}" name="Leist.1" dataDxfId="194"/>
    <tableColumn id="4" xr3:uid="{84D87D5C-4864-4913-BD07-2D648C5AE55C}" name="ETA35" dataDxfId="193"/>
    <tableColumn id="5" xr3:uid="{6983E9E5-2FAA-4754-8293-C3AEFB4AD95A}" name="Leist.2" dataDxfId="192"/>
    <tableColumn id="6" xr3:uid="{C201193C-E38C-4CE9-9CB1-7D09BD29A1F4}" name="ETA55" dataDxfId="191"/>
    <tableColumn id="7" xr3:uid="{D6951967-4E1D-4F62-9D94-35ADD1100994}" name="KM" dataDxfId="190"/>
    <tableColumn id="8" xr3:uid="{3D93BB3B-9D20-491E-85F1-9DC05DC84048}" name="Netz" dataDxfId="189"/>
    <tableColumn id="9" xr3:uid="{A2F5ABC2-F078-4DDF-8FDD-80E4322EADC1}" name="EE" dataDxfId="188"/>
    <tableColumn id="10" xr3:uid="{5BCC8D9D-0FD6-4DE5-8B22-D0D036F208BA}" name="SCOP" dataDxfId="187"/>
    <tableColumn id="11" xr3:uid="{7D7F50DC-7FFE-486A-BCAF-D82AE27D4DEA}" name="Verbr." dataDxfId="186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840A126-85E2-4261-B3E0-0F4478BC7335}" name="Tabelle_S5" displayName="Tabelle_S5" ref="B285:L309" totalsRowShown="0" headerRowDxfId="185" dataDxfId="184" tableBorderDxfId="183">
  <autoFilter ref="B285:L309" xr:uid="{9840A126-85E2-4261-B3E0-0F4478BC7335}"/>
  <sortState xmlns:xlrd2="http://schemas.microsoft.com/office/spreadsheetml/2017/richdata2" ref="B286:L306">
    <sortCondition descending="1" ref="K285:K306"/>
  </sortState>
  <tableColumns count="11">
    <tableColumn id="1" xr3:uid="{EE6C3EF3-F15D-4F7E-9976-1212BAE725F1}" name="Hersteller - SOLE" dataDxfId="182"/>
    <tableColumn id="2" xr3:uid="{E237178D-9FBE-42D1-91CE-2A7C36B0D1D9}" name="Typ" dataDxfId="181"/>
    <tableColumn id="3" xr3:uid="{DC577FB0-EC0D-4E3C-9CFE-87D3893C9FA9}" name="Leist.1" dataDxfId="180"/>
    <tableColumn id="4" xr3:uid="{195C9BBC-B8D0-4E2A-95D4-505E74F9557C}" name="ETA35" dataDxfId="179"/>
    <tableColumn id="5" xr3:uid="{6900C87B-C49C-4AA8-8E05-60EB1A3A7256}" name="Leist.2" dataDxfId="178"/>
    <tableColumn id="6" xr3:uid="{338088CF-69A5-4A4E-815E-B1F2B9A82C7F}" name="ETA55" dataDxfId="177"/>
    <tableColumn id="7" xr3:uid="{0E1470DC-10F1-4027-8FFC-DA2CE0F0A69E}" name="KM" dataDxfId="176"/>
    <tableColumn id="8" xr3:uid="{0013E15D-9D33-4F3E-8C04-98D8020C9341}" name="Netz" dataDxfId="175"/>
    <tableColumn id="9" xr3:uid="{0921F3ED-A8DE-4467-9652-4BC2E990B988}" name="EE" dataDxfId="174"/>
    <tableColumn id="10" xr3:uid="{3FED0ECF-7B12-4DA8-B330-4BA783394065}" name="SCOP" dataDxfId="173"/>
    <tableColumn id="11" xr3:uid="{EAE8A003-FC3C-47AA-B86A-BFEA0AFB9A3E}" name="Verbr." dataDxfId="172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EC5891-FF4C-4CAA-9EEC-0800DB13E355}" name="Tabelle_S6" displayName="Tabelle_S6" ref="B312:L327" totalsRowShown="0" headerRowDxfId="171" dataDxfId="170" tableBorderDxfId="169">
  <autoFilter ref="B312:L327" xr:uid="{BCEC5891-FF4C-4CAA-9EEC-0800DB13E355}"/>
  <sortState xmlns:xlrd2="http://schemas.microsoft.com/office/spreadsheetml/2017/richdata2" ref="B313:L322">
    <sortCondition descending="1" ref="K312:K322"/>
  </sortState>
  <tableColumns count="11">
    <tableColumn id="1" xr3:uid="{1D79D946-2819-4985-ACFB-2678945C20A2}" name="Hersteller - SOLE" dataDxfId="168"/>
    <tableColumn id="2" xr3:uid="{C37431F7-3439-41C5-9A58-4B8229275E5C}" name="Typ" dataDxfId="167"/>
    <tableColumn id="3" xr3:uid="{FDB7D5EB-679A-4798-8790-8EA6844EC8B0}" name="Leist.1" dataDxfId="166"/>
    <tableColumn id="4" xr3:uid="{C359B645-99A0-415C-BE6E-DAC5A855A997}" name="ETA35" dataDxfId="165"/>
    <tableColumn id="5" xr3:uid="{43EE8AED-E108-4285-89C2-726E77C3C223}" name="Leist.2" dataDxfId="164"/>
    <tableColumn id="6" xr3:uid="{DB6D5E7A-DECA-4FD4-BD1A-B8EE7E0EE928}" name="ETA55" dataDxfId="163"/>
    <tableColumn id="7" xr3:uid="{32434DD4-B03F-4AFD-83AF-35A8EEB6E6F4}" name="KM" dataDxfId="162"/>
    <tableColumn id="8" xr3:uid="{25F56625-3FC1-4F15-9D21-6EB04353CBD7}" name="Netz" dataDxfId="161"/>
    <tableColumn id="9" xr3:uid="{DDE3B602-225D-47EE-98D2-DC2F86E52F4B}" name="EE" dataDxfId="160"/>
    <tableColumn id="10" xr3:uid="{BEED5174-A67A-4B57-B1D9-26B82AF06606}" name="SCOP" dataDxfId="159"/>
    <tableColumn id="11" xr3:uid="{F979C8BC-8EE7-44A2-838A-C8DD8DB8C8EF}" name="Verbr." dataDxfId="158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3161AF0-E2BC-4793-9870-EFB7C3177D1E}" name="Tabelle_S7" displayName="Tabelle_S7" ref="B330:L345" totalsRowShown="0" headerRowDxfId="157" dataDxfId="156" tableBorderDxfId="155">
  <autoFilter ref="B330:L345" xr:uid="{33161AF0-E2BC-4793-9870-EFB7C3177D1E}"/>
  <sortState xmlns:xlrd2="http://schemas.microsoft.com/office/spreadsheetml/2017/richdata2" ref="B331:L334">
    <sortCondition descending="1" ref="K330:K334"/>
  </sortState>
  <tableColumns count="11">
    <tableColumn id="1" xr3:uid="{A723DBB7-5DDC-4BD9-9C0E-21E6B08738EB}" name="Hersteller - SOLE" dataDxfId="154"/>
    <tableColumn id="2" xr3:uid="{D9B4993D-37B3-49E3-9D57-B9EB57DF4696}" name="Typ" dataDxfId="153"/>
    <tableColumn id="3" xr3:uid="{AFBCF855-4781-40BF-8709-54E9B0E35893}" name="Leist.1" dataDxfId="152"/>
    <tableColumn id="4" xr3:uid="{B987EFA5-5B57-4079-84E3-833CB0BD37C5}" name="ETA35" dataDxfId="151"/>
    <tableColumn id="5" xr3:uid="{52CB317F-E2FB-4DC2-BF43-A0201418F92B}" name="Leist.2" dataDxfId="150"/>
    <tableColumn id="6" xr3:uid="{67B32FDC-AE38-4C1B-B347-1DD2E3C3166E}" name="ETA55" dataDxfId="149"/>
    <tableColumn id="7" xr3:uid="{DF8FB010-3790-4C15-9A17-618DB978955E}" name="KM" dataDxfId="148"/>
    <tableColumn id="8" xr3:uid="{7262F6D2-72E8-4381-9CF6-CBF329C9CB77}" name="Netz" dataDxfId="147"/>
    <tableColumn id="9" xr3:uid="{EBBFAD6F-375C-440D-99B7-D699C123A2F5}" name="EE" dataDxfId="146"/>
    <tableColumn id="10" xr3:uid="{080ABB42-B6F8-4A63-9C4B-3139B7DC6D58}" name="SCOP" dataDxfId="145"/>
    <tableColumn id="11" xr3:uid="{81D65C32-D18F-45AD-9910-5F474DE70F33}" name="Verbr." dataDxfId="144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4CFB024-C0FD-452E-ABC9-501699859AE5}" name="Zugriff" displayName="Zugriff" ref="AB188:AC204" totalsRowShown="0" headerRowDxfId="143" dataDxfId="141" headerRowBorderDxfId="142" tableBorderDxfId="140" totalsRowBorderDxfId="139">
  <autoFilter ref="AB188:AC204" xr:uid="{84CFB024-C0FD-452E-ABC9-501699859AE5}"/>
  <tableColumns count="2">
    <tableColumn id="1" xr3:uid="{2CF01368-68EC-4DBD-A319-D8830A862D3A}" name="Spalte1" dataDxfId="138"/>
    <tableColumn id="2" xr3:uid="{0F4E0EB8-8D29-417F-91F0-C9641A9B756A}" name="Spalte2" dataDxfId="137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2E0658-B9F2-42DA-8DB3-1EC834FFDE34}" name="Tabelle_L23" displayName="Tabelle_L23" ref="B52:L75" totalsRowShown="0" headerRowDxfId="136" dataDxfId="135">
  <autoFilter ref="B52:L75" xr:uid="{F52E0658-B9F2-42DA-8DB3-1EC834FFDE34}"/>
  <sortState xmlns:xlrd2="http://schemas.microsoft.com/office/spreadsheetml/2017/richdata2" ref="B53:L74">
    <sortCondition descending="1" ref="K52:K74"/>
  </sortState>
  <tableColumns count="11">
    <tableColumn id="1" xr3:uid="{9A2565E2-F784-4A07-B21A-EAD02209BA94}" name="Hersteller - LUFT-WASSER" dataDxfId="134"/>
    <tableColumn id="2" xr3:uid="{ED71F6CF-DD3D-48EF-A019-BF6983C33983}" name="Typ" dataDxfId="133"/>
    <tableColumn id="3" xr3:uid="{3535CA26-B4F2-4349-A9A0-29AF1A1A6561}" name="Leist.1" dataDxfId="132"/>
    <tableColumn id="4" xr3:uid="{EC4AF5FB-614E-4FF0-9256-3DFC569907DF}" name="ETA35" dataDxfId="131"/>
    <tableColumn id="5" xr3:uid="{37D7EF22-020B-4F40-BDBA-05C75A2510B5}" name="Leist.2" dataDxfId="130"/>
    <tableColumn id="6" xr3:uid="{6E714FD4-C5D1-44A8-B4B6-6C1340793C18}" name="ETA55" dataDxfId="129"/>
    <tableColumn id="7" xr3:uid="{9C8867EC-11F4-4491-925F-93EE98E3F22E}" name="KM" dataDxfId="128"/>
    <tableColumn id="8" xr3:uid="{C6943F1A-2A9F-49DF-B785-1FAF8AC8F3A7}" name="Netz" dataDxfId="127"/>
    <tableColumn id="9" xr3:uid="{0A7B546A-7FBA-43CF-91FC-314EDF7765E9}" name="EE" dataDxfId="126"/>
    <tableColumn id="12" xr3:uid="{5E5ABE43-9F59-4F16-AFBE-0F68B7088AC5}" name="SCOP 80/20" dataDxfId="125"/>
    <tableColumn id="13" xr3:uid="{17A2369A-CA26-4384-A9EA-C30A6BF335F8}" name="Verbr." dataDxfId="12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CD8745-CBB9-4D79-9BAF-F57BEC1179EF}" name="Tabelle_L7" displayName="Tabelle_L7" ref="B176:L194" totalsRowShown="0" headerRowDxfId="123" dataDxfId="121" headerRowBorderDxfId="122" tableBorderDxfId="120">
  <autoFilter ref="B176:L194" xr:uid="{B9CD8745-CBB9-4D79-9BAF-F57BEC1179EF}"/>
  <sortState xmlns:xlrd2="http://schemas.microsoft.com/office/spreadsheetml/2017/richdata2" ref="B177:L194">
    <sortCondition descending="1" ref="K176:K194"/>
  </sortState>
  <tableColumns count="11">
    <tableColumn id="1" xr3:uid="{00C1C274-B9F2-4138-8A84-41E0C2610D10}" name="Hersteller - LUFT-WASSER" dataDxfId="119"/>
    <tableColumn id="2" xr3:uid="{135F0559-D272-41AB-8A74-0B5D157038A2}" name="Typ" dataDxfId="118"/>
    <tableColumn id="3" xr3:uid="{0F298C6D-C472-4FA0-8869-55DEAE247EC2}" name="Leist.1" dataDxfId="117"/>
    <tableColumn id="4" xr3:uid="{5F432094-E453-4AF5-9187-9D2920AB2583}" name="ETA35" dataDxfId="116"/>
    <tableColumn id="5" xr3:uid="{7E46609C-9D71-4A99-BA02-625FAE64AD21}" name="Leist.2" dataDxfId="115"/>
    <tableColumn id="6" xr3:uid="{D332005F-C984-4BF2-B1AC-2505A4D0BC73}" name="ETA55" dataDxfId="114"/>
    <tableColumn id="7" xr3:uid="{D4C90C0B-4026-4CED-BDEA-7A4C0F4D93F3}" name="KM" dataDxfId="113"/>
    <tableColumn id="8" xr3:uid="{429C89C5-3467-450D-9C34-9430EDF99C1C}" name="Netz" dataDxfId="112"/>
    <tableColumn id="9" xr3:uid="{D921B05C-F7F1-4511-96E6-F092BCB35554}" name="EE" dataDxfId="111"/>
    <tableColumn id="10" xr3:uid="{9072EDD1-A264-46F1-B3FB-FB503D6DE568}" name="SCOP" dataDxfId="110"/>
    <tableColumn id="11" xr3:uid="{2D82A597-AE8A-4D1E-9C98-F9E6EC25E2E2}" name="Verbr." dataDxfId="10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64D729-A815-47A7-9624-080B1D121CE9}" name="Tabelle_S8" displayName="Tabelle_S8" ref="B348:L363" totalsRowShown="0" headerRowDxfId="108" dataDxfId="107" tableBorderDxfId="106">
  <autoFilter ref="B348:L363" xr:uid="{E164D729-A815-47A7-9624-080B1D121CE9}"/>
  <sortState xmlns:xlrd2="http://schemas.microsoft.com/office/spreadsheetml/2017/richdata2" ref="B349:L352">
    <sortCondition descending="1" ref="K330:K334"/>
  </sortState>
  <tableColumns count="11">
    <tableColumn id="1" xr3:uid="{1B8274F5-A71F-4406-B052-B9B2A0C29067}" name="Hersteller - SOLE" dataDxfId="105"/>
    <tableColumn id="2" xr3:uid="{872A9D46-EDCF-426B-8A29-637E56B67B2D}" name="Typ" dataDxfId="104"/>
    <tableColumn id="3" xr3:uid="{761F9101-313F-45EA-9D56-1347BACF4BAF}" name="Leist.1" dataDxfId="103"/>
    <tableColumn id="4" xr3:uid="{75777B5B-E495-412C-A1A0-5B5BF9A14B00}" name="ETA35" dataDxfId="102"/>
    <tableColumn id="5" xr3:uid="{3325CD72-3913-4A57-9D11-D4DE182F5A1A}" name="Leist.2" dataDxfId="101"/>
    <tableColumn id="6" xr3:uid="{E20903A3-DA53-40EB-A2E7-CB1CD85342AD}" name="ETA55" dataDxfId="100"/>
    <tableColumn id="7" xr3:uid="{8984A1A7-D7E1-4CEF-9E9F-F5E6A71EED94}" name="KM" dataDxfId="99"/>
    <tableColumn id="8" xr3:uid="{7BDC0E16-58FC-44D1-AD8C-B856EBC032B4}" name="Netz" dataDxfId="98"/>
    <tableColumn id="9" xr3:uid="{6FD446FE-D882-4899-B077-C878ADB3BAFF}" name="EE" dataDxfId="97"/>
    <tableColumn id="10" xr3:uid="{F9C8E7BC-0920-40E8-BF7F-6B1D9F425FFB}" name="SCOP" dataDxfId="96"/>
    <tableColumn id="11" xr3:uid="{9D34FF48-A77C-4255-BFD0-8DF84D80FE90}" name="Verbr." dataDxfId="95"/>
  </tableColumns>
  <tableStyleInfo name="TableStyleMedium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262CB-E4BB-4279-AC30-3213B6F57098}" name="Tabelle10532" displayName="Tabelle10532" ref="B5:Q48" totalsRowShown="0" headerRowDxfId="94" dataDxfId="93" tableBorderDxfId="92">
  <autoFilter ref="B5:Q48" xr:uid="{049262CB-E4BB-4279-AC30-3213B6F57098}"/>
  <sortState xmlns:xlrd2="http://schemas.microsoft.com/office/spreadsheetml/2017/richdata2" ref="B6:Q48">
    <sortCondition descending="1" ref="D5:D48"/>
  </sortState>
  <tableColumns count="16">
    <tableColumn id="1" xr3:uid="{8F913C26-54A1-4155-96B2-10ACAC97F0B8}" name="Schichtenspeicher                mit SPF-Zertifikat" dataDxfId="91"/>
    <tableColumn id="15" xr3:uid="{D61F49D0-EDDE-4F67-9105-82C2D0DB4A3F}" name="Effizienz  Klasse" dataDxfId="90"/>
    <tableColumn id="9" xr3:uid="{5F518193-78B4-4074-B3BF-837D63AEE916}" name="5 kW ohne     WW-Fenster" dataDxfId="89">
      <calculatedColumnFormula>Tabelle10532[[#This Row],[15 kW mit WW-F.]]*1.1-0.04</calculatedColumnFormula>
    </tableColumn>
    <tableColumn id="13" xr3:uid="{5EB7CEC5-8D1F-463F-8AC6-CF74A12CDE49}" name="X" dataDxfId="88"/>
    <tableColumn id="2" xr3:uid="{3D8C9F4E-DE9D-47A7-A588-5F34C7F90C76}" name="8 kW" dataDxfId="87"/>
    <tableColumn id="8" xr3:uid="{C113154E-2958-45B8-B8AA-37DBBBBB7842}" name="10 kW" dataDxfId="86"/>
    <tableColumn id="3" xr3:uid="{75E05164-6CA7-4C35-90F2-1C9491E346B6}" name="12 kW" dataDxfId="85"/>
    <tableColumn id="7" xr3:uid="{353F4CA8-61E6-47FD-AF8D-D9FB2ABB743F}" name="15 kW" dataDxfId="84"/>
    <tableColumn id="14" xr3:uid="{DB55E578-ECA0-4E53-9A8F-183DBA22C5CA}" name="15 kW mit WW-F." dataDxfId="83">
      <calculatedColumnFormula>Tabelle10532[[#This Row],[16 kW]]+(Tabelle10532[[#This Row],[8 kW]]-Tabelle10532[[#This Row],[16 kW]])/8</calculatedColumnFormula>
    </tableColumn>
    <tableColumn id="6" xr3:uid="{6B527530-F67B-4E15-8F09-035C75656739}" name="16 kW" dataDxfId="82"/>
    <tableColumn id="4" xr3:uid="{FD621138-6144-408B-848B-981BD7257C9B}" name="WW-Fenster" dataDxfId="81"/>
    <tableColumn id="10" xr3:uid="{F4A5FB35-0AB6-4436-842F-87573D84D429}" name="Warmhalte-verl. (W)" dataDxfId="80"/>
    <tableColumn id="5" xr3:uid="{DFE3FB63-62C4-42C3-8EC5-120266B2A100}" name="Volumen  Liter" dataDxfId="79"/>
    <tableColumn id="11" xr3:uid="{03A92606-4D6B-4700-9633-70551AB2603E}" name="% pro kWh" dataDxfId="78"/>
    <tableColumn id="12" xr3:uid="{5FE4300B-B7C7-4576-BE08-711CA71EE8D9}" name="Umrechnung mit/ohne   WW-Fenster" dataDxfId="77">
      <calculatedColumnFormula>IF(Tabelle10532[[#This Row],[WW-Fenster]]="Nein",1,0.9)</calculatedColumnFormula>
    </tableColumn>
    <tableColumn id="16" xr3:uid="{239B7A6C-E09A-4367-A930-E81C709723DD}" name="Speicher-Verluste" dataDxfId="76">
      <calculatedColumnFormula>1-Tabelle10532[[#This Row],[5 kW ohne     WW-Fenster]]</calculatedColumnFormula>
    </tableColumn>
  </tableColumns>
  <tableStyleInfo name="TableStyleDark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1B6E60-2678-4246-A396-9187DF281CEF}" name="Tabelle722" displayName="Tabelle722" ref="F15:H18" totalsRowShown="0" headerRowDxfId="75" dataDxfId="74">
  <autoFilter ref="F15:H18" xr:uid="{821B6E60-2678-4246-A396-9187DF281CEF}"/>
  <tableColumns count="3">
    <tableColumn id="2" xr3:uid="{0EB2C515-1916-4E9D-A74F-843D3472CEE3}" name="Art des" dataDxfId="73"/>
    <tableColumn id="3" xr3:uid="{F73FF562-A697-47A8-AFD7-986A97D917C4}" name="…" dataDxfId="72"/>
    <tableColumn id="4" xr3:uid="{23AD076F-10D2-4AC3-AB23-27EF43E85F08}" name="Verlust" dataDxfId="7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83E67D0-49F2-4FA9-A56B-997B3A9D9E8C}" name="Tabelle_L2" displayName="Tabelle_L2" ref="B30:L49" totalsRowShown="0" headerRowDxfId="306" dataDxfId="305">
  <autoFilter ref="B30:L49" xr:uid="{E83E67D0-49F2-4FA9-A56B-997B3A9D9E8C}"/>
  <tableColumns count="11">
    <tableColumn id="1" xr3:uid="{959A0554-B159-4FFC-BF46-A932A21F1EF2}" name="Hersteller - LUFT-WASSER" dataDxfId="304"/>
    <tableColumn id="2" xr3:uid="{2152BF83-3E45-40D5-9406-83E40EDE7C99}" name="Typ" dataDxfId="303"/>
    <tableColumn id="3" xr3:uid="{854B0919-2D07-4767-9D74-A68D919C654B}" name="Leist.1" dataDxfId="302"/>
    <tableColumn id="4" xr3:uid="{BF353B77-9454-41D2-BE4F-21BF33C456E9}" name="ETA35" dataDxfId="301"/>
    <tableColumn id="5" xr3:uid="{49CD2233-4589-4DD8-A760-7CAA3A44D286}" name="Leist.2" dataDxfId="300"/>
    <tableColumn id="6" xr3:uid="{514D6EF2-CB20-455B-BAB3-B9291D6EE66B}" name="ETA55" dataDxfId="299"/>
    <tableColumn id="7" xr3:uid="{E1250E05-A4D3-4C41-AB6C-9EAEA3C16603}" name="KM" dataDxfId="298"/>
    <tableColumn id="8" xr3:uid="{F32A3194-367C-43A0-A5A6-B5CE8D7F28B5}" name="Netz" dataDxfId="297"/>
    <tableColumn id="9" xr3:uid="{DE1B0240-E4BA-4053-9616-30BC793E2E21}" name="EE" dataDxfId="296"/>
    <tableColumn id="11" xr3:uid="{A43B461C-8F12-440B-828D-0CC3C2149368}" name="SCOP 80/20" dataDxfId="295"/>
    <tableColumn id="12" xr3:uid="{5E1C4C65-FC72-4424-9601-9ABFFD23863F}" name="Verbr." dataDxfId="29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DF0FDF8-10BA-444F-A555-0B3326C95158}" name="Tabelle823" displayName="Tabelle823" ref="I15:L20" totalsRowShown="0" headerRowDxfId="70" dataDxfId="69">
  <autoFilter ref="I15:L20" xr:uid="{CDF0FDF8-10BA-444F-A555-0B3326C95158}"/>
  <tableColumns count="4">
    <tableColumn id="1" xr3:uid="{3D0DF5E1-FBD8-48F0-8836-7A09BE2718DA}" name="WW" dataDxfId="68"/>
    <tableColumn id="2" xr3:uid="{D50D1C66-F8D7-446E-BBD0-1171BCD3CD4F}" name="Verbrauch" dataDxfId="67"/>
    <tableColumn id="3" xr3:uid="{97473785-978A-4771-BC09-A939F705FDCC}" name="kWh" dataDxfId="66"/>
    <tableColumn id="4" xr3:uid="{249D819B-EE70-4E8F-B8A5-50686B3A6B7C}" name="pro Jahr" dataDxfId="65"/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251ECDA-195A-481E-9339-63858B60BBF8}" name="Speicher" displayName="Speicher" ref="F23:F62" totalsRowShown="0" headerRowDxfId="64" dataDxfId="63">
  <autoFilter ref="F23:F62" xr:uid="{C251ECDA-195A-481E-9339-63858B60BBF8}"/>
  <sortState xmlns:xlrd2="http://schemas.microsoft.com/office/spreadsheetml/2017/richdata2" ref="F24:F62">
    <sortCondition ref="F23:F62"/>
  </sortState>
  <tableColumns count="1">
    <tableColumn id="1" xr3:uid="{CB658B9C-7E91-4420-BE76-18AFA3CF0905}" name="Speicher" dataDxfId="62"/>
  </tableColumns>
  <tableStyleInfo name="TableStyleDark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0E4485D-879F-4F2B-BB89-7FA1CD11353A}" name="Tabelle26" displayName="Tabelle26" ref="I24:I26" totalsRowShown="0" headerRowDxfId="61" dataDxfId="60">
  <autoFilter ref="I24:I26" xr:uid="{50E4485D-879F-4F2B-BB89-7FA1CD11353A}"/>
  <tableColumns count="1">
    <tableColumn id="1" xr3:uid="{C43FE8D4-D0AA-48EF-988E-3550DB2B7F4C}" name="Wärmepumpe" dataDxfId="59"/>
  </tableColumns>
  <tableStyleInfo name="TableStyleDark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943ED31-0E3C-4D2F-B7F8-605438826386}" name="Tabelle27" displayName="Tabelle27" ref="I29:I32" totalsRowShown="0" headerRowDxfId="58" dataDxfId="57">
  <autoFilter ref="I29:I32" xr:uid="{1943ED31-0E3C-4D2F-B7F8-605438826386}"/>
  <tableColumns count="1">
    <tableColumn id="1" xr3:uid="{D3CC5A48-DB6D-4F30-8CE9-D7C3FCA4BE94}" name="Spalte1" dataDxfId="56"/>
  </tableColumns>
  <tableStyleInfo name="TableStyleDark3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E18D276-AD76-4722-8FB9-F6CCD919C25F}" name="Tabelle2029" displayName="Tabelle2029" ref="A15:E21" totalsRowShown="0" headerRowDxfId="55" dataDxfId="54" tableBorderDxfId="53">
  <autoFilter ref="A15:E21" xr:uid="{BE18D276-AD76-4722-8FB9-F6CCD919C25F}"/>
  <tableColumns count="5">
    <tableColumn id="1" xr3:uid="{F688AA61-2B7B-4909-95A6-44D826BE1B8D}" name="Brennstoff" dataDxfId="52"/>
    <tableColumn id="2" xr3:uid="{347EE715-C31D-4BF7-9E39-3E7CEFA72B05}" name="kWh" dataDxfId="51"/>
    <tableColumn id="3" xr3:uid="{314D0A90-938C-43E0-A6F1-EFAE11870708}" name="Preis" dataDxfId="50"/>
    <tableColumn id="4" xr3:uid="{E98060E3-ABFC-434C-9D91-AD73C15AA391}" name="Einheit" dataDxfId="49"/>
    <tableColumn id="5" xr3:uid="{8D47106A-FE3B-4F40-AFFC-4929518CCB04}" name="Hzg." dataDxfId="48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9F4B632-B8E6-4471-9D8C-2BFE6B45913E}" name="Luft_Wasser" displayName="Luft_Wasser" ref="K43:K51" totalsRowShown="0" headerRowDxfId="47" dataDxfId="46">
  <autoFilter ref="K43:K51" xr:uid="{29F4B632-B8E6-4471-9D8C-2BFE6B45913E}"/>
  <tableColumns count="1">
    <tableColumn id="1" xr3:uid="{61A703AB-E3CF-4555-97E6-B8D4DBC6DB8B}" name="Luft_Wasser" dataDxfId="45"/>
  </tableColumns>
  <tableStyleInfo name="TableStyleMedium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D564B55-6174-492F-9F90-FF39C3FB4773}" name="Art_WP" displayName="Art_WP" ref="A60:A62" totalsRowShown="0" headerRowDxfId="44" dataDxfId="43">
  <autoFilter ref="A60:A62" xr:uid="{2D564B55-6174-492F-9F90-FF39C3FB4773}"/>
  <tableColumns count="1">
    <tableColumn id="1" xr3:uid="{CBA18568-3712-4212-ACAE-F8CF2ED41A9D}" name="Art _WP" dataDxfId="42"/>
  </tableColumns>
  <tableStyleInfo name="TableStyleMedium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9B89E12-524C-4EBD-A751-425D0A5C3E8A}" name="Sole" displayName="Sole" ref="L43:M51" totalsRowShown="0" headerRowDxfId="41" dataDxfId="40">
  <autoFilter ref="L43:M51" xr:uid="{79B89E12-524C-4EBD-A751-425D0A5C3E8A}"/>
  <tableColumns count="2">
    <tableColumn id="2" xr3:uid="{4DD4629E-1672-4465-BF05-327F684FAE2D}" name="Spalte1" dataDxfId="39"/>
    <tableColumn id="1" xr3:uid="{EF199D68-BB6E-41A0-B924-0DF37011825F}" name="Sole" dataDxfId="38"/>
  </tableColumns>
  <tableStyleInfo name="TableStyleMedium8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D85D10-0FF3-45B3-B48D-BE2FE7D82D67}" name="Tabelle4" displayName="Tabelle4" ref="A22:D58" totalsRowShown="0" headerRowDxfId="37" dataDxfId="36">
  <autoFilter ref="A22:D58" xr:uid="{71D85D10-0FF3-45B3-B48D-BE2FE7D82D67}"/>
  <tableColumns count="4">
    <tableColumn id="1" xr3:uid="{46CD037B-9CF2-4FCC-9CC6-4A12DCB596AB}" name="VL-T" dataDxfId="35"/>
    <tableColumn id="2" xr3:uid="{6EFF4DBA-46A6-467D-863D-96C9FEA83BB3}" name="Gr.35" dataDxfId="34"/>
    <tableColumn id="3" xr3:uid="{003AF525-F763-4E7E-B396-EFFB36067E6C}" name="Gr.55" dataDxfId="33"/>
    <tableColumn id="5" xr3:uid="{E9E47A66-A5A8-4FB2-8A97-C29EC01C5C9D}" name="Gr.56" dataDxfId="32"/>
  </tableColumns>
  <tableStyleInfo name="TableStyleMedium1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10FCF0D-9C0A-4512-8391-E72831F2BA0D}" name="Tabelle9" displayName="Tabelle9" ref="I34:J58" totalsRowShown="0" headerRowDxfId="31" dataDxfId="30">
  <autoFilter ref="I34:J58" xr:uid="{710FCF0D-9C0A-4512-8391-E72831F2BA0D}"/>
  <tableColumns count="2">
    <tableColumn id="1" xr3:uid="{9D74C3BB-1696-4F6F-9DA2-A67D6654D26F}" name="Spalte1" dataDxfId="29"/>
    <tableColumn id="2" xr3:uid="{A4A48FA5-B2CA-49BF-8976-6B13E4D496F4}" name="Spalte2" dataDxfId="28"/>
  </tableColumns>
  <tableStyleInfo name="TableStyleDark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9D80D7E-A52F-4FC8-AE93-1EEF6507B718}" name="Tabelle_L3" displayName="Tabelle_L3" ref="B77:L103" totalsRowShown="0" headerRowDxfId="293" dataDxfId="292">
  <autoFilter ref="B77:L103" xr:uid="{89D80D7E-A52F-4FC8-AE93-1EEF6507B718}"/>
  <sortState xmlns:xlrd2="http://schemas.microsoft.com/office/spreadsheetml/2017/richdata2" ref="B78:L103">
    <sortCondition descending="1" ref="K77:K103"/>
  </sortState>
  <tableColumns count="11">
    <tableColumn id="1" xr3:uid="{302D12A0-B3DA-4A30-94E1-88C58DF4DEDB}" name="Hersteller - LUFT-WASSER" dataDxfId="291"/>
    <tableColumn id="2" xr3:uid="{970BEBB8-10B2-4CC9-B2D5-161FEB40533C}" name="Typ" dataDxfId="290"/>
    <tableColumn id="3" xr3:uid="{AD302E33-4E32-4A03-A0A7-4CB969A520E9}" name="Leist.1" dataDxfId="289"/>
    <tableColumn id="4" xr3:uid="{E31FABAF-BD03-4CF9-97CB-1085FE60CD78}" name="ETA35" dataDxfId="288"/>
    <tableColumn id="5" xr3:uid="{CFFF6CEE-054D-43F0-9FBA-BA29977B4FD3}" name="Leist.2" dataDxfId="287"/>
    <tableColumn id="6" xr3:uid="{12A4E034-B8FE-48E2-83F5-9B0BBAF5A6E7}" name="ETA55" dataDxfId="286"/>
    <tableColumn id="7" xr3:uid="{0A3A9D20-A633-48F4-9EA4-67BA6871C119}" name="KM" dataDxfId="285"/>
    <tableColumn id="8" xr3:uid="{CD8CE780-F6D1-4DE8-933B-948AED2184CE}" name="Netz" dataDxfId="284"/>
    <tableColumn id="9" xr3:uid="{0EFA6308-D5AE-4521-9434-0C258F59FBBB}" name="EE" dataDxfId="283"/>
    <tableColumn id="11" xr3:uid="{F88694C9-AC75-4CC1-A24C-D7EF2B268825}" name="SCOP 80/20" dataDxfId="282"/>
    <tableColumn id="12" xr3:uid="{121A4925-8EF3-4515-90E5-ED175EB1F50D}" name="Verbr." dataDxfId="28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64E0D82-7381-4244-BAF8-A062A6F112A4}" name="Tabelle_L4" displayName="Tabelle_L4" ref="B106:L128" totalsRowShown="0" headerRowDxfId="280" dataDxfId="279">
  <autoFilter ref="B106:L128" xr:uid="{664E0D82-7381-4244-BAF8-A062A6F112A4}"/>
  <sortState xmlns:xlrd2="http://schemas.microsoft.com/office/spreadsheetml/2017/richdata2" ref="B107:L128">
    <sortCondition descending="1" ref="K106:K128"/>
  </sortState>
  <tableColumns count="11">
    <tableColumn id="1" xr3:uid="{9A1C31B7-66E0-4668-A8D7-4D045AD5E950}" name="Hersteller - LUFT-WASSER" dataDxfId="278"/>
    <tableColumn id="2" xr3:uid="{DCE9C96B-BF64-46C8-A541-8B9C82E25272}" name="Typ" dataDxfId="277"/>
    <tableColumn id="3" xr3:uid="{6AF547AA-D8B6-44EB-92B8-4A52F0A55081}" name="Leist.1" dataDxfId="276"/>
    <tableColumn id="4" xr3:uid="{CB117C2A-F13F-47C9-8687-B55FCA1D4355}" name="ETA35" dataDxfId="275"/>
    <tableColumn id="5" xr3:uid="{E38006A1-BB32-4692-9B42-C77147E40EFE}" name="Leist.2" dataDxfId="274"/>
    <tableColumn id="6" xr3:uid="{9F9D2B2A-FA1B-42A2-8FFB-1611CA9BDE52}" name="ETA55" dataDxfId="273"/>
    <tableColumn id="7" xr3:uid="{C1A5ED34-60E9-47E7-A1FE-F462039FFB48}" name="KM" dataDxfId="272"/>
    <tableColumn id="8" xr3:uid="{18E395FD-4B11-4836-B096-981121A990CB}" name="Netz" dataDxfId="271"/>
    <tableColumn id="9" xr3:uid="{2F7FC164-945A-403E-9FEB-4FAB99633236}" name="EE" dataDxfId="270"/>
    <tableColumn id="11" xr3:uid="{8A34E181-A4A1-4F66-8521-D82841B61B3B}" name="SCOP 80/20" dataDxfId="269"/>
    <tableColumn id="12" xr3:uid="{816E08B0-5E1B-477C-B0E3-CD1D86619E8B}" name="Verbr." dataDxfId="26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62DA6B8-4A68-4A64-8974-7674120867DD}" name="Tabelle_L5" displayName="Tabelle_L5" ref="B131:L154" totalsRowShown="0" headerRowDxfId="267" dataDxfId="266">
  <autoFilter ref="B131:L154" xr:uid="{762DA6B8-4A68-4A64-8974-7674120867DD}"/>
  <sortState xmlns:xlrd2="http://schemas.microsoft.com/office/spreadsheetml/2017/richdata2" ref="B132:L156">
    <sortCondition descending="1" ref="K131:K156"/>
  </sortState>
  <tableColumns count="11">
    <tableColumn id="1" xr3:uid="{2BA78B3D-9BA4-495F-93C6-11A0D32CB1D0}" name="Hersteller - LUFT-WASSER" dataDxfId="265"/>
    <tableColumn id="2" xr3:uid="{0CB09B86-69CE-48EC-BF95-D135F4CC2E57}" name="Typ" dataDxfId="264"/>
    <tableColumn id="3" xr3:uid="{C18620FC-1953-4C67-8E82-35FDEE9C485F}" name="Leist.1" dataDxfId="263"/>
    <tableColumn id="4" xr3:uid="{47B6367B-DF0F-4ACA-BEE0-9A7ED257A4DB}" name="ETA35" dataDxfId="262"/>
    <tableColumn id="5" xr3:uid="{BA53C14C-16CD-4882-B7A0-ED2641694A2E}" name="Leist.2" dataDxfId="261"/>
    <tableColumn id="6" xr3:uid="{64CE5A83-79E7-4F6A-9D2E-1701081F5D5E}" name="ETA55" dataDxfId="260"/>
    <tableColumn id="7" xr3:uid="{DACAC1A1-3CEC-40CF-8316-1DAFE8166B8F}" name="KM" dataDxfId="259"/>
    <tableColumn id="8" xr3:uid="{37DC8D7E-1498-4901-BCFD-CF3C1288969A}" name="Netz" dataDxfId="258"/>
    <tableColumn id="9" xr3:uid="{574F020A-A5F2-46B7-84C4-22DFAF421A0F}" name="EE" dataDxfId="257"/>
    <tableColumn id="11" xr3:uid="{748FBE69-711D-42C3-9CED-F37F144D6764}" name="SCOP 80/20" dataDxfId="256"/>
    <tableColumn id="12" xr3:uid="{5ACD16D3-9D5B-4D26-8BB3-76900B99D727}" name="Verbr." dataDxfId="2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1B3DF44-7F7D-4509-B2F5-15CEC6C3DD39}" name="Tabelle_L6" displayName="Tabelle_L6" ref="B157:L173" totalsRowShown="0" headerRowDxfId="254" dataDxfId="253">
  <autoFilter ref="B157:L173" xr:uid="{51B3DF44-7F7D-4509-B2F5-15CEC6C3DD39}"/>
  <sortState xmlns:xlrd2="http://schemas.microsoft.com/office/spreadsheetml/2017/richdata2" ref="B158:L173">
    <sortCondition descending="1" ref="K157:K173"/>
  </sortState>
  <tableColumns count="11">
    <tableColumn id="1" xr3:uid="{76E16ADA-320D-402C-B26F-75B4989903AD}" name="Hersteller - LUFT-WASSER" dataDxfId="252"/>
    <tableColumn id="2" xr3:uid="{690F39BD-ABF8-4FC2-AECE-60C519937D5A}" name="Typ" dataDxfId="251"/>
    <tableColumn id="3" xr3:uid="{BADDA956-00A2-47AD-A0A4-3CE86A87336C}" name="Leist.1" dataDxfId="250"/>
    <tableColumn id="4" xr3:uid="{538EF0D5-2ED2-4DB0-9FE4-4F2EE6B99DC9}" name="ETA35" dataDxfId="249"/>
    <tableColumn id="5" xr3:uid="{4C63DB7A-31FE-4BA1-9C68-96577D265540}" name="Leist.2" dataDxfId="248"/>
    <tableColumn id="6" xr3:uid="{2DA28FCA-7552-4EE6-ADC9-FF1E3ECF4477}" name="ETA55" dataDxfId="247"/>
    <tableColumn id="7" xr3:uid="{1ABC3776-80B0-40E5-B5BA-5B7EC8BA40DA}" name="KM" dataDxfId="246"/>
    <tableColumn id="8" xr3:uid="{4626C1B3-CA7B-4A6D-9875-50607ADF464D}" name="Netz" dataDxfId="245"/>
    <tableColumn id="9" xr3:uid="{A616BFE7-0D16-4D0D-AB13-0A04F04B172C}" name="EE" dataDxfId="244"/>
    <tableColumn id="10" xr3:uid="{344F18CA-C017-4E6B-8D2B-44132A623655}" name="SCOP" dataDxfId="1">
      <calculatedColumnFormula>IFERROR((Tabelle_L6[[#This Row],[ETA35]]*0.8+Tabelle_L6[[#This Row],[ETA55]]*0.2)*2.5,"n.a.")</calculatedColumnFormula>
    </tableColumn>
    <tableColumn id="11" xr3:uid="{2983C919-CF31-48A4-8D9C-695839BF920F}" name="Verbr." dataDxfId="0">
      <calculatedColumnFormula>IFERROR((5.36-Tabelle_L6[[#This Row],[SCOP]])/Tabelle_L6[[#This Row],[SCOP]],"n.a.")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FECCB3F-8CDA-442B-8EFA-5754EA796B55}" name="Tabelle_S1" displayName="Tabelle_S1" ref="B199:L212" totalsRowShown="0" headerRowDxfId="243" dataDxfId="241" headerRowBorderDxfId="242" tableBorderDxfId="240">
  <autoFilter ref="B199:L212" xr:uid="{AFECCB3F-8CDA-442B-8EFA-5754EA796B55}"/>
  <sortState xmlns:xlrd2="http://schemas.microsoft.com/office/spreadsheetml/2017/richdata2" ref="B200:L201">
    <sortCondition descending="1" ref="K199:K201"/>
  </sortState>
  <tableColumns count="11">
    <tableColumn id="1" xr3:uid="{A46C1CB2-63E6-4022-9CC2-9ECD52A317FF}" name="Hersteller - SOLE" dataDxfId="239"/>
    <tableColumn id="2" xr3:uid="{B51C1EF4-CA30-4726-8C69-68E1257E9CD3}" name="Typ" dataDxfId="238"/>
    <tableColumn id="3" xr3:uid="{EF9F7AF9-7D49-415A-A793-5BA2A72925F5}" name="Leist.1" dataDxfId="237"/>
    <tableColumn id="4" xr3:uid="{392747E0-D702-4BDF-A2E1-6A669C9E35C6}" name="ETA35" dataDxfId="236"/>
    <tableColumn id="5" xr3:uid="{807FEB4F-3286-460F-8AFC-77B2FD83A8F6}" name="Leist.2" dataDxfId="235"/>
    <tableColumn id="6" xr3:uid="{D37C30D5-6DF8-44F5-8B5C-E0AC2C83C969}" name="ETA55" dataDxfId="234"/>
    <tableColumn id="7" xr3:uid="{036C6C47-E381-4C3E-9239-3D0B54AFBB7A}" name="KM" dataDxfId="233"/>
    <tableColumn id="8" xr3:uid="{4DE09FB1-AB83-487C-BDCC-D2DA70517D1A}" name="Netz" dataDxfId="232"/>
    <tableColumn id="9" xr3:uid="{5DC73DD8-0AB0-4DC7-B8E2-357A6291F8A3}" name="EE" dataDxfId="231"/>
    <tableColumn id="10" xr3:uid="{454DF78E-8220-4E7D-BA40-0CF911BC8AB4}" name="SCOP" dataDxfId="230">
      <calculatedColumnFormula>IFERROR((Tabelle_S1[[#This Row],[ETA35]]*0.8+Tabelle_S1[[#This Row],[ETA55]]*0.2)*0.025,"n.a.")</calculatedColumnFormula>
    </tableColumn>
    <tableColumn id="11" xr3:uid="{AD5AA3C8-1126-4E33-A372-5EA7E746027E}" name="Verbr." dataDxfId="229">
      <calculatedColumnFormula>IFERROR((5.99-Tabelle_S1[[#This Row],[SCOP]])/Tabelle_S1[[#This Row],[SCOP]],"n.a.")</calculatedColumn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0BE99C9-76C0-4686-9935-5F272C157931}" name="Tabelle_S2" displayName="Tabelle_S2" ref="B215:L236" totalsRowShown="0" headerRowDxfId="228" dataDxfId="226" headerRowBorderDxfId="227" tableBorderDxfId="225">
  <autoFilter ref="B215:L236" xr:uid="{90BE99C9-76C0-4686-9935-5F272C157931}"/>
  <sortState xmlns:xlrd2="http://schemas.microsoft.com/office/spreadsheetml/2017/richdata2" ref="B216:L225">
    <sortCondition descending="1" ref="K215:K225"/>
  </sortState>
  <tableColumns count="11">
    <tableColumn id="1" xr3:uid="{7CA4F0AA-C8E7-46BC-89D9-369270620C9F}" name="Hersteller - SOLE" dataDxfId="224"/>
    <tableColumn id="2" xr3:uid="{0C026E97-4980-4F63-81C1-63993BFC7B17}" name="Typ" dataDxfId="223"/>
    <tableColumn id="3" xr3:uid="{3B470B15-CB59-48ED-8012-42C6923A7C46}" name="Leist.1" dataDxfId="222"/>
    <tableColumn id="4" xr3:uid="{790301F6-E88B-4C26-8A41-4C6B4BB76E9E}" name="ETA35" dataDxfId="221"/>
    <tableColumn id="5" xr3:uid="{3B1010CC-8AA8-44F5-9DD3-EACD7A691803}" name="Leist.2" dataDxfId="220"/>
    <tableColumn id="6" xr3:uid="{11BC123B-67AF-4310-980A-A4C9FD370BE2}" name="ETA55" dataDxfId="219"/>
    <tableColumn id="7" xr3:uid="{4F65EA2A-9DBF-42EC-934C-F1472A8D1669}" name="KM" dataDxfId="218"/>
    <tableColumn id="8" xr3:uid="{BB75DF90-ECE8-43C3-96D3-DE430BDD121C}" name="Netz" dataDxfId="217"/>
    <tableColumn id="9" xr3:uid="{BEA18FFE-3B24-4802-9483-C961EB24227D}" name="EE" dataDxfId="216"/>
    <tableColumn id="10" xr3:uid="{B3EF471E-57AF-4795-A7C6-F81E0BA6A26F}" name="SCOP" dataDxfId="215"/>
    <tableColumn id="11" xr3:uid="{D6594B88-EF23-465D-A292-C326F6F5EAA5}" name="Verbr." dataDxfId="214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46ACC36-43C9-4598-A849-ACA6CD832F04}" name="Tabelle_S3" displayName="Tabelle_S3" ref="B239:L263" totalsRowShown="0" headerRowDxfId="213" dataDxfId="212" tableBorderDxfId="211">
  <autoFilter ref="B239:L263" xr:uid="{346ACC36-43C9-4598-A849-ACA6CD832F04}"/>
  <sortState xmlns:xlrd2="http://schemas.microsoft.com/office/spreadsheetml/2017/richdata2" ref="B240:L249">
    <sortCondition descending="1" ref="K239:K249"/>
  </sortState>
  <tableColumns count="11">
    <tableColumn id="1" xr3:uid="{257D18A8-11CB-4FBC-BC33-8124A48DE67B}" name="Hersteller - SOLE" dataDxfId="210"/>
    <tableColumn id="2" xr3:uid="{2EBF7F2E-A06C-47B5-AFEC-CAA709298185}" name="Typ" dataDxfId="209"/>
    <tableColumn id="3" xr3:uid="{3F7E13E4-D2BB-4E86-8327-A9E591E4BC5F}" name="Leist.1" dataDxfId="208"/>
    <tableColumn id="4" xr3:uid="{0FB68E6A-EA22-40EF-AEE6-5DA868CD252F}" name="ETA35" dataDxfId="207"/>
    <tableColumn id="5" xr3:uid="{A13BAF6B-770C-4EE9-8EE5-0CC916253433}" name="Leist.2" dataDxfId="206"/>
    <tableColumn id="6" xr3:uid="{213F8406-8B47-4634-BAE1-8DA2EC9EA69B}" name="ETA55" dataDxfId="205"/>
    <tableColumn id="7" xr3:uid="{07F1ED60-D0D2-4831-8613-4D27085F2146}" name="KM" dataDxfId="204"/>
    <tableColumn id="8" xr3:uid="{2BFA5C9A-F04C-48CA-9EF8-E4799C1A05A0}" name="Netz" dataDxfId="203"/>
    <tableColumn id="9" xr3:uid="{DB71BBC6-34E0-4B3B-96D7-AE3C35A16A47}" name="EE" dataDxfId="202"/>
    <tableColumn id="10" xr3:uid="{9C1905BE-4FD4-4BEE-9E53-4FCBF04E1EF1}" name="SCOP" dataDxfId="201"/>
    <tableColumn id="11" xr3:uid="{A0FDD4FB-3B36-4BAB-8B92-36128809B190}" name="Verbr." dataDxfId="20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ropbox.com/scl/fi/scn6ao3y01legleno069b/normaussentemperaturen_-_oib-richtlinie_6_3.pdf?rlkey=cb95scgeee66atg2v9pfw9ejq&amp;st=08q8arud&amp;dl=0" TargetMode="External"/><Relationship Id="rId1" Type="http://schemas.openxmlformats.org/officeDocument/2006/relationships/hyperlink" Target="https://www.waermepumpe.de/normen-technik/klimakart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3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12" Type="http://schemas.openxmlformats.org/officeDocument/2006/relationships/table" Target="../tables/table29.xml"/><Relationship Id="rId2" Type="http://schemas.openxmlformats.org/officeDocument/2006/relationships/table" Target="../tables/table19.xml"/><Relationship Id="rId1" Type="http://schemas.openxmlformats.org/officeDocument/2006/relationships/drawing" Target="../drawings/drawing5.xml"/><Relationship Id="rId6" Type="http://schemas.openxmlformats.org/officeDocument/2006/relationships/table" Target="../tables/table23.xml"/><Relationship Id="rId11" Type="http://schemas.openxmlformats.org/officeDocument/2006/relationships/table" Target="../tables/table28.xml"/><Relationship Id="rId5" Type="http://schemas.openxmlformats.org/officeDocument/2006/relationships/table" Target="../tables/table22.xml"/><Relationship Id="rId10" Type="http://schemas.openxmlformats.org/officeDocument/2006/relationships/table" Target="../tables/table27.xml"/><Relationship Id="rId4" Type="http://schemas.openxmlformats.org/officeDocument/2006/relationships/table" Target="../tables/table21.xml"/><Relationship Id="rId9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63E2-FE5A-4C86-9BBE-C1C52C45EEB3}">
  <sheetPr codeName="Tabelle1"/>
  <dimension ref="A1:Z441"/>
  <sheetViews>
    <sheetView tabSelected="1" topLeftCell="A3" workbookViewId="0">
      <selection activeCell="N18" sqref="N18"/>
    </sheetView>
  </sheetViews>
  <sheetFormatPr baseColWidth="10" defaultRowHeight="14.5" x14ac:dyDescent="0.35"/>
  <sheetData>
    <row r="1" spans="1:26" ht="31" x14ac:dyDescent="0.7">
      <c r="A1" s="2"/>
      <c r="B1" s="417"/>
      <c r="C1" s="417"/>
      <c r="D1" s="417"/>
      <c r="E1" s="417"/>
      <c r="F1" s="417"/>
      <c r="G1" s="417"/>
      <c r="H1" s="41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" x14ac:dyDescent="0.7">
      <c r="A2" s="2"/>
      <c r="B2" s="417" t="s">
        <v>499</v>
      </c>
      <c r="C2" s="417"/>
      <c r="D2" s="417"/>
      <c r="E2" s="417"/>
      <c r="F2" s="417"/>
      <c r="G2" s="417"/>
      <c r="H2" s="41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" x14ac:dyDescent="0.7">
      <c r="A3" s="2"/>
      <c r="B3" s="417"/>
      <c r="C3" s="417"/>
      <c r="D3" s="417"/>
      <c r="E3" s="417"/>
      <c r="F3" s="417"/>
      <c r="G3" s="417"/>
      <c r="H3" s="41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" x14ac:dyDescent="0.7">
      <c r="A4" s="2"/>
      <c r="B4" s="417" t="s">
        <v>500</v>
      </c>
      <c r="C4" s="417"/>
      <c r="D4" s="417"/>
      <c r="E4" s="417"/>
      <c r="F4" s="417"/>
      <c r="G4" s="417"/>
      <c r="H4" s="41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" x14ac:dyDescent="0.7">
      <c r="A5" s="2"/>
      <c r="B5" s="417" t="s">
        <v>501</v>
      </c>
      <c r="C5" s="417"/>
      <c r="D5" s="417"/>
      <c r="E5" s="417"/>
      <c r="F5" s="417"/>
      <c r="G5" s="417"/>
      <c r="H5" s="41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" x14ac:dyDescent="0.7">
      <c r="A6" s="2"/>
      <c r="B6" s="417" t="s">
        <v>502</v>
      </c>
      <c r="C6" s="417"/>
      <c r="D6" s="417"/>
      <c r="E6" s="417"/>
      <c r="F6" s="417"/>
      <c r="G6" s="417"/>
      <c r="H6" s="4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" x14ac:dyDescent="0.7">
      <c r="A7" s="2"/>
      <c r="B7" s="417" t="s">
        <v>503</v>
      </c>
      <c r="C7" s="417"/>
      <c r="D7" s="417"/>
      <c r="E7" s="417"/>
      <c r="F7" s="417"/>
      <c r="G7" s="417"/>
      <c r="H7" s="41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" x14ac:dyDescent="0.7">
      <c r="A8" s="2"/>
      <c r="B8" s="417" t="s">
        <v>504</v>
      </c>
      <c r="C8" s="417"/>
      <c r="D8" s="417"/>
      <c r="E8" s="417"/>
      <c r="F8" s="417"/>
      <c r="G8" s="417"/>
      <c r="H8" s="4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" x14ac:dyDescent="0.7">
      <c r="A9" s="2"/>
      <c r="B9" s="417" t="s">
        <v>505</v>
      </c>
      <c r="C9" s="417"/>
      <c r="D9" s="417"/>
      <c r="E9" s="417"/>
      <c r="F9" s="417"/>
      <c r="G9" s="417"/>
      <c r="H9" s="4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" x14ac:dyDescent="0.7">
      <c r="A10" s="2"/>
      <c r="B10" s="417" t="s">
        <v>506</v>
      </c>
      <c r="C10" s="417"/>
      <c r="D10" s="417"/>
      <c r="E10" s="417"/>
      <c r="F10" s="417"/>
      <c r="G10" s="417"/>
      <c r="H10" s="41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" x14ac:dyDescent="0.7">
      <c r="A11" s="2"/>
      <c r="B11" s="417" t="s">
        <v>507</v>
      </c>
      <c r="C11" s="417"/>
      <c r="D11" s="417"/>
      <c r="E11" s="417"/>
      <c r="F11" s="417"/>
      <c r="G11" s="417"/>
      <c r="H11" s="41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" x14ac:dyDescent="0.7">
      <c r="A12" s="2"/>
      <c r="B12" s="417" t="s">
        <v>508</v>
      </c>
      <c r="C12" s="417"/>
      <c r="D12" s="417"/>
      <c r="E12" s="417"/>
      <c r="F12" s="417"/>
      <c r="G12" s="417"/>
      <c r="H12" s="41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" x14ac:dyDescent="0.7">
      <c r="A13" s="2"/>
      <c r="B13" s="417" t="s">
        <v>509</v>
      </c>
      <c r="C13" s="417"/>
      <c r="D13" s="417"/>
      <c r="E13" s="417"/>
      <c r="F13" s="417"/>
      <c r="G13" s="417"/>
      <c r="H13" s="4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" x14ac:dyDescent="0.7">
      <c r="A14" s="2"/>
      <c r="B14" s="417" t="s">
        <v>510</v>
      </c>
      <c r="C14" s="417"/>
      <c r="D14" s="417"/>
      <c r="E14" s="417"/>
      <c r="F14" s="417"/>
      <c r="G14" s="417"/>
      <c r="H14" s="4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" x14ac:dyDescent="0.7">
      <c r="A15" s="2"/>
      <c r="B15" s="417"/>
      <c r="C15" s="417"/>
      <c r="D15" s="417"/>
      <c r="E15" s="417"/>
      <c r="F15" s="417"/>
      <c r="G15" s="417"/>
      <c r="H15" s="41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" x14ac:dyDescent="0.7">
      <c r="A16" s="2"/>
      <c r="B16" s="417" t="s">
        <v>511</v>
      </c>
      <c r="C16" s="417"/>
      <c r="D16" s="417"/>
      <c r="E16" s="417"/>
      <c r="F16" s="417"/>
      <c r="G16" s="417"/>
      <c r="H16" s="41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566" t="s">
        <v>514</v>
      </c>
      <c r="L18" s="56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 t="s">
        <v>229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</sheetData>
  <sheetProtection algorithmName="SHA-512" hashValue="dcHUHTrS8vLox8mRibrMf9ZyPkSN9uAYMDCsyjIaF7o3FankJqkKLzd02Nysdd8SFbBN8SkPtT6045LC2PFpyQ==" saltValue="quaojGLx6TE4HrJbmV3Kaw==" spinCount="100000" sheet="1" objects="1" scenarios="1"/>
  <mergeCells count="1">
    <mergeCell ref="K18:L1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1778-ABEC-4042-AF77-01C937D14EAD}">
  <sheetPr codeName="Tabelle6"/>
  <dimension ref="A1:FZ237"/>
  <sheetViews>
    <sheetView topLeftCell="A66" zoomScaleNormal="100" workbookViewId="0">
      <selection activeCell="G58" sqref="G58"/>
    </sheetView>
  </sheetViews>
  <sheetFormatPr baseColWidth="10" defaultColWidth="10.7265625" defaultRowHeight="17.5" x14ac:dyDescent="0.35"/>
  <cols>
    <col min="1" max="2" width="3.1796875" style="10" customWidth="1"/>
    <col min="3" max="3" width="17.7265625" style="10" customWidth="1"/>
    <col min="4" max="4" width="15.1796875" style="10" customWidth="1"/>
    <col min="5" max="6" width="10.7265625" style="10"/>
    <col min="7" max="7" width="12.26953125" style="10" customWidth="1"/>
    <col min="8" max="8" width="11.54296875" style="10" bestFit="1" customWidth="1"/>
    <col min="9" max="9" width="14.54296875" style="10" customWidth="1"/>
    <col min="10" max="10" width="11.54296875" style="10" customWidth="1"/>
    <col min="11" max="11" width="16.453125" style="10" customWidth="1"/>
    <col min="12" max="12" width="14.453125" style="10" customWidth="1"/>
    <col min="13" max="14" width="10.453125" style="10" customWidth="1"/>
    <col min="15" max="15" width="9.81640625" style="10" customWidth="1"/>
    <col min="16" max="16" width="10.453125" style="10" customWidth="1"/>
    <col min="17" max="17" width="4.453125" style="10" customWidth="1"/>
    <col min="18" max="18" width="10.453125" style="10" customWidth="1"/>
    <col min="19" max="19" width="10.26953125" style="10" customWidth="1"/>
    <col min="20" max="20" width="6.453125" style="10" customWidth="1"/>
    <col min="21" max="22" width="7.7265625" style="10" customWidth="1"/>
    <col min="23" max="23" width="6.453125" style="10" customWidth="1"/>
    <col min="24" max="25" width="7.7265625" style="10" customWidth="1"/>
    <col min="26" max="26" width="6.453125" style="10" customWidth="1"/>
    <col min="27" max="28" width="7.7265625" style="10" customWidth="1"/>
    <col min="29" max="29" width="6.453125" style="10" customWidth="1"/>
    <col min="30" max="31" width="7.7265625" style="10" customWidth="1"/>
    <col min="32" max="32" width="6.453125" style="10" customWidth="1"/>
    <col min="33" max="34" width="7.7265625" style="10" customWidth="1"/>
    <col min="35" max="35" width="6.453125" style="10" customWidth="1"/>
    <col min="36" max="37" width="7.7265625" style="10" customWidth="1"/>
    <col min="38" max="48" width="10.7265625" style="10"/>
    <col min="49" max="50" width="10.7265625" style="10" customWidth="1"/>
    <col min="51" max="16384" width="10.7265625" style="10"/>
  </cols>
  <sheetData>
    <row r="1" spans="1:168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</row>
    <row r="2" spans="1:168" ht="17.5" customHeight="1" x14ac:dyDescent="0.35">
      <c r="A2" s="8"/>
      <c r="B2" s="8"/>
      <c r="C2" s="8"/>
      <c r="D2" s="592" t="s">
        <v>132</v>
      </c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</row>
    <row r="3" spans="1:168" ht="17.5" customHeight="1" x14ac:dyDescent="0.35">
      <c r="A3" s="8"/>
      <c r="B3" s="8"/>
      <c r="C3" s="9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</row>
    <row r="4" spans="1:168" ht="17.5" customHeight="1" x14ac:dyDescent="0.35">
      <c r="A4" s="8"/>
      <c r="B4" s="8"/>
      <c r="C4" s="9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</row>
    <row r="5" spans="1:168" ht="18" customHeight="1" x14ac:dyDescent="0.35">
      <c r="A5" s="8"/>
      <c r="B5" s="8"/>
      <c r="C5" s="8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8"/>
      <c r="P5" s="8"/>
      <c r="Q5" s="8"/>
      <c r="R5" s="8"/>
      <c r="S5" s="12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</row>
    <row r="6" spans="1:168" ht="24.65" customHeight="1" thickBot="1" x14ac:dyDescent="0.4">
      <c r="A6" s="8"/>
      <c r="B6" s="8"/>
      <c r="C6" s="8"/>
      <c r="D6" s="29"/>
      <c r="E6" s="29"/>
      <c r="F6" s="29"/>
      <c r="G6" s="29"/>
      <c r="H6" s="29"/>
      <c r="I6" s="29"/>
      <c r="J6" s="29"/>
      <c r="K6" s="29"/>
      <c r="L6" s="29"/>
      <c r="M6" s="29"/>
      <c r="N6" s="8"/>
      <c r="O6" s="8"/>
      <c r="P6" s="8"/>
      <c r="Q6" s="8"/>
      <c r="R6" s="8"/>
      <c r="S6" s="12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</row>
    <row r="7" spans="1:168" ht="5.15" customHeight="1" thickTop="1" x14ac:dyDescent="0.35">
      <c r="A7" s="8"/>
      <c r="B7" s="8"/>
      <c r="C7" s="7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34"/>
      <c r="P7" s="34"/>
      <c r="Q7" s="35"/>
      <c r="R7" s="8"/>
      <c r="S7" s="12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</row>
    <row r="8" spans="1:168" ht="22" customHeight="1" x14ac:dyDescent="0.35">
      <c r="A8" s="8"/>
      <c r="B8" s="8"/>
      <c r="C8" s="597" t="s">
        <v>133</v>
      </c>
      <c r="D8" s="598"/>
      <c r="E8" s="598"/>
      <c r="F8" s="598"/>
      <c r="G8" s="598"/>
      <c r="H8" s="598"/>
      <c r="I8" s="216">
        <v>-13</v>
      </c>
      <c r="J8" s="90"/>
      <c r="K8" s="91" t="s">
        <v>23</v>
      </c>
      <c r="L8" s="602" t="s">
        <v>470</v>
      </c>
      <c r="M8" s="603"/>
      <c r="N8" s="603"/>
      <c r="O8" s="603"/>
      <c r="P8" s="603"/>
      <c r="Q8" s="604"/>
      <c r="R8" s="8"/>
      <c r="S8" s="12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</row>
    <row r="9" spans="1:168" ht="22" customHeight="1" x14ac:dyDescent="0.35">
      <c r="A9" s="8"/>
      <c r="B9" s="8"/>
      <c r="C9" s="599" t="s">
        <v>115</v>
      </c>
      <c r="D9" s="600"/>
      <c r="E9" s="600"/>
      <c r="F9" s="600"/>
      <c r="G9" s="600"/>
      <c r="H9" s="600"/>
      <c r="I9" s="92"/>
      <c r="J9" s="90"/>
      <c r="K9" s="91" t="s">
        <v>24</v>
      </c>
      <c r="L9" s="605" t="s">
        <v>25</v>
      </c>
      <c r="M9" s="605"/>
      <c r="N9" s="605"/>
      <c r="O9" s="605"/>
      <c r="P9" s="605"/>
      <c r="Q9" s="606"/>
      <c r="R9" s="8"/>
      <c r="S9" s="12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</row>
    <row r="10" spans="1:168" ht="22" customHeight="1" x14ac:dyDescent="0.35">
      <c r="A10" s="8"/>
      <c r="B10" s="8"/>
      <c r="C10" s="608" t="s">
        <v>134</v>
      </c>
      <c r="D10" s="609"/>
      <c r="E10" s="609"/>
      <c r="F10" s="609"/>
      <c r="G10" s="609"/>
      <c r="H10" s="609"/>
      <c r="I10" s="609"/>
      <c r="J10" s="36"/>
      <c r="K10" s="36"/>
      <c r="L10" s="36"/>
      <c r="M10" s="36"/>
      <c r="N10" s="37"/>
      <c r="O10" s="37"/>
      <c r="P10" s="37"/>
      <c r="Q10" s="38"/>
      <c r="R10" s="8"/>
      <c r="S10" s="12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</row>
    <row r="11" spans="1:168" ht="20.149999999999999" customHeight="1" x14ac:dyDescent="0.35">
      <c r="A11" s="8"/>
      <c r="B11" s="8"/>
      <c r="C11" s="610" t="s">
        <v>117</v>
      </c>
      <c r="D11" s="611"/>
      <c r="E11" s="611"/>
      <c r="F11" s="607" t="s">
        <v>64</v>
      </c>
      <c r="G11" s="607"/>
      <c r="H11" s="23"/>
      <c r="I11" s="218">
        <v>1850</v>
      </c>
      <c r="J11" s="23"/>
      <c r="K11" s="36"/>
      <c r="L11" s="36"/>
      <c r="M11" s="36"/>
      <c r="N11" s="37"/>
      <c r="O11" s="37"/>
      <c r="P11" s="37"/>
      <c r="Q11" s="38"/>
      <c r="R11" s="8"/>
      <c r="S11" s="1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</row>
    <row r="12" spans="1:168" ht="10" customHeight="1" x14ac:dyDescent="0.35">
      <c r="A12" s="8"/>
      <c r="B12" s="8"/>
      <c r="C12" s="31"/>
      <c r="D12" s="32"/>
      <c r="E12" s="32"/>
      <c r="F12" s="32"/>
      <c r="G12" s="32"/>
      <c r="H12" s="32"/>
      <c r="I12" s="32"/>
      <c r="J12" s="36"/>
      <c r="K12" s="36"/>
      <c r="L12" s="36"/>
      <c r="M12" s="36"/>
      <c r="N12" s="37"/>
      <c r="O12" s="37"/>
      <c r="P12" s="37"/>
      <c r="Q12" s="38"/>
      <c r="R12" s="8"/>
      <c r="S12" s="12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</row>
    <row r="13" spans="1:168" ht="20.149999999999999" customHeight="1" x14ac:dyDescent="0.35">
      <c r="A13" s="8"/>
      <c r="B13" s="8"/>
      <c r="C13" s="610" t="s">
        <v>118</v>
      </c>
      <c r="D13" s="611"/>
      <c r="E13" s="611"/>
      <c r="F13" s="607"/>
      <c r="G13" s="607"/>
      <c r="H13" s="23"/>
      <c r="I13" s="218"/>
      <c r="J13" s="93"/>
      <c r="K13" s="36"/>
      <c r="L13" s="36"/>
      <c r="M13" s="36"/>
      <c r="N13" s="37"/>
      <c r="O13" s="37"/>
      <c r="P13" s="37"/>
      <c r="Q13" s="38"/>
      <c r="R13" s="8"/>
      <c r="S13" s="12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</row>
    <row r="14" spans="1:168" ht="10" customHeight="1" x14ac:dyDescent="0.35">
      <c r="A14" s="8"/>
      <c r="B14" s="8"/>
      <c r="C14" s="31"/>
      <c r="D14" s="24"/>
      <c r="E14" s="24"/>
      <c r="F14" s="24"/>
      <c r="G14" s="24"/>
      <c r="H14" s="24"/>
      <c r="I14" s="24"/>
      <c r="J14" s="36"/>
      <c r="K14" s="36"/>
      <c r="L14" s="36"/>
      <c r="M14" s="36"/>
      <c r="N14" s="37"/>
      <c r="O14" s="37"/>
      <c r="P14" s="37"/>
      <c r="Q14" s="38"/>
      <c r="R14" s="8"/>
      <c r="S14" s="12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</row>
    <row r="15" spans="1:168" ht="20.149999999999999" customHeight="1" x14ac:dyDescent="0.35">
      <c r="A15" s="8"/>
      <c r="B15" s="8"/>
      <c r="C15" s="610" t="s">
        <v>116</v>
      </c>
      <c r="D15" s="611"/>
      <c r="E15" s="611"/>
      <c r="F15" s="601" t="s">
        <v>69</v>
      </c>
      <c r="G15" s="601"/>
      <c r="H15" s="24"/>
      <c r="I15" s="22">
        <f>VLOOKUP(F15,Tabelle722[],3)</f>
        <v>0.15</v>
      </c>
      <c r="J15" s="36"/>
      <c r="K15" s="36"/>
      <c r="L15" s="36"/>
      <c r="M15" s="36"/>
      <c r="N15" s="37"/>
      <c r="O15" s="37"/>
      <c r="P15" s="37"/>
      <c r="Q15" s="38"/>
      <c r="R15" s="8"/>
      <c r="S15" s="12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</row>
    <row r="16" spans="1:168" ht="10" customHeight="1" thickBot="1" x14ac:dyDescent="0.4">
      <c r="A16" s="8"/>
      <c r="B16" s="8"/>
      <c r="C16" s="30"/>
      <c r="D16" s="24"/>
      <c r="E16" s="24"/>
      <c r="F16" s="24"/>
      <c r="G16" s="24"/>
      <c r="H16" s="24"/>
      <c r="I16" s="24"/>
      <c r="J16" s="36"/>
      <c r="K16" s="36"/>
      <c r="L16" s="36"/>
      <c r="M16" s="36"/>
      <c r="N16" s="37"/>
      <c r="O16" s="37"/>
      <c r="P16" s="37"/>
      <c r="Q16" s="38"/>
      <c r="R16" s="8"/>
      <c r="S16" s="12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</row>
    <row r="17" spans="1:168" ht="20.149999999999999" customHeight="1" thickTop="1" thickBot="1" x14ac:dyDescent="0.4">
      <c r="A17" s="8"/>
      <c r="B17" s="8"/>
      <c r="C17" s="94"/>
      <c r="D17" s="611" t="s">
        <v>62</v>
      </c>
      <c r="E17" s="611"/>
      <c r="F17" s="611"/>
      <c r="G17" s="611"/>
      <c r="H17" s="360"/>
      <c r="I17" s="361">
        <v>2</v>
      </c>
      <c r="J17" s="37"/>
      <c r="K17" s="36"/>
      <c r="L17" s="36"/>
      <c r="M17" s="36"/>
      <c r="N17" s="37"/>
      <c r="O17" s="37"/>
      <c r="P17" s="37"/>
      <c r="Q17" s="38"/>
      <c r="R17" s="8"/>
      <c r="S17" s="12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</row>
    <row r="18" spans="1:168" ht="10" customHeight="1" thickTop="1" x14ac:dyDescent="0.35">
      <c r="A18" s="8"/>
      <c r="B18" s="8"/>
      <c r="C18" s="30"/>
      <c r="D18" s="24"/>
      <c r="E18" s="24"/>
      <c r="F18" s="24"/>
      <c r="G18" s="24"/>
      <c r="H18" s="24">
        <v>5</v>
      </c>
      <c r="I18" s="24"/>
      <c r="J18" s="36"/>
      <c r="K18" s="36"/>
      <c r="L18" s="36"/>
      <c r="M18" s="36"/>
      <c r="N18" s="37"/>
      <c r="O18" s="37"/>
      <c r="P18" s="37"/>
      <c r="Q18" s="38"/>
      <c r="R18" s="8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</row>
    <row r="19" spans="1:168" ht="20.149999999999999" customHeight="1" x14ac:dyDescent="0.35">
      <c r="A19" s="8"/>
      <c r="B19" s="8"/>
      <c r="C19" s="95"/>
      <c r="D19" s="408" t="s">
        <v>119</v>
      </c>
      <c r="E19" s="408"/>
      <c r="F19" s="408"/>
      <c r="G19" s="217" t="s">
        <v>71</v>
      </c>
      <c r="H19" s="24"/>
      <c r="I19" s="25">
        <f>_xlfn.XLOOKUP(G19,X!I16:I21,X!K16:K21)</f>
        <v>400</v>
      </c>
      <c r="J19" s="26" t="s">
        <v>13</v>
      </c>
      <c r="K19" s="36"/>
      <c r="L19" s="36"/>
      <c r="M19" s="36"/>
      <c r="N19" s="37"/>
      <c r="O19" s="37"/>
      <c r="P19" s="37"/>
      <c r="Q19" s="38"/>
      <c r="R19" s="8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</row>
    <row r="20" spans="1:168" ht="10" customHeight="1" x14ac:dyDescent="0.35">
      <c r="A20" s="8"/>
      <c r="B20" s="8"/>
      <c r="C20" s="30"/>
      <c r="D20" s="24"/>
      <c r="E20" s="24"/>
      <c r="F20" s="24"/>
      <c r="G20" s="24"/>
      <c r="H20" s="24"/>
      <c r="I20" s="24"/>
      <c r="J20" s="36"/>
      <c r="K20" s="36"/>
      <c r="L20" s="36"/>
      <c r="M20" s="36"/>
      <c r="N20" s="37"/>
      <c r="O20" s="37"/>
      <c r="P20" s="37"/>
      <c r="Q20" s="38"/>
      <c r="R20" s="8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</row>
    <row r="21" spans="1:168" ht="20.149999999999999" customHeight="1" x14ac:dyDescent="0.35">
      <c r="A21" s="8"/>
      <c r="B21" s="8"/>
      <c r="C21" s="619" t="s">
        <v>489</v>
      </c>
      <c r="D21" s="614"/>
      <c r="E21" s="220" t="s">
        <v>279</v>
      </c>
      <c r="F21" s="614" t="s">
        <v>487</v>
      </c>
      <c r="G21" s="614"/>
      <c r="H21" s="614"/>
      <c r="I21" s="219">
        <v>12</v>
      </c>
      <c r="J21" s="26" t="s">
        <v>90</v>
      </c>
      <c r="K21" s="37"/>
      <c r="L21" s="37"/>
      <c r="M21" s="37"/>
      <c r="N21" s="37"/>
      <c r="O21" s="37"/>
      <c r="P21" s="37"/>
      <c r="Q21" s="38"/>
      <c r="R21" s="8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</row>
    <row r="22" spans="1:168" ht="10" customHeight="1" x14ac:dyDescent="0.35">
      <c r="A22" s="8"/>
      <c r="B22" s="8"/>
      <c r="C22" s="30"/>
      <c r="D22" s="24"/>
      <c r="E22" s="24"/>
      <c r="F22" s="24"/>
      <c r="G22" s="24"/>
      <c r="H22" s="24"/>
      <c r="I22" s="24"/>
      <c r="J22" s="36"/>
      <c r="K22" s="36"/>
      <c r="L22" s="36"/>
      <c r="M22" s="36"/>
      <c r="N22" s="37"/>
      <c r="O22" s="37"/>
      <c r="P22" s="37"/>
      <c r="Q22" s="38"/>
      <c r="R22" s="8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</row>
    <row r="23" spans="1:168" ht="20.149999999999999" customHeight="1" x14ac:dyDescent="0.35">
      <c r="A23" s="8"/>
      <c r="B23" s="8"/>
      <c r="C23" s="96"/>
      <c r="D23" s="614" t="s">
        <v>270</v>
      </c>
      <c r="E23" s="614"/>
      <c r="F23" s="614"/>
      <c r="G23" s="614"/>
      <c r="H23" s="614"/>
      <c r="I23" s="219">
        <v>50</v>
      </c>
      <c r="J23" s="26" t="s">
        <v>90</v>
      </c>
      <c r="K23" s="37"/>
      <c r="L23" s="37"/>
      <c r="M23" s="37"/>
      <c r="N23" s="37"/>
      <c r="O23" s="37"/>
      <c r="P23" s="37"/>
      <c r="Q23" s="38"/>
      <c r="R23" s="8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8"/>
      <c r="AN23" s="8"/>
      <c r="AO23" s="8"/>
      <c r="AP23" s="8"/>
      <c r="AQ23" s="413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</row>
    <row r="24" spans="1:168" ht="18.649999999999999" customHeight="1" x14ac:dyDescent="0.35">
      <c r="A24" s="8"/>
      <c r="B24" s="8"/>
      <c r="C24" s="612"/>
      <c r="D24" s="613"/>
      <c r="E24" s="613"/>
      <c r="F24" s="613"/>
      <c r="G24" s="613"/>
      <c r="H24" s="613"/>
      <c r="I24" s="613"/>
      <c r="J24" s="613"/>
      <c r="K24" s="37"/>
      <c r="L24" s="37"/>
      <c r="M24" s="37"/>
      <c r="N24" s="37"/>
      <c r="O24" s="37"/>
      <c r="P24" s="37"/>
      <c r="Q24" s="38"/>
      <c r="R24" s="8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</row>
    <row r="25" spans="1:168" ht="20.149999999999999" customHeight="1" x14ac:dyDescent="0.35">
      <c r="A25" s="8"/>
      <c r="B25" s="8"/>
      <c r="C25" s="608" t="s">
        <v>135</v>
      </c>
      <c r="D25" s="609"/>
      <c r="E25" s="609"/>
      <c r="F25" s="609"/>
      <c r="G25" s="609"/>
      <c r="H25" s="609"/>
      <c r="I25" s="219"/>
      <c r="J25" s="97" t="s">
        <v>120</v>
      </c>
      <c r="K25" s="36"/>
      <c r="L25" s="36"/>
      <c r="M25" s="36"/>
      <c r="N25" s="37"/>
      <c r="O25" s="37"/>
      <c r="P25" s="37"/>
      <c r="Q25" s="38"/>
      <c r="R25" s="8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</row>
    <row r="26" spans="1:168" ht="7" customHeight="1" thickBot="1" x14ac:dyDescent="0.4">
      <c r="A26" s="8"/>
      <c r="B26" s="8"/>
      <c r="C26" s="98"/>
      <c r="D26" s="40"/>
      <c r="E26" s="40"/>
      <c r="F26" s="40"/>
      <c r="G26" s="40"/>
      <c r="H26" s="40"/>
      <c r="I26" s="40"/>
      <c r="J26" s="39"/>
      <c r="K26" s="39"/>
      <c r="L26" s="39"/>
      <c r="M26" s="39"/>
      <c r="N26" s="40"/>
      <c r="O26" s="40"/>
      <c r="P26" s="40"/>
      <c r="Q26" s="41"/>
      <c r="R26" s="8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</row>
    <row r="27" spans="1:168" ht="20.149999999999999" customHeight="1" thickTop="1" thickBot="1" x14ac:dyDescent="0.4">
      <c r="A27" s="8"/>
      <c r="B27" s="8"/>
      <c r="C27" s="8"/>
      <c r="D27" s="8"/>
      <c r="E27" s="8"/>
      <c r="F27" s="8"/>
      <c r="G27" s="8"/>
      <c r="H27" s="8"/>
      <c r="I27" s="8"/>
      <c r="J27" s="29"/>
      <c r="K27" s="29"/>
      <c r="L27" s="29"/>
      <c r="M27" s="29"/>
      <c r="N27" s="8"/>
      <c r="O27" s="8"/>
      <c r="P27" s="8"/>
      <c r="Q27" s="8"/>
      <c r="R27" s="8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</row>
    <row r="28" spans="1:168" ht="7" customHeight="1" thickTop="1" x14ac:dyDescent="0.35">
      <c r="A28" s="8"/>
      <c r="B28" s="8"/>
      <c r="C28" s="615" t="s">
        <v>255</v>
      </c>
      <c r="D28" s="616"/>
      <c r="E28" s="616"/>
      <c r="F28" s="616"/>
      <c r="G28" s="616"/>
      <c r="H28" s="616"/>
      <c r="I28" s="616"/>
      <c r="J28" s="616"/>
      <c r="K28" s="42"/>
      <c r="L28" s="42"/>
      <c r="M28" s="42"/>
      <c r="N28" s="42"/>
      <c r="O28" s="42"/>
      <c r="P28" s="43"/>
      <c r="Q28" s="44"/>
      <c r="R28" s="8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</row>
    <row r="29" spans="1:168" ht="21.65" customHeight="1" x14ac:dyDescent="0.35">
      <c r="A29" s="8"/>
      <c r="B29" s="8"/>
      <c r="C29" s="617"/>
      <c r="D29" s="618"/>
      <c r="E29" s="618"/>
      <c r="F29" s="618"/>
      <c r="G29" s="618"/>
      <c r="H29" s="618"/>
      <c r="I29" s="618"/>
      <c r="J29" s="618"/>
      <c r="K29" s="74"/>
      <c r="L29" s="74"/>
      <c r="M29" s="74"/>
      <c r="N29" s="74"/>
      <c r="O29" s="74"/>
      <c r="P29" s="49"/>
      <c r="Q29" s="75"/>
      <c r="R29" s="8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</row>
    <row r="30" spans="1:168" ht="21.65" customHeight="1" x14ac:dyDescent="0.35">
      <c r="A30" s="8"/>
      <c r="B30" s="8"/>
      <c r="C30" s="617"/>
      <c r="D30" s="618"/>
      <c r="E30" s="618"/>
      <c r="F30" s="618"/>
      <c r="G30" s="618"/>
      <c r="H30" s="618"/>
      <c r="I30" s="618"/>
      <c r="J30" s="618"/>
      <c r="K30" s="49"/>
      <c r="L30" s="49"/>
      <c r="M30" s="49"/>
      <c r="N30" s="49"/>
      <c r="O30" s="49"/>
      <c r="P30" s="49"/>
      <c r="Q30" s="75"/>
      <c r="R30" s="8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</row>
    <row r="31" spans="1:168" ht="10" customHeight="1" x14ac:dyDescent="0.35">
      <c r="A31" s="8"/>
      <c r="B31" s="8"/>
      <c r="C31" s="48"/>
      <c r="D31" s="49"/>
      <c r="E31" s="49"/>
      <c r="F31" s="49"/>
      <c r="G31" s="49"/>
      <c r="H31" s="46"/>
      <c r="I31" s="47"/>
      <c r="J31" s="49"/>
      <c r="K31" s="49"/>
      <c r="L31" s="49"/>
      <c r="M31" s="49"/>
      <c r="N31" s="49"/>
      <c r="O31" s="49"/>
      <c r="P31" s="49"/>
      <c r="Q31" s="75"/>
      <c r="R31" s="8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</row>
    <row r="32" spans="1:168" ht="20.149999999999999" customHeight="1" x14ac:dyDescent="0.35">
      <c r="A32" s="8"/>
      <c r="B32" s="8"/>
      <c r="C32" s="595" t="s">
        <v>136</v>
      </c>
      <c r="D32" s="596"/>
      <c r="E32" s="596"/>
      <c r="F32" s="596"/>
      <c r="G32" s="219">
        <v>38</v>
      </c>
      <c r="H32" s="46" t="s">
        <v>90</v>
      </c>
      <c r="I32" s="219">
        <v>200</v>
      </c>
      <c r="J32" s="50" t="s">
        <v>61</v>
      </c>
      <c r="K32" s="49"/>
      <c r="L32" s="49"/>
      <c r="M32" s="49"/>
      <c r="N32" s="49"/>
      <c r="O32" s="49"/>
      <c r="P32" s="49"/>
      <c r="Q32" s="75"/>
      <c r="R32" s="8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</row>
    <row r="33" spans="1:168" ht="10" customHeight="1" x14ac:dyDescent="0.4">
      <c r="A33" s="8"/>
      <c r="B33" s="8"/>
      <c r="C33" s="48"/>
      <c r="D33" s="49"/>
      <c r="E33" s="49"/>
      <c r="F33" s="49"/>
      <c r="G33" s="51"/>
      <c r="H33" s="46"/>
      <c r="I33" s="49"/>
      <c r="J33" s="50"/>
      <c r="K33" s="49"/>
      <c r="L33" s="49"/>
      <c r="M33" s="49"/>
      <c r="N33" s="49"/>
      <c r="O33" s="49"/>
      <c r="P33" s="49"/>
      <c r="Q33" s="75"/>
      <c r="R33" s="16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259"/>
      <c r="AN33" s="680"/>
      <c r="AO33" s="680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</row>
    <row r="34" spans="1:168" ht="20.149999999999999" customHeight="1" x14ac:dyDescent="0.4">
      <c r="A34" s="8"/>
      <c r="B34" s="8"/>
      <c r="C34" s="595" t="s">
        <v>89</v>
      </c>
      <c r="D34" s="596"/>
      <c r="E34" s="596"/>
      <c r="F34" s="596"/>
      <c r="G34" s="219">
        <v>50</v>
      </c>
      <c r="H34" s="46" t="s">
        <v>90</v>
      </c>
      <c r="I34" s="219"/>
      <c r="J34" s="50" t="s">
        <v>61</v>
      </c>
      <c r="K34" s="49"/>
      <c r="L34" s="49"/>
      <c r="M34" s="49"/>
      <c r="N34" s="49"/>
      <c r="O34" s="49"/>
      <c r="P34" s="49"/>
      <c r="Q34" s="75"/>
      <c r="R34" s="16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258"/>
      <c r="AN34" s="680"/>
      <c r="AO34" s="680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</row>
    <row r="35" spans="1:168" ht="10" customHeight="1" x14ac:dyDescent="0.35">
      <c r="A35" s="8"/>
      <c r="B35" s="8"/>
      <c r="C35" s="52"/>
      <c r="D35" s="49"/>
      <c r="E35" s="51"/>
      <c r="F35" s="53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75"/>
      <c r="R35" s="8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8"/>
      <c r="AN35" s="20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8" ht="20.149999999999999" customHeight="1" x14ac:dyDescent="0.35">
      <c r="A36" s="8"/>
      <c r="B36" s="8"/>
      <c r="C36" s="45" t="s">
        <v>490</v>
      </c>
      <c r="D36" s="49"/>
      <c r="E36" s="21">
        <f>0.95*H36</f>
        <v>14241.6875</v>
      </c>
      <c r="F36" s="46" t="s">
        <v>13</v>
      </c>
      <c r="G36" s="411" t="s">
        <v>492</v>
      </c>
      <c r="H36" s="21">
        <f>IF(I25&lt;&gt;0,I25*(I32+I34)*1.05,_xlfn.XLOOKUP(F11,Tabelle2029[Brennstoff],Tabelle2029[kWh])*I11*IF(F11="Strom in kWh",1,(1-I15))+_xlfn.XLOOKUP(F13,Tabelle2029[Brennstoff],Tabelle2029[kWh])*I13*IF(F13="Strom in kWh",1,0.75)-H38)</f>
        <v>14991.25</v>
      </c>
      <c r="I36" s="46" t="s">
        <v>13</v>
      </c>
      <c r="J36" s="215" t="s">
        <v>281</v>
      </c>
      <c r="K36" s="49"/>
      <c r="L36" s="49"/>
      <c r="M36" s="49"/>
      <c r="N36" s="49"/>
      <c r="O36" s="49"/>
      <c r="P36" s="49"/>
      <c r="Q36" s="75"/>
      <c r="R36" s="8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409"/>
      <c r="AN36" s="410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8" ht="10" customHeight="1" x14ac:dyDescent="0.35">
      <c r="A37" s="8"/>
      <c r="B37" s="8"/>
      <c r="C37" s="52"/>
      <c r="D37" s="49"/>
      <c r="E37" s="53"/>
      <c r="F37" s="49"/>
      <c r="G37" s="53"/>
      <c r="H37" s="53"/>
      <c r="I37" s="49"/>
      <c r="J37" s="593">
        <f>H36+H38</f>
        <v>16511.25</v>
      </c>
      <c r="K37" s="49"/>
      <c r="L37" s="49"/>
      <c r="M37" s="49"/>
      <c r="N37" s="49"/>
      <c r="O37" s="49"/>
      <c r="P37" s="49"/>
      <c r="Q37" s="75"/>
      <c r="R37" s="8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3"/>
      <c r="AN37" s="409"/>
      <c r="AO37" s="410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</row>
    <row r="38" spans="1:168" ht="20.149999999999999" customHeight="1" x14ac:dyDescent="0.35">
      <c r="A38" s="8"/>
      <c r="B38" s="8"/>
      <c r="C38" s="45" t="s">
        <v>491</v>
      </c>
      <c r="D38" s="49"/>
      <c r="E38" s="21">
        <f>I17*I19*(I23-I21)/40</f>
        <v>760</v>
      </c>
      <c r="F38" s="46" t="s">
        <v>13</v>
      </c>
      <c r="G38" s="411" t="s">
        <v>492</v>
      </c>
      <c r="H38" s="21">
        <f>E38*2</f>
        <v>1520</v>
      </c>
      <c r="I38" s="46" t="s">
        <v>13</v>
      </c>
      <c r="J38" s="594"/>
      <c r="K38" s="49"/>
      <c r="L38" s="49"/>
      <c r="M38" s="49"/>
      <c r="N38" s="49"/>
      <c r="O38" s="49"/>
      <c r="P38" s="49"/>
      <c r="Q38" s="75"/>
      <c r="R38" s="8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681"/>
      <c r="AN38" s="8"/>
      <c r="AO38" s="679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</row>
    <row r="39" spans="1:168" ht="10" customHeight="1" x14ac:dyDescent="0.35">
      <c r="A39" s="8"/>
      <c r="B39" s="8"/>
      <c r="C39" s="45"/>
      <c r="D39" s="49"/>
      <c r="E39" s="53"/>
      <c r="F39" s="51"/>
      <c r="G39" s="46"/>
      <c r="H39" s="81"/>
      <c r="I39" s="46"/>
      <c r="J39" s="49"/>
      <c r="K39" s="49"/>
      <c r="L39" s="49"/>
      <c r="M39" s="49"/>
      <c r="N39" s="49"/>
      <c r="O39" s="49"/>
      <c r="P39" s="49"/>
      <c r="Q39" s="75"/>
      <c r="R39" s="8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681"/>
      <c r="AN39" s="174"/>
      <c r="AO39" s="679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</row>
    <row r="40" spans="1:168" ht="20.149999999999999" customHeight="1" x14ac:dyDescent="0.35">
      <c r="A40" s="8"/>
      <c r="B40" s="8"/>
      <c r="C40" s="45" t="s">
        <v>299</v>
      </c>
      <c r="D40" s="53"/>
      <c r="E40" s="53"/>
      <c r="F40" s="220" t="s">
        <v>83</v>
      </c>
      <c r="G40" s="224" t="s">
        <v>300</v>
      </c>
      <c r="H40" s="221">
        <v>5</v>
      </c>
      <c r="I40" s="46" t="s">
        <v>301</v>
      </c>
      <c r="J40" s="214">
        <f ca="1">X!K5*H40*2/40+H40*365*20/1000</f>
        <v>87.888233597086199</v>
      </c>
      <c r="K40" s="49"/>
      <c r="L40" s="49"/>
      <c r="M40" s="49"/>
      <c r="N40" s="49"/>
      <c r="O40" s="49"/>
      <c r="P40" s="49"/>
      <c r="Q40" s="75"/>
      <c r="R40" s="8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</row>
    <row r="41" spans="1:168" ht="10" customHeight="1" x14ac:dyDescent="0.35">
      <c r="A41" s="8"/>
      <c r="B41" s="8"/>
      <c r="C41" s="54"/>
      <c r="D41" s="55"/>
      <c r="E41" s="55"/>
      <c r="F41" s="55"/>
      <c r="G41" s="55"/>
      <c r="H41" s="55"/>
      <c r="I41" s="55"/>
      <c r="J41" s="49"/>
      <c r="K41" s="49"/>
      <c r="L41" s="49"/>
      <c r="M41" s="49"/>
      <c r="N41" s="49"/>
      <c r="O41" s="49"/>
      <c r="P41" s="49"/>
      <c r="Q41" s="75"/>
      <c r="R41" s="8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75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</row>
    <row r="42" spans="1:168" ht="20.149999999999999" customHeight="1" x14ac:dyDescent="0.35">
      <c r="A42" s="8"/>
      <c r="B42" s="8"/>
      <c r="C42" s="45" t="s">
        <v>121</v>
      </c>
      <c r="D42" s="53"/>
      <c r="E42" s="53"/>
      <c r="F42" s="220" t="s">
        <v>83</v>
      </c>
      <c r="G42" s="53"/>
      <c r="H42" s="221">
        <v>8</v>
      </c>
      <c r="I42" s="46" t="s">
        <v>280</v>
      </c>
      <c r="J42" s="214" t="s">
        <v>81</v>
      </c>
      <c r="K42" s="49"/>
      <c r="L42" s="49"/>
      <c r="M42" s="49"/>
      <c r="N42" s="49"/>
      <c r="O42" s="49"/>
      <c r="P42" s="49"/>
      <c r="Q42" s="75"/>
      <c r="R42" s="8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5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</row>
    <row r="43" spans="1:168" ht="5.15" customHeight="1" x14ac:dyDescent="0.35">
      <c r="A43" s="8"/>
      <c r="B43" s="8"/>
      <c r="C43" s="45"/>
      <c r="D43" s="46"/>
      <c r="E43" s="46"/>
      <c r="F43" s="46"/>
      <c r="G43" s="46"/>
      <c r="H43" s="46"/>
      <c r="I43" s="47"/>
      <c r="J43" s="49"/>
      <c r="K43" s="49"/>
      <c r="L43" s="49"/>
      <c r="M43" s="49"/>
      <c r="N43" s="49"/>
      <c r="O43" s="49"/>
      <c r="P43" s="49"/>
      <c r="Q43" s="75"/>
      <c r="R43" s="8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</row>
    <row r="44" spans="1:168" ht="7" customHeight="1" thickBot="1" x14ac:dyDescent="0.4">
      <c r="A44" s="8"/>
      <c r="B44" s="8"/>
      <c r="C44" s="56"/>
      <c r="D44" s="57"/>
      <c r="E44" s="57"/>
      <c r="F44" s="57"/>
      <c r="G44" s="57"/>
      <c r="H44" s="57"/>
      <c r="I44" s="72"/>
      <c r="J44" s="76"/>
      <c r="K44" s="76"/>
      <c r="L44" s="76"/>
      <c r="M44" s="76"/>
      <c r="N44" s="76"/>
      <c r="O44" s="76"/>
      <c r="P44" s="76"/>
      <c r="Q44" s="77"/>
      <c r="R44" s="16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7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</row>
    <row r="45" spans="1:168" ht="20.149999999999999" customHeight="1" thickTop="1" thickBo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16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7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</row>
    <row r="46" spans="1:168" ht="7" customHeight="1" thickTop="1" x14ac:dyDescent="0.35">
      <c r="A46" s="8"/>
      <c r="B46" s="8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5"/>
      <c r="R46" s="16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7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</row>
    <row r="47" spans="1:168" ht="21.65" customHeight="1" x14ac:dyDescent="0.4">
      <c r="A47" s="8"/>
      <c r="B47" s="8"/>
      <c r="C47" s="569" t="s">
        <v>257</v>
      </c>
      <c r="D47" s="570"/>
      <c r="E47" s="570"/>
      <c r="F47" s="570"/>
      <c r="G47" s="570"/>
      <c r="H47" s="570"/>
      <c r="I47" s="607" t="s">
        <v>126</v>
      </c>
      <c r="J47" s="607"/>
      <c r="K47" s="199"/>
      <c r="L47" s="199"/>
      <c r="M47" s="199"/>
      <c r="N47" s="199"/>
      <c r="O47" s="58"/>
      <c r="P47" s="58"/>
      <c r="Q47" s="200"/>
      <c r="R47" s="16"/>
      <c r="S47" s="678" t="s">
        <v>234</v>
      </c>
      <c r="T47" s="678"/>
      <c r="U47" s="678"/>
      <c r="V47" s="678"/>
      <c r="W47" s="678"/>
      <c r="X47" s="678"/>
      <c r="Y47" s="678"/>
      <c r="Z47" s="678"/>
      <c r="AA47" s="678"/>
      <c r="AB47" s="678"/>
      <c r="AC47" s="678"/>
      <c r="AD47" s="678"/>
      <c r="AE47" s="678"/>
      <c r="AF47" s="678"/>
      <c r="AG47" s="678"/>
      <c r="AH47" s="678"/>
      <c r="AI47" s="678"/>
      <c r="AJ47" s="678"/>
      <c r="AK47" s="678"/>
      <c r="AL47" s="678"/>
      <c r="AM47" s="678"/>
      <c r="AN47" s="259"/>
      <c r="AO47" s="259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678" t="s">
        <v>234</v>
      </c>
      <c r="BK47" s="678"/>
      <c r="BL47" s="678"/>
      <c r="BM47" s="678"/>
      <c r="BN47" s="678"/>
      <c r="BO47" s="678"/>
      <c r="BP47" s="678"/>
      <c r="BQ47" s="678"/>
      <c r="BR47" s="678"/>
      <c r="BS47" s="678"/>
      <c r="BT47" s="678"/>
      <c r="BU47" s="678"/>
      <c r="BV47" s="678"/>
      <c r="BW47" s="678"/>
      <c r="BX47" s="678"/>
      <c r="BY47" s="678"/>
      <c r="BZ47" s="678"/>
      <c r="CA47" s="67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</row>
    <row r="48" spans="1:168" ht="21.65" customHeight="1" thickBot="1" x14ac:dyDescent="0.45">
      <c r="A48" s="8"/>
      <c r="B48" s="8"/>
      <c r="C48" s="569"/>
      <c r="D48" s="570"/>
      <c r="E48" s="570"/>
      <c r="F48" s="570"/>
      <c r="G48" s="570"/>
      <c r="H48" s="570"/>
      <c r="I48" s="607"/>
      <c r="J48" s="607"/>
      <c r="K48" s="199"/>
      <c r="L48" s="199"/>
      <c r="M48" s="199"/>
      <c r="N48" s="199"/>
      <c r="O48" s="58"/>
      <c r="P48" s="58"/>
      <c r="Q48" s="200"/>
      <c r="R48" s="8"/>
      <c r="S48" s="678"/>
      <c r="T48" s="678"/>
      <c r="U48" s="678"/>
      <c r="V48" s="678"/>
      <c r="W48" s="678"/>
      <c r="X48" s="678"/>
      <c r="Y48" s="678"/>
      <c r="Z48" s="678"/>
      <c r="AA48" s="678"/>
      <c r="AB48" s="678"/>
      <c r="AC48" s="678"/>
      <c r="AD48" s="678"/>
      <c r="AE48" s="678"/>
      <c r="AF48" s="678"/>
      <c r="AG48" s="678"/>
      <c r="AH48" s="678"/>
      <c r="AI48" s="678"/>
      <c r="AJ48" s="678"/>
      <c r="AK48" s="678"/>
      <c r="AL48" s="678"/>
      <c r="AM48" s="678"/>
      <c r="AN48" s="259"/>
      <c r="AO48" s="259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678"/>
      <c r="BK48" s="678"/>
      <c r="BL48" s="678"/>
      <c r="BM48" s="678"/>
      <c r="BN48" s="678"/>
      <c r="BO48" s="678"/>
      <c r="BP48" s="678"/>
      <c r="BQ48" s="678"/>
      <c r="BR48" s="678"/>
      <c r="BS48" s="678"/>
      <c r="BT48" s="678"/>
      <c r="BU48" s="678"/>
      <c r="BV48" s="678"/>
      <c r="BW48" s="678"/>
      <c r="BX48" s="678"/>
      <c r="BY48" s="678"/>
      <c r="BZ48" s="678"/>
      <c r="CA48" s="67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</row>
    <row r="49" spans="1:168" ht="21.65" customHeight="1" thickTop="1" thickBot="1" x14ac:dyDescent="0.45">
      <c r="A49" s="8"/>
      <c r="B49" s="8"/>
      <c r="C49" s="569" t="s">
        <v>309</v>
      </c>
      <c r="D49" s="570"/>
      <c r="E49" s="570"/>
      <c r="F49" s="330">
        <v>1</v>
      </c>
      <c r="G49" s="362">
        <f ca="1">IFERROR(G51*(1+(0.6*N73-0.25)*0.85),"n.a.")</f>
        <v>7.3067791558404842</v>
      </c>
      <c r="H49" s="199"/>
      <c r="I49" s="652" t="s">
        <v>259</v>
      </c>
      <c r="J49" s="652"/>
      <c r="K49" s="199"/>
      <c r="L49" s="199"/>
      <c r="M49" s="199"/>
      <c r="N49" s="199"/>
      <c r="O49" s="58"/>
      <c r="P49" s="58"/>
      <c r="Q49" s="200"/>
      <c r="R49" s="16"/>
      <c r="S49" s="678" t="s">
        <v>235</v>
      </c>
      <c r="T49" s="678"/>
      <c r="U49" s="678"/>
      <c r="V49" s="678"/>
      <c r="W49" s="678"/>
      <c r="X49" s="678"/>
      <c r="Y49" s="678"/>
      <c r="Z49" s="678"/>
      <c r="AA49" s="678"/>
      <c r="AB49" s="678"/>
      <c r="AC49" s="678"/>
      <c r="AD49" s="678"/>
      <c r="AE49" s="678"/>
      <c r="AF49" s="678"/>
      <c r="AG49" s="678"/>
      <c r="AH49" s="678"/>
      <c r="AI49" s="678"/>
      <c r="AJ49" s="678"/>
      <c r="AK49" s="678"/>
      <c r="AL49" s="678"/>
      <c r="AM49" s="678"/>
      <c r="AN49" s="678"/>
      <c r="AO49" s="67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678" t="s">
        <v>235</v>
      </c>
      <c r="BK49" s="678"/>
      <c r="BL49" s="678"/>
      <c r="BM49" s="678"/>
      <c r="BN49" s="678"/>
      <c r="BO49" s="678"/>
      <c r="BP49" s="678"/>
      <c r="BQ49" s="678"/>
      <c r="BR49" s="678"/>
      <c r="BS49" s="678"/>
      <c r="BT49" s="678"/>
      <c r="BU49" s="678"/>
      <c r="BV49" s="678"/>
      <c r="BW49" s="258"/>
      <c r="BX49" s="258"/>
      <c r="BY49" s="258"/>
      <c r="BZ49" s="259"/>
      <c r="CA49" s="259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</row>
    <row r="50" spans="1:168" ht="10" customHeight="1" thickTop="1" x14ac:dyDescent="0.4">
      <c r="A50" s="8"/>
      <c r="B50" s="8"/>
      <c r="C50" s="201"/>
      <c r="D50" s="329"/>
      <c r="E50" s="329"/>
      <c r="F50" s="329"/>
      <c r="G50" s="199"/>
      <c r="H50" s="199"/>
      <c r="I50" s="652"/>
      <c r="J50" s="652"/>
      <c r="K50" s="199"/>
      <c r="L50" s="199"/>
      <c r="M50" s="199"/>
      <c r="N50" s="199"/>
      <c r="O50" s="58"/>
      <c r="P50" s="58"/>
      <c r="Q50" s="200"/>
      <c r="R50" s="16"/>
      <c r="S50" s="678"/>
      <c r="T50" s="678"/>
      <c r="U50" s="678"/>
      <c r="V50" s="678"/>
      <c r="W50" s="678"/>
      <c r="X50" s="678"/>
      <c r="Y50" s="678"/>
      <c r="Z50" s="678"/>
      <c r="AA50" s="678"/>
      <c r="AB50" s="678"/>
      <c r="AC50" s="678"/>
      <c r="AD50" s="678"/>
      <c r="AE50" s="678"/>
      <c r="AF50" s="678"/>
      <c r="AG50" s="678"/>
      <c r="AH50" s="678"/>
      <c r="AI50" s="678"/>
      <c r="AJ50" s="678"/>
      <c r="AK50" s="678"/>
      <c r="AL50" s="678"/>
      <c r="AM50" s="678"/>
      <c r="AN50" s="678"/>
      <c r="AO50" s="67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678"/>
      <c r="BK50" s="678"/>
      <c r="BL50" s="678"/>
      <c r="BM50" s="678"/>
      <c r="BN50" s="678"/>
      <c r="BO50" s="678"/>
      <c r="BP50" s="678"/>
      <c r="BQ50" s="678"/>
      <c r="BR50" s="678"/>
      <c r="BS50" s="678"/>
      <c r="BT50" s="678"/>
      <c r="BU50" s="678"/>
      <c r="BV50" s="678"/>
      <c r="BW50" s="259"/>
      <c r="BX50" s="259"/>
      <c r="BY50" s="259"/>
      <c r="BZ50" s="259"/>
      <c r="CA50" s="259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</row>
    <row r="51" spans="1:168" ht="21.65" customHeight="1" x14ac:dyDescent="0.4">
      <c r="A51" s="8"/>
      <c r="B51" s="8"/>
      <c r="C51" s="675" t="s">
        <v>258</v>
      </c>
      <c r="D51" s="676"/>
      <c r="E51" s="676"/>
      <c r="F51" s="676"/>
      <c r="G51" s="331">
        <f>IF(F42="nein",J37*0.0005/F49,X!L66*0.0005/F49)</f>
        <v>8.2556250000000002</v>
      </c>
      <c r="H51" s="87" t="s">
        <v>193</v>
      </c>
      <c r="I51" s="677" t="s">
        <v>376</v>
      </c>
      <c r="J51" s="677"/>
      <c r="K51" s="199"/>
      <c r="L51" s="199"/>
      <c r="M51" s="199"/>
      <c r="N51" s="199"/>
      <c r="O51" s="199"/>
      <c r="P51" s="199"/>
      <c r="Q51" s="198"/>
      <c r="R51" s="16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12"/>
      <c r="AL51" s="12"/>
      <c r="AM51" s="258"/>
      <c r="AN51" s="259"/>
      <c r="AO51" s="259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  <c r="CA51" s="259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</row>
    <row r="52" spans="1:168" ht="21.65" customHeight="1" x14ac:dyDescent="0.35">
      <c r="A52" s="8"/>
      <c r="B52" s="8"/>
      <c r="C52" s="569" t="s">
        <v>256</v>
      </c>
      <c r="D52" s="570"/>
      <c r="E52" s="570"/>
      <c r="F52" s="570"/>
      <c r="G52" s="570"/>
      <c r="H52" s="570"/>
      <c r="I52" s="570"/>
      <c r="J52" s="570"/>
      <c r="K52" s="199"/>
      <c r="L52" s="199"/>
      <c r="M52" s="199"/>
      <c r="N52" s="199"/>
      <c r="O52" s="59"/>
      <c r="P52" s="59"/>
      <c r="Q52" s="61"/>
      <c r="R52" s="16"/>
      <c r="S52" s="620" t="s">
        <v>236</v>
      </c>
      <c r="T52" s="620"/>
      <c r="U52" s="620"/>
      <c r="V52" s="620"/>
      <c r="W52" s="620"/>
      <c r="X52" s="620"/>
      <c r="Y52" s="620"/>
      <c r="Z52" s="620"/>
      <c r="AA52" s="620"/>
      <c r="AB52" s="620"/>
      <c r="AC52" s="620"/>
      <c r="AD52" s="620"/>
      <c r="AE52" s="620"/>
      <c r="AF52" s="620"/>
      <c r="AG52" s="620"/>
      <c r="AH52" s="620"/>
      <c r="AI52" s="620"/>
      <c r="AJ52" s="620"/>
      <c r="AK52" s="620"/>
      <c r="AL52" s="620"/>
      <c r="AM52" s="620"/>
      <c r="AN52" s="620"/>
      <c r="AO52" s="620"/>
      <c r="AP52" s="620"/>
      <c r="AQ52" s="620"/>
      <c r="AR52" s="620"/>
      <c r="AS52" s="620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257" t="s">
        <v>236</v>
      </c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</row>
    <row r="53" spans="1:168" ht="18.649999999999999" customHeight="1" x14ac:dyDescent="0.4">
      <c r="A53" s="8"/>
      <c r="B53" s="8"/>
      <c r="C53" s="569"/>
      <c r="D53" s="570"/>
      <c r="E53" s="570"/>
      <c r="F53" s="570"/>
      <c r="G53" s="570"/>
      <c r="H53" s="570"/>
      <c r="I53" s="570"/>
      <c r="J53" s="570"/>
      <c r="K53" s="59"/>
      <c r="L53" s="59"/>
      <c r="M53" s="60"/>
      <c r="N53" s="59"/>
      <c r="O53" s="59"/>
      <c r="P53" s="59"/>
      <c r="Q53" s="61"/>
      <c r="R53" s="16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12"/>
      <c r="AL53" s="12"/>
      <c r="AM53" s="259"/>
      <c r="AN53" s="257"/>
      <c r="AO53" s="257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257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</row>
    <row r="54" spans="1:168" ht="20.149999999999999" customHeight="1" x14ac:dyDescent="0.35">
      <c r="A54" s="8"/>
      <c r="B54" s="8"/>
      <c r="C54" s="208" t="s">
        <v>260</v>
      </c>
      <c r="D54" s="66"/>
      <c r="E54" s="59"/>
      <c r="F54" s="571" t="s">
        <v>537</v>
      </c>
      <c r="G54" s="571"/>
      <c r="H54" s="571"/>
      <c r="I54" s="571"/>
      <c r="J54" s="571"/>
      <c r="K54" s="59"/>
      <c r="L54" s="59"/>
      <c r="M54" s="59"/>
      <c r="N54" s="67"/>
      <c r="O54" s="67"/>
      <c r="P54" s="67"/>
      <c r="Q54" s="68"/>
      <c r="R54" s="16"/>
      <c r="S54" s="620" t="s">
        <v>232</v>
      </c>
      <c r="T54" s="620"/>
      <c r="U54" s="620"/>
      <c r="V54" s="620"/>
      <c r="W54" s="620"/>
      <c r="X54" s="620"/>
      <c r="Y54" s="620"/>
      <c r="Z54" s="620"/>
      <c r="AA54" s="620"/>
      <c r="AB54" s="620"/>
      <c r="AC54" s="620"/>
      <c r="AD54" s="620"/>
      <c r="AE54" s="620"/>
      <c r="AF54" s="620"/>
      <c r="AG54" s="620"/>
      <c r="AH54" s="620"/>
      <c r="AI54" s="620"/>
      <c r="AJ54" s="620"/>
      <c r="AK54" s="620"/>
      <c r="AL54" s="620"/>
      <c r="AM54" s="620"/>
      <c r="AN54" s="620"/>
      <c r="AO54" s="620"/>
      <c r="AP54" s="620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257" t="s">
        <v>232</v>
      </c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</row>
    <row r="55" spans="1:168" ht="10" customHeight="1" x14ac:dyDescent="0.35">
      <c r="A55" s="8"/>
      <c r="B55" s="8"/>
      <c r="C55" s="62"/>
      <c r="D55" s="59"/>
      <c r="E55" s="59"/>
      <c r="F55" s="59"/>
      <c r="G55" s="59"/>
      <c r="H55" s="59"/>
      <c r="I55" s="59"/>
      <c r="J55" s="59"/>
      <c r="K55" s="59"/>
      <c r="L55" s="59"/>
      <c r="M55" s="60"/>
      <c r="N55" s="67"/>
      <c r="O55" s="67"/>
      <c r="P55" s="67"/>
      <c r="Q55" s="68"/>
      <c r="R55" s="16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12"/>
      <c r="AL55" s="12"/>
      <c r="AM55" s="257"/>
      <c r="AN55" s="257"/>
      <c r="AO55" s="257"/>
      <c r="AP55" s="8"/>
      <c r="AQ55" s="8"/>
      <c r="AR55" s="8"/>
      <c r="AS55" s="8"/>
      <c r="AT55" s="1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257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</row>
    <row r="56" spans="1:168" ht="20.149999999999999" customHeight="1" x14ac:dyDescent="0.35">
      <c r="A56" s="8"/>
      <c r="B56" s="8"/>
      <c r="C56" s="655" t="s">
        <v>261</v>
      </c>
      <c r="D56" s="656"/>
      <c r="E56" s="674" t="str">
        <f ca="1">IFERROR(_xlfn.XLOOKUP(F54,'WP-Ranglisten'!AB206:AB232,'WP-Ranglisten'!AC206:AC232),"WP-Hersteller erneut auswählen")</f>
        <v>TERRA SW 26 Twin (Sole / Wasser)</v>
      </c>
      <c r="F56" s="674"/>
      <c r="G56" s="674"/>
      <c r="H56" s="674"/>
      <c r="I56" s="674"/>
      <c r="J56" s="674"/>
      <c r="K56" s="59"/>
      <c r="L56" s="59"/>
      <c r="M56" s="60"/>
      <c r="N56" s="67"/>
      <c r="O56" s="67"/>
      <c r="P56" s="67"/>
      <c r="Q56" s="68"/>
      <c r="R56" s="8"/>
      <c r="S56" s="620" t="s">
        <v>233</v>
      </c>
      <c r="T56" s="620"/>
      <c r="U56" s="620"/>
      <c r="V56" s="620"/>
      <c r="W56" s="620"/>
      <c r="X56" s="620"/>
      <c r="Y56" s="620"/>
      <c r="Z56" s="620"/>
      <c r="AA56" s="620"/>
      <c r="AB56" s="620"/>
      <c r="AC56" s="620"/>
      <c r="AD56" s="620"/>
      <c r="AE56" s="620"/>
      <c r="AF56" s="620"/>
      <c r="AG56" s="620"/>
      <c r="AH56" s="620"/>
      <c r="AI56" s="620"/>
      <c r="AJ56" s="620"/>
      <c r="AK56" s="620"/>
      <c r="AL56" s="620"/>
      <c r="AM56" s="257"/>
      <c r="AN56" s="14"/>
      <c r="AO56" s="14"/>
      <c r="AP56" s="8"/>
      <c r="AQ56" s="8"/>
      <c r="AR56" s="8"/>
      <c r="AS56" s="8"/>
      <c r="AT56" s="1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620" t="s">
        <v>233</v>
      </c>
      <c r="BK56" s="620"/>
      <c r="BL56" s="620"/>
      <c r="BM56" s="620"/>
      <c r="BN56" s="620"/>
      <c r="BO56" s="620"/>
      <c r="BP56" s="620"/>
      <c r="BQ56" s="620"/>
      <c r="BR56" s="620"/>
      <c r="BS56" s="620"/>
      <c r="BT56" s="620"/>
      <c r="BU56" s="620"/>
      <c r="BV56" s="620"/>
      <c r="BW56" s="620"/>
      <c r="BX56" s="14"/>
      <c r="BY56" s="14"/>
      <c r="BZ56" s="14"/>
      <c r="CA56" s="14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</row>
    <row r="57" spans="1:168" ht="10" customHeight="1" x14ac:dyDescent="0.35">
      <c r="A57" s="8"/>
      <c r="B57" s="8"/>
      <c r="C57" s="6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7"/>
      <c r="O57" s="67"/>
      <c r="P57" s="67"/>
      <c r="Q57" s="68"/>
      <c r="R57" s="8"/>
      <c r="S57" s="620"/>
      <c r="T57" s="620"/>
      <c r="U57" s="620"/>
      <c r="V57" s="620"/>
      <c r="W57" s="620"/>
      <c r="X57" s="620"/>
      <c r="Y57" s="620"/>
      <c r="Z57" s="620"/>
      <c r="AA57" s="620"/>
      <c r="AB57" s="620"/>
      <c r="AC57" s="620"/>
      <c r="AD57" s="620"/>
      <c r="AE57" s="620"/>
      <c r="AF57" s="620"/>
      <c r="AG57" s="620"/>
      <c r="AH57" s="620"/>
      <c r="AI57" s="620"/>
      <c r="AJ57" s="620"/>
      <c r="AK57" s="620"/>
      <c r="AL57" s="620"/>
      <c r="AM57" s="257"/>
      <c r="AN57" s="8"/>
      <c r="AO57" s="8"/>
      <c r="AP57" s="8"/>
      <c r="AQ57" s="8"/>
      <c r="AR57" s="8"/>
      <c r="AS57" s="8"/>
      <c r="AT57" s="1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620"/>
      <c r="BK57" s="620"/>
      <c r="BL57" s="620"/>
      <c r="BM57" s="620"/>
      <c r="BN57" s="620"/>
      <c r="BO57" s="620"/>
      <c r="BP57" s="620"/>
      <c r="BQ57" s="620"/>
      <c r="BR57" s="620"/>
      <c r="BS57" s="620"/>
      <c r="BT57" s="620"/>
      <c r="BU57" s="620"/>
      <c r="BV57" s="620"/>
      <c r="BW57" s="620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</row>
    <row r="58" spans="1:168" ht="20.149999999999999" customHeight="1" x14ac:dyDescent="0.35">
      <c r="A58" s="8"/>
      <c r="B58" s="8"/>
      <c r="C58" s="590" t="s">
        <v>275</v>
      </c>
      <c r="D58" s="591"/>
      <c r="E58" s="591"/>
      <c r="F58" s="591"/>
      <c r="G58" s="28">
        <f ca="1">_xlfn.XLOOKUP(F54,'WP-Ranglisten'!AB206:AB232,'WP-Ranglisten'!AE206:AE232)*100</f>
        <v>221</v>
      </c>
      <c r="H58" s="673" t="s">
        <v>88</v>
      </c>
      <c r="I58" s="70" t="s">
        <v>302</v>
      </c>
      <c r="J58" s="25">
        <f ca="1">_xlfn.XLOOKUP(F54,'WP-Ranglisten'!AB206:AB232,'WP-Ranglisten'!AD206:AD232)</f>
        <v>26.1</v>
      </c>
      <c r="K58" s="69"/>
      <c r="L58" s="59"/>
      <c r="M58" s="59"/>
      <c r="N58" s="59"/>
      <c r="O58" s="59"/>
      <c r="P58" s="59"/>
      <c r="Q58" s="61"/>
      <c r="R58" s="8"/>
      <c r="S58" s="257" t="s">
        <v>237</v>
      </c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8"/>
      <c r="AK58" s="12"/>
      <c r="AL58" s="12"/>
      <c r="AM58" s="14"/>
      <c r="AN58" s="257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257" t="s">
        <v>237</v>
      </c>
      <c r="BK58" s="257"/>
      <c r="BL58" s="257"/>
      <c r="BM58" s="257"/>
      <c r="BN58" s="257"/>
      <c r="BO58" s="257"/>
      <c r="BP58" s="257"/>
      <c r="BQ58" s="257"/>
      <c r="BR58" s="257"/>
      <c r="BS58" s="257"/>
      <c r="BT58" s="257"/>
      <c r="BU58" s="257"/>
      <c r="BV58" s="257"/>
      <c r="BW58" s="257"/>
      <c r="BX58" s="257"/>
      <c r="BY58" s="257"/>
      <c r="BZ58" s="257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</row>
    <row r="59" spans="1:168" ht="10" customHeight="1" x14ac:dyDescent="0.35">
      <c r="A59" s="8"/>
      <c r="B59" s="8"/>
      <c r="C59" s="63"/>
      <c r="D59" s="59"/>
      <c r="E59" s="59"/>
      <c r="F59" s="59"/>
      <c r="G59" s="66"/>
      <c r="H59" s="673"/>
      <c r="I59" s="70"/>
      <c r="J59" s="59"/>
      <c r="K59" s="59"/>
      <c r="L59" s="652"/>
      <c r="M59" s="652"/>
      <c r="N59" s="59"/>
      <c r="O59" s="59"/>
      <c r="P59" s="59"/>
      <c r="Q59" s="61"/>
      <c r="R59" s="8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8"/>
      <c r="AN59" s="257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257"/>
      <c r="BK59" s="257"/>
      <c r="BL59" s="257"/>
      <c r="BM59" s="257"/>
      <c r="BN59" s="257"/>
      <c r="BO59" s="257"/>
      <c r="BP59" s="257"/>
      <c r="BQ59" s="257"/>
      <c r="BR59" s="257"/>
      <c r="BS59" s="257"/>
      <c r="BT59" s="257"/>
      <c r="BU59" s="257"/>
      <c r="BV59" s="257"/>
      <c r="BW59" s="257"/>
      <c r="BX59" s="257"/>
      <c r="BY59" s="257"/>
      <c r="BZ59" s="257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</row>
    <row r="60" spans="1:168" ht="20.149999999999999" customHeight="1" x14ac:dyDescent="0.35">
      <c r="A60" s="8"/>
      <c r="B60" s="8"/>
      <c r="C60" s="590" t="s">
        <v>276</v>
      </c>
      <c r="D60" s="591"/>
      <c r="E60" s="591"/>
      <c r="F60" s="591">
        <v>1</v>
      </c>
      <c r="G60" s="28">
        <f ca="1">_xlfn.XLOOKUP(F54,'WP-Ranglisten'!AB206:AB232,'WP-Ranglisten'!AG206:AG232)*100</f>
        <v>169</v>
      </c>
      <c r="H60" s="673"/>
      <c r="I60" s="70" t="s">
        <v>303</v>
      </c>
      <c r="J60" s="25">
        <f ca="1">_xlfn.XLOOKUP(F54,'WP-Ranglisten'!AB206:AB232,'WP-Ranglisten'!AF206:AF232)</f>
        <v>24</v>
      </c>
      <c r="K60" s="59"/>
      <c r="L60" s="652"/>
      <c r="M60" s="652"/>
      <c r="N60" s="59"/>
      <c r="O60" s="59"/>
      <c r="P60" s="59"/>
      <c r="Q60" s="61"/>
      <c r="R60" s="11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257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</row>
    <row r="61" spans="1:168" ht="10" customHeight="1" x14ac:dyDescent="0.35">
      <c r="A61" s="8"/>
      <c r="B61" s="8"/>
      <c r="C61" s="62"/>
      <c r="D61" s="65"/>
      <c r="E61" s="65"/>
      <c r="F61" s="65"/>
      <c r="G61" s="65"/>
      <c r="H61" s="71"/>
      <c r="I61" s="59"/>
      <c r="J61" s="59"/>
      <c r="K61" s="59"/>
      <c r="L61" s="652"/>
      <c r="M61" s="652"/>
      <c r="N61" s="59"/>
      <c r="O61" s="59"/>
      <c r="P61" s="59"/>
      <c r="Q61" s="61"/>
      <c r="R61" s="11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257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</row>
    <row r="62" spans="1:168" ht="20.149999999999999" customHeight="1" x14ac:dyDescent="0.35">
      <c r="A62" s="8"/>
      <c r="B62" s="8"/>
      <c r="C62" s="63" t="s">
        <v>6</v>
      </c>
      <c r="D62" s="27">
        <f ca="1">'WP-Ranglisten'!AK206</f>
        <v>5.2649999999999997</v>
      </c>
      <c r="E62" s="591" t="s">
        <v>267</v>
      </c>
      <c r="F62" s="591"/>
      <c r="G62" s="27">
        <f ca="1">IFERROR((G58*0.8+G60*0.2)*0.025,"n.a.")</f>
        <v>5.2650000000000006</v>
      </c>
      <c r="H62" s="71" t="s">
        <v>266</v>
      </c>
      <c r="I62" s="66" t="s">
        <v>265</v>
      </c>
      <c r="J62" s="197">
        <f ca="1">IFERROR((D62/G62-1),"n.a.")</f>
        <v>-2.2204460492503131E-16</v>
      </c>
      <c r="K62" s="59"/>
      <c r="L62" s="652"/>
      <c r="M62" s="652"/>
      <c r="N62" s="59"/>
      <c r="O62" s="59"/>
      <c r="P62" s="59"/>
      <c r="Q62" s="61"/>
      <c r="R62" s="8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</row>
    <row r="63" spans="1:168" ht="10" customHeight="1" x14ac:dyDescent="0.35">
      <c r="A63" s="8"/>
      <c r="B63" s="8"/>
      <c r="C63" s="64"/>
      <c r="D63" s="60"/>
      <c r="E63" s="60"/>
      <c r="F63" s="60"/>
      <c r="G63" s="65"/>
      <c r="H63" s="59"/>
      <c r="I63" s="59"/>
      <c r="J63" s="59"/>
      <c r="K63" s="59"/>
      <c r="L63" s="652"/>
      <c r="M63" s="652"/>
      <c r="N63" s="59"/>
      <c r="O63" s="59"/>
      <c r="P63" s="59"/>
      <c r="Q63" s="61"/>
      <c r="R63" s="8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</row>
    <row r="64" spans="1:168" ht="20.149999999999999" customHeight="1" x14ac:dyDescent="0.35">
      <c r="A64" s="8"/>
      <c r="B64" s="8"/>
      <c r="C64" s="209" t="s">
        <v>493</v>
      </c>
      <c r="D64" s="589" t="s">
        <v>298</v>
      </c>
      <c r="E64" s="589"/>
      <c r="F64" s="589">
        <v>1</v>
      </c>
      <c r="G64" s="589"/>
      <c r="H64" s="589"/>
      <c r="I64" s="70" t="s">
        <v>12</v>
      </c>
      <c r="J64" s="22" t="str">
        <f ca="1">_xlfn.XLOOKUP(F54,'WP-Ranglisten'!AB206:AB232,'WP-Ranglisten'!AH206:AH232)</f>
        <v>R410A</v>
      </c>
      <c r="K64" s="66"/>
      <c r="L64" s="59"/>
      <c r="M64" s="59"/>
      <c r="N64" s="59"/>
      <c r="O64" s="59"/>
      <c r="P64" s="59"/>
      <c r="Q64" s="61"/>
      <c r="R64" s="8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</row>
    <row r="65" spans="1:182" ht="10" customHeight="1" x14ac:dyDescent="0.35">
      <c r="A65" s="8"/>
      <c r="B65" s="8"/>
      <c r="C65" s="209"/>
      <c r="D65" s="210"/>
      <c r="E65" s="210"/>
      <c r="F65" s="210"/>
      <c r="G65" s="212"/>
      <c r="H65" s="212"/>
      <c r="I65" s="212"/>
      <c r="J65" s="66"/>
      <c r="K65" s="59"/>
      <c r="L65" s="59"/>
      <c r="M65" s="59"/>
      <c r="N65" s="59"/>
      <c r="O65" s="59"/>
      <c r="P65" s="59"/>
      <c r="Q65" s="61"/>
      <c r="R65" s="8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</row>
    <row r="66" spans="1:182" ht="20.149999999999999" customHeight="1" x14ac:dyDescent="0.35">
      <c r="A66" s="8"/>
      <c r="B66" s="8"/>
      <c r="C66" s="63" t="str">
        <f>IF(D64="Puffer- und WW-Speicher","WW-Speicher","Kombi-Speicher")</f>
        <v>Kombi-Speicher</v>
      </c>
      <c r="D66" s="220">
        <v>900</v>
      </c>
      <c r="E66" s="414" t="s">
        <v>496</v>
      </c>
      <c r="F66" s="211" t="s">
        <v>483</v>
      </c>
      <c r="G66" s="220">
        <v>100</v>
      </c>
      <c r="H66" s="672" t="str">
        <f>IF(D64="Puffer- und WW-Speicher","Ltr.       Trennspeicher ?","            Trennspeicher ?")</f>
        <v xml:space="preserve">            Trennspeicher ?</v>
      </c>
      <c r="I66" s="672"/>
      <c r="J66" s="217" t="s">
        <v>83</v>
      </c>
      <c r="K66" s="59"/>
      <c r="L66" s="59"/>
      <c r="M66" s="59"/>
      <c r="N66" s="59"/>
      <c r="O66" s="59"/>
      <c r="P66" s="59"/>
      <c r="Q66" s="61"/>
      <c r="R66" s="8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</row>
    <row r="67" spans="1:182" ht="10" customHeight="1" thickBot="1" x14ac:dyDescent="0.4">
      <c r="A67" s="8"/>
      <c r="B67" s="8"/>
      <c r="C67" s="86"/>
      <c r="D67" s="79"/>
      <c r="E67" s="79"/>
      <c r="F67" s="79"/>
      <c r="G67" s="412"/>
      <c r="H67" s="412"/>
      <c r="I67" s="412"/>
      <c r="J67" s="79"/>
      <c r="K67" s="79"/>
      <c r="L67" s="79"/>
      <c r="M67" s="79"/>
      <c r="N67" s="79"/>
      <c r="O67" s="79"/>
      <c r="P67" s="79"/>
      <c r="Q67" s="80"/>
      <c r="R67" s="8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</row>
    <row r="68" spans="1:182" ht="19.5" customHeight="1" thickTop="1" thickBo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</row>
    <row r="69" spans="1:182" ht="10" customHeight="1" thickTop="1" x14ac:dyDescent="0.35">
      <c r="A69" s="8"/>
      <c r="B69" s="8"/>
      <c r="C69" s="83"/>
      <c r="D69" s="84"/>
      <c r="E69" s="84"/>
      <c r="F69" s="84"/>
      <c r="G69" s="84"/>
      <c r="H69" s="84"/>
      <c r="I69" s="84"/>
      <c r="J69" s="84"/>
      <c r="K69" s="567"/>
      <c r="L69" s="567"/>
      <c r="M69" s="84"/>
      <c r="N69" s="84"/>
      <c r="O69" s="84"/>
      <c r="P69" s="84"/>
      <c r="Q69" s="85"/>
      <c r="R69" s="8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</row>
    <row r="70" spans="1:182" ht="10" customHeight="1" x14ac:dyDescent="0.35">
      <c r="A70" s="8"/>
      <c r="B70" s="8"/>
      <c r="C70" s="62"/>
      <c r="D70" s="59"/>
      <c r="E70" s="59"/>
      <c r="F70" s="59"/>
      <c r="G70" s="59"/>
      <c r="H70" s="59"/>
      <c r="I70" s="59"/>
      <c r="J70" s="59"/>
      <c r="K70" s="568"/>
      <c r="L70" s="568"/>
      <c r="M70" s="59"/>
      <c r="N70" s="59"/>
      <c r="O70" s="59"/>
      <c r="P70" s="59"/>
      <c r="Q70" s="61"/>
      <c r="R70" s="8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</row>
    <row r="71" spans="1:182" ht="20.149999999999999" customHeight="1" thickBot="1" x14ac:dyDescent="0.4">
      <c r="A71" s="8"/>
      <c r="B71" s="8"/>
      <c r="C71" s="62"/>
      <c r="D71" s="59"/>
      <c r="E71" s="59"/>
      <c r="F71" s="59"/>
      <c r="G71" s="59"/>
      <c r="H71" s="59"/>
      <c r="I71" s="59"/>
      <c r="J71" s="59"/>
      <c r="K71" s="622" t="s">
        <v>278</v>
      </c>
      <c r="L71" s="622"/>
      <c r="M71" s="622"/>
      <c r="N71" s="622"/>
      <c r="O71" s="222" t="s">
        <v>84</v>
      </c>
      <c r="P71" s="623" t="s">
        <v>413</v>
      </c>
      <c r="Q71" s="624"/>
      <c r="R71" s="8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</row>
    <row r="72" spans="1:182" ht="10" customHeight="1" x14ac:dyDescent="0.35">
      <c r="A72" s="8"/>
      <c r="B72" s="8"/>
      <c r="C72" s="62"/>
      <c r="D72" s="59"/>
      <c r="E72" s="59"/>
      <c r="F72" s="59"/>
      <c r="G72" s="59"/>
      <c r="H72" s="59"/>
      <c r="I72" s="59"/>
      <c r="J72" s="59"/>
      <c r="K72" s="568"/>
      <c r="L72" s="568"/>
      <c r="M72" s="59"/>
      <c r="N72" s="59"/>
      <c r="O72" s="59"/>
      <c r="P72" s="623"/>
      <c r="Q72" s="624"/>
      <c r="R72" s="8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</row>
    <row r="73" spans="1:182" ht="20.149999999999999" customHeight="1" x14ac:dyDescent="0.4">
      <c r="A73" s="8"/>
      <c r="B73" s="8"/>
      <c r="C73" s="655" t="s">
        <v>269</v>
      </c>
      <c r="D73" s="656"/>
      <c r="E73" s="657">
        <f ca="1">IF(F49&gt;1,F49*0.925*(X!K3+X!K5),(X!K3+X!K5))</f>
        <v>2309.5940472277111</v>
      </c>
      <c r="F73" s="658"/>
      <c r="G73" s="656" t="s">
        <v>268</v>
      </c>
      <c r="H73" s="656"/>
      <c r="I73" s="416">
        <f ca="1">X!K75</f>
        <v>441.8423059198999</v>
      </c>
      <c r="J73" s="78" t="s">
        <v>68</v>
      </c>
      <c r="K73" s="656" t="s">
        <v>277</v>
      </c>
      <c r="L73" s="656"/>
      <c r="M73" s="656"/>
      <c r="N73" s="213">
        <f ca="1">IFERROR(I73/E73," ")</f>
        <v>0.19130734531042765</v>
      </c>
      <c r="O73" s="328" t="s">
        <v>68</v>
      </c>
      <c r="P73" s="625">
        <f ca="1">IF(X!L41&gt;0,X!L41*15*J60,0)</f>
        <v>0</v>
      </c>
      <c r="Q73" s="626"/>
      <c r="R73" s="8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</row>
    <row r="74" spans="1:182" ht="20.149999999999999" customHeight="1" x14ac:dyDescent="0.35">
      <c r="A74" s="8"/>
      <c r="B74" s="8"/>
      <c r="C74" s="62"/>
      <c r="D74" s="59"/>
      <c r="E74" s="59"/>
      <c r="F74" s="59"/>
      <c r="G74" s="59"/>
      <c r="H74" s="59"/>
      <c r="I74" s="59"/>
      <c r="J74" s="59"/>
      <c r="K74" s="568" t="s">
        <v>431</v>
      </c>
      <c r="L74" s="568"/>
      <c r="M74" s="59"/>
      <c r="N74" s="59"/>
      <c r="O74" s="59"/>
      <c r="P74" s="59"/>
      <c r="Q74" s="61"/>
      <c r="R74" s="8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</row>
    <row r="75" spans="1:182" s="88" customFormat="1" ht="20.25" customHeight="1" x14ac:dyDescent="0.35">
      <c r="A75" s="8"/>
      <c r="B75" s="8"/>
      <c r="C75" s="666" t="s">
        <v>432</v>
      </c>
      <c r="D75" s="667"/>
      <c r="E75" s="667"/>
      <c r="F75" s="667"/>
      <c r="G75" s="667"/>
      <c r="H75" s="668"/>
      <c r="I75" s="629">
        <f ca="1">IFERROR(E73+I73+P73,"n.a.")</f>
        <v>2751.436353147611</v>
      </c>
      <c r="J75" s="631" t="s">
        <v>433</v>
      </c>
      <c r="K75" s="645">
        <f>IFERROR(IF(F42="nein",0,H42),"n.a.")</f>
        <v>0</v>
      </c>
      <c r="L75" s="634">
        <f ca="1">X!K3+X!R6+Eingabe!P73</f>
        <v>2482.2359277437645</v>
      </c>
      <c r="M75" s="636" t="s">
        <v>498</v>
      </c>
      <c r="N75" s="637"/>
      <c r="O75" s="637"/>
      <c r="P75" s="640">
        <f ca="1">IFERROR((E36+E38-X!J80)/I75,"n.a.")</f>
        <v>5.4523112929136976</v>
      </c>
      <c r="Q75" s="89"/>
      <c r="R75" s="8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8"/>
      <c r="AN75" s="8"/>
      <c r="AO75" s="8"/>
      <c r="AP75" s="8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</row>
    <row r="76" spans="1:182" ht="10" customHeight="1" thickBot="1" x14ac:dyDescent="0.4">
      <c r="A76" s="8"/>
      <c r="B76" s="8"/>
      <c r="C76" s="669"/>
      <c r="D76" s="670"/>
      <c r="E76" s="670"/>
      <c r="F76" s="670"/>
      <c r="G76" s="670"/>
      <c r="H76" s="671"/>
      <c r="I76" s="630"/>
      <c r="J76" s="632"/>
      <c r="K76" s="646"/>
      <c r="L76" s="635"/>
      <c r="M76" s="638"/>
      <c r="N76" s="639"/>
      <c r="O76" s="639"/>
      <c r="P76" s="641"/>
      <c r="Q76" s="228"/>
      <c r="R76" s="8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</row>
    <row r="77" spans="1:182" ht="10" customHeight="1" thickTop="1" thickBot="1" x14ac:dyDescent="0.4">
      <c r="A77" s="8"/>
      <c r="B77" s="8"/>
      <c r="C77" s="8"/>
      <c r="D77" s="19"/>
      <c r="E77" s="19"/>
      <c r="F77" s="19"/>
      <c r="G77" s="19"/>
      <c r="H77" s="8"/>
      <c r="I77" s="8"/>
      <c r="J77" s="8"/>
      <c r="K77" s="8"/>
      <c r="L77" s="8"/>
      <c r="M77" s="359"/>
      <c r="N77" s="8"/>
      <c r="O77" s="8"/>
      <c r="P77" s="8"/>
      <c r="Q77" s="8"/>
      <c r="R77" s="14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</row>
    <row r="78" spans="1:182" ht="10" customHeight="1" thickTop="1" x14ac:dyDescent="0.35">
      <c r="A78" s="8"/>
      <c r="B78" s="8"/>
      <c r="C78" s="229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1"/>
      <c r="R78" s="8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8"/>
      <c r="AN78" s="8"/>
      <c r="AO78" s="8"/>
      <c r="AP78" s="8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8"/>
      <c r="FX78" s="88"/>
      <c r="FY78" s="88"/>
      <c r="FZ78" s="88"/>
    </row>
    <row r="79" spans="1:182" ht="20.149999999999999" customHeight="1" x14ac:dyDescent="0.4">
      <c r="A79" s="14"/>
      <c r="B79" s="14"/>
      <c r="C79" s="588" t="s">
        <v>262</v>
      </c>
      <c r="D79" s="572"/>
      <c r="E79" s="237" t="s">
        <v>84</v>
      </c>
      <c r="F79" s="572" t="s">
        <v>263</v>
      </c>
      <c r="G79" s="572"/>
      <c r="H79" s="572"/>
      <c r="I79" s="627">
        <v>41300</v>
      </c>
      <c r="J79" s="627"/>
      <c r="K79" s="628" t="s">
        <v>264</v>
      </c>
      <c r="L79" s="628"/>
      <c r="M79" s="628"/>
      <c r="N79" s="654">
        <v>0.55000000000000004</v>
      </c>
      <c r="O79" s="654"/>
      <c r="P79" s="238"/>
      <c r="Q79" s="407" t="s">
        <v>419</v>
      </c>
      <c r="R79" s="8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</row>
    <row r="80" spans="1:182" ht="10" customHeight="1" x14ac:dyDescent="0.35">
      <c r="A80" s="8"/>
      <c r="B80" s="8"/>
      <c r="C80" s="233"/>
      <c r="D80" s="239"/>
      <c r="E80" s="239"/>
      <c r="F80" s="239"/>
      <c r="G80" s="239"/>
      <c r="H80" s="239"/>
      <c r="I80" s="240"/>
      <c r="J80" s="239"/>
      <c r="K80" s="239"/>
      <c r="L80" s="239"/>
      <c r="M80" s="239"/>
      <c r="N80" s="239"/>
      <c r="O80" s="239"/>
      <c r="P80" s="239"/>
      <c r="Q80" s="234"/>
      <c r="R80" s="14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</row>
    <row r="81" spans="1:169" ht="20.149999999999999" customHeight="1" x14ac:dyDescent="0.35">
      <c r="A81" s="14"/>
      <c r="B81" s="14"/>
      <c r="C81" s="588" t="s">
        <v>129</v>
      </c>
      <c r="D81" s="572"/>
      <c r="E81" s="572" t="str">
        <f>_xlfn.XLOOKUP(F11,Tabelle2029[Brennstoff],Tabelle2029[Preis])</f>
        <v>Heizöl</v>
      </c>
      <c r="F81" s="572"/>
      <c r="G81" s="241">
        <v>0.11</v>
      </c>
      <c r="H81" s="249" t="str">
        <f>_xlfn.XLOOKUP(E81,X!C16:C20,X!D16:D20)</f>
        <v>pro Liter</v>
      </c>
      <c r="I81" s="363">
        <f>_xlfn.XLOOKUP(F13,Tabelle2029[Brennstoff],Tabelle2029[Preis])</f>
        <v>0</v>
      </c>
      <c r="J81" s="242">
        <v>150</v>
      </c>
      <c r="K81" s="364" t="e">
        <f>_xlfn.XLOOKUP(I81,X!C16:C20,X!D16:D20)</f>
        <v>#N/A</v>
      </c>
      <c r="L81" s="572" t="s">
        <v>226</v>
      </c>
      <c r="M81" s="572"/>
      <c r="N81" s="621">
        <v>0.33</v>
      </c>
      <c r="O81" s="621"/>
      <c r="P81" s="238" t="s">
        <v>227</v>
      </c>
      <c r="Q81" s="232"/>
      <c r="R81" s="8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</row>
    <row r="82" spans="1:169" ht="10" customHeight="1" x14ac:dyDescent="0.35">
      <c r="A82" s="8"/>
      <c r="B82" s="8"/>
      <c r="C82" s="233"/>
      <c r="D82" s="239"/>
      <c r="E82" s="239"/>
      <c r="F82" s="239"/>
      <c r="G82" s="239"/>
      <c r="H82" s="239"/>
      <c r="I82" s="240"/>
      <c r="J82" s="239"/>
      <c r="K82" s="239"/>
      <c r="L82" s="239"/>
      <c r="M82" s="239"/>
      <c r="N82" s="239"/>
      <c r="O82" s="239"/>
      <c r="P82" s="239"/>
      <c r="Q82" s="234"/>
      <c r="R82" s="8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</row>
    <row r="83" spans="1:169" ht="20.149999999999999" customHeight="1" x14ac:dyDescent="0.35">
      <c r="A83" s="8"/>
      <c r="B83" s="8"/>
      <c r="C83" s="584" t="s">
        <v>494</v>
      </c>
      <c r="D83" s="585"/>
      <c r="E83" s="585"/>
      <c r="F83" s="585"/>
      <c r="G83" s="586" t="s">
        <v>306</v>
      </c>
      <c r="H83" s="586"/>
      <c r="I83" s="586"/>
      <c r="J83" s="586"/>
      <c r="K83" s="325" t="str">
        <f ca="1">IFERROR(IF((H93-H95-0.005*0.5*I79)&lt;0,"nie",H87/(H93-H95-0.005*0.5*I79))," ")</f>
        <v>nie</v>
      </c>
      <c r="L83" s="586" t="s">
        <v>307</v>
      </c>
      <c r="M83" s="586"/>
      <c r="N83" s="586"/>
      <c r="O83" s="326">
        <f ca="1">IFERROR(IF((H93-H95-H87/20-0.005*0.35*I79)/(0.5*H87)&lt;0,0,(H93-H95-H87/20-0.005*0.35*I79)/(0.5*H87))," ")</f>
        <v>0</v>
      </c>
      <c r="P83" s="586" t="s">
        <v>443</v>
      </c>
      <c r="Q83" s="644"/>
      <c r="R83" s="8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</row>
    <row r="84" spans="1:169" ht="10" customHeight="1" x14ac:dyDescent="0.4">
      <c r="A84" s="8"/>
      <c r="B84" s="8"/>
      <c r="C84" s="235"/>
      <c r="D84" s="243"/>
      <c r="E84" s="243"/>
      <c r="F84" s="243"/>
      <c r="G84" s="243"/>
      <c r="H84" s="243"/>
      <c r="I84" s="243"/>
      <c r="J84" s="244"/>
      <c r="K84" s="244"/>
      <c r="L84" s="245"/>
      <c r="M84" s="245"/>
      <c r="N84" s="244"/>
      <c r="O84" s="243"/>
      <c r="P84" s="243"/>
      <c r="Q84" s="236"/>
      <c r="R84" s="8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</row>
    <row r="85" spans="1:169" ht="20.149999999999999" customHeight="1" x14ac:dyDescent="0.35">
      <c r="A85" s="8"/>
      <c r="B85" s="8"/>
      <c r="C85" s="661" t="s">
        <v>428</v>
      </c>
      <c r="D85" s="662"/>
      <c r="E85" s="662"/>
      <c r="F85" s="357" t="str">
        <f>_xlfn.XLOOKUP(F11,X!A16:A20,X!E16:E20)</f>
        <v>Öl-</v>
      </c>
      <c r="G85" s="356" t="s">
        <v>427</v>
      </c>
      <c r="H85" s="660">
        <v>8000</v>
      </c>
      <c r="I85" s="660"/>
      <c r="J85" s="247"/>
      <c r="K85" s="572" t="s">
        <v>459</v>
      </c>
      <c r="L85" s="572"/>
      <c r="M85" s="572"/>
      <c r="N85" s="572"/>
      <c r="O85" s="572"/>
      <c r="P85" s="572"/>
      <c r="Q85" s="573"/>
      <c r="R85" s="8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</row>
    <row r="86" spans="1:169" ht="10" customHeight="1" x14ac:dyDescent="0.4">
      <c r="A86" s="8"/>
      <c r="B86" s="8"/>
      <c r="C86" s="235"/>
      <c r="D86" s="243"/>
      <c r="E86" s="243"/>
      <c r="F86" s="243"/>
      <c r="G86" s="243"/>
      <c r="H86" s="243"/>
      <c r="I86" s="243"/>
      <c r="J86" s="244"/>
      <c r="K86" s="244"/>
      <c r="L86" s="245"/>
      <c r="M86" s="245"/>
      <c r="N86" s="244"/>
      <c r="O86" s="243"/>
      <c r="P86" s="243"/>
      <c r="Q86" s="236"/>
      <c r="R86" s="8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</row>
    <row r="87" spans="1:169" ht="20.149999999999999" customHeight="1" x14ac:dyDescent="0.4">
      <c r="A87" s="8"/>
      <c r="B87" s="8"/>
      <c r="C87" s="583" t="s">
        <v>384</v>
      </c>
      <c r="D87" s="576"/>
      <c r="E87" s="576"/>
      <c r="F87" s="576"/>
      <c r="G87" s="576"/>
      <c r="H87" s="579">
        <f>IFERROR(IF(Q79="D30",I79-IF(I79&lt;=30000,I79*N79,30000*N79),IF(Q79="D45",I79-IF(I79&lt;=45000,I79*N79,45000*N79),IF(Q79="D60",I79-IF(I79&lt;=60000,I79*N79,60000*N79),I79-IF(I79*N79&gt;=11000,11000,I79*N79))))-H85,"n.a.")</f>
        <v>16800</v>
      </c>
      <c r="I87" s="579"/>
      <c r="J87" s="633" t="s">
        <v>455</v>
      </c>
      <c r="K87" s="633"/>
      <c r="L87" s="633"/>
      <c r="M87" s="574">
        <f ca="1">IFERROR(ROUND(-H87+20*(H93-H95-0.005*0.5*I79),0)," ")</f>
        <v>-32954</v>
      </c>
      <c r="N87" s="574"/>
      <c r="O87" s="628" t="str">
        <f ca="1">IF(M87&gt;=0,"Überschuss","Verlust")</f>
        <v>Verlust</v>
      </c>
      <c r="P87" s="628"/>
      <c r="Q87" s="232"/>
      <c r="R87" s="8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</row>
    <row r="88" spans="1:169" ht="20.149999999999999" customHeight="1" x14ac:dyDescent="0.35">
      <c r="A88" s="8"/>
      <c r="B88" s="8"/>
      <c r="C88" s="327"/>
      <c r="D88" s="246"/>
      <c r="E88" s="246"/>
      <c r="F88" s="246"/>
      <c r="G88" s="246"/>
      <c r="H88" s="247"/>
      <c r="I88" s="247"/>
      <c r="J88" s="247"/>
      <c r="K88" s="247"/>
      <c r="L88" s="247"/>
      <c r="M88" s="247"/>
      <c r="N88" s="247"/>
      <c r="O88" s="247"/>
      <c r="P88" s="247"/>
      <c r="Q88" s="232"/>
      <c r="R88" s="8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</row>
    <row r="89" spans="1:169" ht="20.149999999999999" customHeight="1" x14ac:dyDescent="0.35">
      <c r="A89" s="8"/>
      <c r="B89" s="8"/>
      <c r="C89" s="649" t="s">
        <v>444</v>
      </c>
      <c r="D89" s="587" t="s">
        <v>445</v>
      </c>
      <c r="E89" s="587"/>
      <c r="F89" s="587" t="str">
        <f>_xlfn.XLOOKUP(F11,X!A16:A20,X!C16:C20)</f>
        <v>Heizöl</v>
      </c>
      <c r="G89" s="587"/>
      <c r="H89" s="577">
        <f>I11*G81</f>
        <v>203.5</v>
      </c>
      <c r="I89" s="578"/>
      <c r="J89" s="248"/>
      <c r="K89" s="248"/>
      <c r="L89" s="248"/>
      <c r="M89" s="248"/>
      <c r="N89" s="248"/>
      <c r="O89" s="248"/>
      <c r="P89" s="248"/>
      <c r="Q89" s="236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</row>
    <row r="90" spans="1:169" ht="10" customHeight="1" x14ac:dyDescent="0.35">
      <c r="A90" s="8"/>
      <c r="B90" s="8"/>
      <c r="C90" s="650"/>
      <c r="D90" s="365"/>
      <c r="E90" s="367"/>
      <c r="F90" s="367"/>
      <c r="G90" s="366"/>
      <c r="H90" s="368"/>
      <c r="I90" s="369"/>
      <c r="J90" s="246"/>
      <c r="K90" s="246"/>
      <c r="L90" s="246"/>
      <c r="M90" s="246"/>
      <c r="N90" s="248"/>
      <c r="O90" s="248"/>
      <c r="P90" s="248"/>
      <c r="Q90" s="236"/>
      <c r="R90" s="8"/>
      <c r="S90" s="12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</row>
    <row r="91" spans="1:169" ht="20.149999999999999" customHeight="1" x14ac:dyDescent="0.35">
      <c r="A91" s="8"/>
      <c r="B91" s="8"/>
      <c r="C91" s="650"/>
      <c r="D91" s="576" t="s">
        <v>446</v>
      </c>
      <c r="E91" s="576"/>
      <c r="F91" s="576" t="str">
        <f>IFERROR(_xlfn.XLOOKUP(F13,X!A16:A20,X!C16:C20)," ")</f>
        <v xml:space="preserve"> </v>
      </c>
      <c r="G91" s="576"/>
      <c r="H91" s="579">
        <f>I13*J81</f>
        <v>0</v>
      </c>
      <c r="I91" s="580"/>
      <c r="J91" s="643"/>
      <c r="K91" s="643"/>
      <c r="L91" s="246"/>
      <c r="M91" s="246"/>
      <c r="N91" s="248"/>
      <c r="O91" s="248"/>
      <c r="P91" s="248"/>
      <c r="Q91" s="236"/>
      <c r="R91" s="8"/>
      <c r="S91" s="35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</row>
    <row r="92" spans="1:169" ht="10" customHeight="1" x14ac:dyDescent="0.35">
      <c r="A92" s="8"/>
      <c r="B92" s="8"/>
      <c r="C92" s="650"/>
      <c r="D92" s="366"/>
      <c r="E92" s="366"/>
      <c r="F92" s="366"/>
      <c r="G92" s="366"/>
      <c r="H92" s="243"/>
      <c r="I92" s="370"/>
      <c r="J92" s="246"/>
      <c r="K92" s="246"/>
      <c r="L92" s="246"/>
      <c r="M92" s="246"/>
      <c r="N92" s="248"/>
      <c r="O92" s="248"/>
      <c r="P92" s="248"/>
      <c r="Q92" s="236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</row>
    <row r="93" spans="1:169" ht="20.149999999999999" customHeight="1" x14ac:dyDescent="0.35">
      <c r="A93" s="8"/>
      <c r="B93" s="8"/>
      <c r="C93" s="650"/>
      <c r="D93" s="576" t="s">
        <v>91</v>
      </c>
      <c r="E93" s="576"/>
      <c r="F93" s="576"/>
      <c r="G93" s="576"/>
      <c r="H93" s="579">
        <f>H89+H91</f>
        <v>203.5</v>
      </c>
      <c r="I93" s="580"/>
      <c r="J93" s="246"/>
      <c r="K93" s="247"/>
      <c r="L93" s="246"/>
      <c r="M93" s="246"/>
      <c r="N93" s="248"/>
      <c r="O93" s="248"/>
      <c r="P93" s="248"/>
      <c r="Q93" s="236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</row>
    <row r="94" spans="1:169" ht="10" customHeight="1" x14ac:dyDescent="0.35">
      <c r="A94" s="8"/>
      <c r="B94" s="8"/>
      <c r="C94" s="650"/>
      <c r="D94" s="366"/>
      <c r="E94" s="366"/>
      <c r="F94" s="366"/>
      <c r="G94" s="366"/>
      <c r="H94" s="243"/>
      <c r="I94" s="370"/>
      <c r="J94" s="246"/>
      <c r="K94" s="246"/>
      <c r="L94" s="246"/>
      <c r="M94" s="246"/>
      <c r="N94" s="248"/>
      <c r="O94" s="248"/>
      <c r="P94" s="248"/>
      <c r="Q94" s="236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</row>
    <row r="95" spans="1:169" ht="20.149999999999999" customHeight="1" x14ac:dyDescent="0.35">
      <c r="A95" s="8"/>
      <c r="B95" s="8"/>
      <c r="C95" s="651"/>
      <c r="D95" s="575" t="s">
        <v>93</v>
      </c>
      <c r="E95" s="575"/>
      <c r="F95" s="575" t="s">
        <v>305</v>
      </c>
      <c r="G95" s="575"/>
      <c r="H95" s="581">
        <f ca="1">I75*N81</f>
        <v>907.97399653871173</v>
      </c>
      <c r="I95" s="582"/>
      <c r="J95" s="246"/>
      <c r="K95" s="246"/>
      <c r="L95" s="246"/>
      <c r="M95" s="246"/>
      <c r="N95" s="248"/>
      <c r="O95" s="248"/>
      <c r="P95" s="248"/>
      <c r="Q95" s="236"/>
      <c r="R95" s="8"/>
      <c r="S95" s="620" t="s">
        <v>429</v>
      </c>
      <c r="T95" s="620"/>
      <c r="U95" s="620"/>
      <c r="V95" s="620"/>
      <c r="W95" s="620"/>
      <c r="X95" s="620"/>
      <c r="Y95" s="620"/>
      <c r="Z95" s="620"/>
      <c r="AA95" s="620"/>
      <c r="AB95" s="620"/>
      <c r="AC95" s="620"/>
      <c r="AD95" s="620"/>
      <c r="AE95" s="620"/>
      <c r="AF95" s="620"/>
      <c r="AG95" s="620"/>
      <c r="AH95" s="620"/>
      <c r="AI95" s="620"/>
      <c r="AJ95" s="620"/>
      <c r="AK95" s="620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</row>
    <row r="96" spans="1:169" ht="5.15" customHeight="1" x14ac:dyDescent="0.35">
      <c r="A96" s="8"/>
      <c r="B96" s="8"/>
      <c r="C96" s="254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6"/>
      <c r="R96" s="8"/>
      <c r="S96" s="620"/>
      <c r="T96" s="620"/>
      <c r="U96" s="620"/>
      <c r="V96" s="620"/>
      <c r="W96" s="620"/>
      <c r="X96" s="620"/>
      <c r="Y96" s="620"/>
      <c r="Z96" s="620"/>
      <c r="AA96" s="620"/>
      <c r="AB96" s="620"/>
      <c r="AC96" s="620"/>
      <c r="AD96" s="620"/>
      <c r="AE96" s="620"/>
      <c r="AF96" s="620"/>
      <c r="AG96" s="620"/>
      <c r="AH96" s="620"/>
      <c r="AI96" s="620"/>
      <c r="AJ96" s="620"/>
      <c r="AK96" s="620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</row>
    <row r="97" spans="1:168" ht="10" customHeight="1" thickBot="1" x14ac:dyDescent="0.45">
      <c r="A97" s="8"/>
      <c r="B97" s="8"/>
      <c r="C97" s="663" t="s">
        <v>130</v>
      </c>
      <c r="D97" s="664"/>
      <c r="E97" s="664"/>
      <c r="F97" s="664"/>
      <c r="G97" s="664"/>
      <c r="H97" s="665" t="str">
        <f>IF(E78="nein"," ",IFERROR(#REF!-#REF!,"n.a."))</f>
        <v>n.a.</v>
      </c>
      <c r="I97" s="665"/>
      <c r="J97" s="659" t="s">
        <v>131</v>
      </c>
      <c r="K97" s="659"/>
      <c r="L97" s="659"/>
      <c r="M97" s="250" t="str">
        <f>IF(E78="nein"," ",IFERROR(#REF!,"n.a."))</f>
        <v>n.a.</v>
      </c>
      <c r="N97" s="251" t="s">
        <v>128</v>
      </c>
      <c r="O97" s="252"/>
      <c r="P97" s="252"/>
      <c r="Q97" s="253" t="s">
        <v>99</v>
      </c>
      <c r="R97" s="8"/>
      <c r="S97" s="620" t="s">
        <v>430</v>
      </c>
      <c r="T97" s="620"/>
      <c r="U97" s="620"/>
      <c r="V97" s="620"/>
      <c r="W97" s="620"/>
      <c r="X97" s="620"/>
      <c r="Y97" s="620"/>
      <c r="Z97" s="620"/>
      <c r="AA97" s="620"/>
      <c r="AB97" s="620"/>
      <c r="AC97" s="620"/>
      <c r="AD97" s="620"/>
      <c r="AE97" s="620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</row>
    <row r="98" spans="1:168" ht="22" customHeight="1" thickTop="1" x14ac:dyDescent="0.4">
      <c r="A98" s="8"/>
      <c r="B98" s="8"/>
      <c r="C98" s="647" t="s">
        <v>130</v>
      </c>
      <c r="D98" s="647"/>
      <c r="E98" s="647"/>
      <c r="F98" s="647"/>
      <c r="G98" s="647"/>
      <c r="H98" s="648" t="str">
        <f>IF(E79="nein"," ",IFERROR(#REF!-#REF!,"n.a."))</f>
        <v>n.a.</v>
      </c>
      <c r="I98" s="648"/>
      <c r="J98" s="642" t="s">
        <v>131</v>
      </c>
      <c r="K98" s="642"/>
      <c r="L98" s="642"/>
      <c r="M98" s="225" t="str">
        <f>IF(E79="nein"," ",IFERROR(#REF!,"n.a."))</f>
        <v>n.a.</v>
      </c>
      <c r="N98" s="87" t="s">
        <v>128</v>
      </c>
      <c r="O98" s="226"/>
      <c r="P98" s="226"/>
      <c r="Q98" s="227" t="s">
        <v>99</v>
      </c>
      <c r="R98" s="8"/>
      <c r="S98" s="620"/>
      <c r="T98" s="620"/>
      <c r="U98" s="620"/>
      <c r="V98" s="620"/>
      <c r="W98" s="620"/>
      <c r="X98" s="620"/>
      <c r="Y98" s="620"/>
      <c r="Z98" s="620"/>
      <c r="AA98" s="620"/>
      <c r="AB98" s="620"/>
      <c r="AC98" s="620"/>
      <c r="AD98" s="620"/>
      <c r="AE98" s="620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</row>
    <row r="99" spans="1:168" ht="24.5" x14ac:dyDescent="0.4">
      <c r="A99" s="8"/>
      <c r="B99" s="8"/>
      <c r="C99" s="8"/>
      <c r="D99" s="8"/>
      <c r="E99" s="653"/>
      <c r="F99" s="653"/>
      <c r="G99" s="653"/>
      <c r="H99" s="653"/>
      <c r="I99" s="653"/>
      <c r="J99" s="653"/>
      <c r="K99" s="653"/>
      <c r="L99" s="653"/>
      <c r="M99" s="653"/>
      <c r="N99" s="8"/>
      <c r="O99" s="8"/>
      <c r="P99" s="8"/>
      <c r="Q99" s="8"/>
      <c r="R99" s="8"/>
      <c r="S99" s="259" t="s">
        <v>476</v>
      </c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</row>
    <row r="100" spans="1:168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</row>
    <row r="101" spans="1:168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</row>
    <row r="102" spans="1:168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</row>
    <row r="103" spans="1:168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</row>
    <row r="104" spans="1:168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</row>
    <row r="105" spans="1:168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</row>
    <row r="106" spans="1:168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</row>
    <row r="107" spans="1:168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</row>
    <row r="108" spans="1:168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</row>
    <row r="109" spans="1:168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</row>
    <row r="110" spans="1:168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</row>
    <row r="111" spans="1:168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</row>
    <row r="112" spans="1:168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</row>
    <row r="113" spans="1:168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</row>
    <row r="114" spans="1:168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</row>
    <row r="115" spans="1:168" ht="18.649999999999999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</row>
    <row r="116" spans="1:168" ht="18.649999999999999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</row>
    <row r="117" spans="1:168" ht="18.649999999999999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</row>
    <row r="118" spans="1:168" ht="18.649999999999999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</row>
    <row r="119" spans="1:168" ht="18.649999999999999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</row>
    <row r="120" spans="1:168" ht="18.649999999999999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</row>
    <row r="121" spans="1:168" ht="18.649999999999999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</row>
    <row r="122" spans="1:168" ht="18.649999999999999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</row>
    <row r="123" spans="1:168" ht="18.649999999999999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</row>
    <row r="124" spans="1:168" ht="18.649999999999999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</row>
    <row r="125" spans="1:168" ht="18.649999999999999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</row>
    <row r="126" spans="1:168" ht="18.649999999999999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</row>
    <row r="127" spans="1:168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</row>
    <row r="128" spans="1:168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</row>
    <row r="129" spans="1:168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</row>
    <row r="130" spans="1:168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</row>
    <row r="131" spans="1:168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</row>
    <row r="132" spans="1:168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</row>
    <row r="133" spans="1:168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</row>
    <row r="134" spans="1:168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</row>
    <row r="135" spans="1:168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</row>
    <row r="136" spans="1:168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</row>
    <row r="137" spans="1:168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</row>
    <row r="138" spans="1:168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</row>
    <row r="139" spans="1:168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</row>
    <row r="140" spans="1:168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</row>
    <row r="141" spans="1:168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</row>
    <row r="142" spans="1:168" ht="18.7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</row>
    <row r="143" spans="1:168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</row>
    <row r="144" spans="1:168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</row>
    <row r="145" spans="1:168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</row>
    <row r="146" spans="1:168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</row>
    <row r="147" spans="1:168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</row>
    <row r="148" spans="1:168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</row>
    <row r="149" spans="1:168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</row>
    <row r="150" spans="1:168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</row>
    <row r="151" spans="1:168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</row>
    <row r="152" spans="1:168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</row>
    <row r="153" spans="1:168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</row>
    <row r="154" spans="1:168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</row>
    <row r="155" spans="1:168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</row>
    <row r="156" spans="1:168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</row>
    <row r="157" spans="1:168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</row>
    <row r="158" spans="1:168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</row>
    <row r="159" spans="1:168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</row>
    <row r="160" spans="1:168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</row>
    <row r="161" spans="1:168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</row>
    <row r="162" spans="1:168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</row>
    <row r="163" spans="1:168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</row>
    <row r="164" spans="1:168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</row>
    <row r="165" spans="1:168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</row>
    <row r="166" spans="1:168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</row>
    <row r="167" spans="1:168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</row>
    <row r="168" spans="1:168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</row>
    <row r="169" spans="1:168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</row>
    <row r="170" spans="1:168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</row>
    <row r="171" spans="1:168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</row>
    <row r="172" spans="1:168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</row>
    <row r="173" spans="1:168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</row>
    <row r="174" spans="1:168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</row>
    <row r="175" spans="1:168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</row>
    <row r="176" spans="1:168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</row>
    <row r="177" spans="1:168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</row>
    <row r="178" spans="1:168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</row>
    <row r="179" spans="1:168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</row>
    <row r="180" spans="1:168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</row>
    <row r="181" spans="1:168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</row>
    <row r="182" spans="1:168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</row>
    <row r="183" spans="1:168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</row>
    <row r="184" spans="1:168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</row>
    <row r="185" spans="1:168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</row>
    <row r="186" spans="1:168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</row>
    <row r="187" spans="1:168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</row>
    <row r="188" spans="1:168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</row>
    <row r="189" spans="1:168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</row>
    <row r="190" spans="1:168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</row>
    <row r="191" spans="1:168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</row>
    <row r="192" spans="1:168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</row>
    <row r="193" spans="1:168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</row>
    <row r="194" spans="1:168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</row>
    <row r="195" spans="1:168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</row>
    <row r="196" spans="1:168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</row>
    <row r="197" spans="1:168" x14ac:dyDescent="0.35">
      <c r="A197" s="8"/>
      <c r="B197" s="8"/>
      <c r="C197" s="106"/>
      <c r="D197" s="10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</row>
    <row r="198" spans="1:168" x14ac:dyDescent="0.35">
      <c r="A198" s="8"/>
      <c r="B198" s="8"/>
      <c r="C198" s="106"/>
      <c r="D198" s="10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</row>
    <row r="199" spans="1:168" x14ac:dyDescent="0.35">
      <c r="A199" s="8"/>
      <c r="B199" s="8"/>
      <c r="C199" s="106"/>
      <c r="D199" s="10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</row>
    <row r="200" spans="1:168" x14ac:dyDescent="0.35">
      <c r="A200" s="8"/>
      <c r="B200" s="8"/>
      <c r="C200" s="106"/>
      <c r="D200" s="10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</row>
    <row r="201" spans="1:168" x14ac:dyDescent="0.35">
      <c r="A201" s="8"/>
      <c r="B201" s="8"/>
      <c r="C201" s="106"/>
      <c r="D201" s="10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</row>
    <row r="202" spans="1:168" x14ac:dyDescent="0.35">
      <c r="A202" s="8"/>
      <c r="B202" s="8"/>
      <c r="C202" s="106"/>
      <c r="D202" s="10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</row>
    <row r="203" spans="1:168" x14ac:dyDescent="0.35">
      <c r="A203" s="8"/>
      <c r="B203" s="8"/>
      <c r="C203" s="106"/>
      <c r="D203" s="10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</row>
    <row r="204" spans="1:168" x14ac:dyDescent="0.35">
      <c r="A204" s="8"/>
      <c r="B204" s="8"/>
      <c r="C204" s="106"/>
      <c r="D204" s="10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</row>
    <row r="205" spans="1:168" x14ac:dyDescent="0.35">
      <c r="A205" s="8"/>
      <c r="B205" s="8"/>
      <c r="C205" s="106"/>
      <c r="D205" s="10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</row>
    <row r="206" spans="1:168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</row>
    <row r="207" spans="1:168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</row>
    <row r="208" spans="1:168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</row>
    <row r="209" spans="1:168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</row>
    <row r="210" spans="1:168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</row>
    <row r="211" spans="1:168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</row>
    <row r="212" spans="1:168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</row>
    <row r="213" spans="1:168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</row>
    <row r="214" spans="1:168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</row>
    <row r="215" spans="1:168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</row>
    <row r="216" spans="1:168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</row>
    <row r="217" spans="1:168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</row>
    <row r="218" spans="1:168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</row>
    <row r="219" spans="1:168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</row>
    <row r="220" spans="1:168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</row>
    <row r="221" spans="1:168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</row>
    <row r="222" spans="1:168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</row>
    <row r="223" spans="1:168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</row>
    <row r="224" spans="1:168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</row>
    <row r="225" spans="1:168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</row>
    <row r="226" spans="1:168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</row>
    <row r="227" spans="1:168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</row>
    <row r="228" spans="1:168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</row>
    <row r="229" spans="1:168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</row>
    <row r="230" spans="1:168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</row>
    <row r="231" spans="1:168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</row>
    <row r="232" spans="1:168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</row>
    <row r="233" spans="1:168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</row>
    <row r="234" spans="1:168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</row>
    <row r="235" spans="1:168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</row>
    <row r="236" spans="1:168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</row>
    <row r="237" spans="1:168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</row>
  </sheetData>
  <sheetProtection algorithmName="SHA-512" hashValue="c9Cu4VAzCne5b1Bbg1SttfvtZ+ysBabSkfp3opWhtsVT0mZJ+frTq8zhUNLSuZNwcCjgcxgsC/d8M/4PsvmYEA==" saltValue="nMJMvZ71xYorNL2vApKqsA==" spinCount="100000" sheet="1" objects="1" scenarios="1"/>
  <mergeCells count="112">
    <mergeCell ref="E62:F62"/>
    <mergeCell ref="S54:AP54"/>
    <mergeCell ref="S56:AL57"/>
    <mergeCell ref="BJ47:CA48"/>
    <mergeCell ref="BJ49:BV50"/>
    <mergeCell ref="AO38:AO39"/>
    <mergeCell ref="AN33:AN34"/>
    <mergeCell ref="AO33:AO34"/>
    <mergeCell ref="AM38:AM39"/>
    <mergeCell ref="S47:AM48"/>
    <mergeCell ref="S49:AO50"/>
    <mergeCell ref="C52:J53"/>
    <mergeCell ref="C58:F58"/>
    <mergeCell ref="H58:H60"/>
    <mergeCell ref="C56:D56"/>
    <mergeCell ref="E56:J56"/>
    <mergeCell ref="I47:J48"/>
    <mergeCell ref="C51:F51"/>
    <mergeCell ref="I51:J51"/>
    <mergeCell ref="C47:H48"/>
    <mergeCell ref="I49:J50"/>
    <mergeCell ref="C98:G98"/>
    <mergeCell ref="H98:I98"/>
    <mergeCell ref="C89:C95"/>
    <mergeCell ref="E81:F81"/>
    <mergeCell ref="D89:E89"/>
    <mergeCell ref="L59:M63"/>
    <mergeCell ref="S52:AS52"/>
    <mergeCell ref="BJ56:BW57"/>
    <mergeCell ref="E99:M99"/>
    <mergeCell ref="N79:O79"/>
    <mergeCell ref="C73:D73"/>
    <mergeCell ref="E73:F73"/>
    <mergeCell ref="G73:H73"/>
    <mergeCell ref="K73:M73"/>
    <mergeCell ref="C79:D79"/>
    <mergeCell ref="F79:H79"/>
    <mergeCell ref="J97:L97"/>
    <mergeCell ref="L83:N83"/>
    <mergeCell ref="H85:I85"/>
    <mergeCell ref="C85:E85"/>
    <mergeCell ref="H87:I87"/>
    <mergeCell ref="L81:M81"/>
    <mergeCell ref="C97:G97"/>
    <mergeCell ref="H97:I97"/>
    <mergeCell ref="S95:AK96"/>
    <mergeCell ref="S97:AE98"/>
    <mergeCell ref="N81:O81"/>
    <mergeCell ref="K71:N71"/>
    <mergeCell ref="P71:Q72"/>
    <mergeCell ref="P73:Q73"/>
    <mergeCell ref="I79:J79"/>
    <mergeCell ref="K79:M79"/>
    <mergeCell ref="K74:L74"/>
    <mergeCell ref="I75:I76"/>
    <mergeCell ref="J75:J76"/>
    <mergeCell ref="J87:L87"/>
    <mergeCell ref="L75:L76"/>
    <mergeCell ref="M75:O76"/>
    <mergeCell ref="P75:P76"/>
    <mergeCell ref="J98:L98"/>
    <mergeCell ref="J91:K91"/>
    <mergeCell ref="O87:P87"/>
    <mergeCell ref="P83:Q83"/>
    <mergeCell ref="K75:K76"/>
    <mergeCell ref="K72:L72"/>
    <mergeCell ref="D2:N5"/>
    <mergeCell ref="J37:J38"/>
    <mergeCell ref="C32:F32"/>
    <mergeCell ref="C34:F34"/>
    <mergeCell ref="C8:H8"/>
    <mergeCell ref="C9:H9"/>
    <mergeCell ref="F15:G15"/>
    <mergeCell ref="L8:Q8"/>
    <mergeCell ref="L9:Q9"/>
    <mergeCell ref="F13:G13"/>
    <mergeCell ref="C10:I10"/>
    <mergeCell ref="F11:G11"/>
    <mergeCell ref="C11:E11"/>
    <mergeCell ref="C13:E13"/>
    <mergeCell ref="C15:E15"/>
    <mergeCell ref="D17:G17"/>
    <mergeCell ref="C24:J24"/>
    <mergeCell ref="C25:H25"/>
    <mergeCell ref="D23:H23"/>
    <mergeCell ref="C28:J30"/>
    <mergeCell ref="C21:D21"/>
    <mergeCell ref="F21:H21"/>
    <mergeCell ref="K69:L69"/>
    <mergeCell ref="K70:L70"/>
    <mergeCell ref="C49:E49"/>
    <mergeCell ref="F54:J54"/>
    <mergeCell ref="K85:Q85"/>
    <mergeCell ref="M87:N87"/>
    <mergeCell ref="D95:E95"/>
    <mergeCell ref="D91:E91"/>
    <mergeCell ref="H89:I89"/>
    <mergeCell ref="H91:I91"/>
    <mergeCell ref="H93:I93"/>
    <mergeCell ref="H95:I95"/>
    <mergeCell ref="D93:G93"/>
    <mergeCell ref="C87:G87"/>
    <mergeCell ref="F95:G95"/>
    <mergeCell ref="C83:F83"/>
    <mergeCell ref="F91:G91"/>
    <mergeCell ref="G83:J83"/>
    <mergeCell ref="F89:G89"/>
    <mergeCell ref="C81:D81"/>
    <mergeCell ref="D64:H64"/>
    <mergeCell ref="C60:F60"/>
    <mergeCell ref="C75:H76"/>
    <mergeCell ref="H66:I66"/>
  </mergeCells>
  <conditionalFormatting sqref="C11 C13 C15">
    <cfRule type="expression" dxfId="27" priority="80">
      <formula>$I$25&lt;&gt;0</formula>
    </cfRule>
  </conditionalFormatting>
  <conditionalFormatting sqref="C15 F15:G15">
    <cfRule type="expression" dxfId="26" priority="78">
      <formula>$F$11="Strom in kWh"</formula>
    </cfRule>
  </conditionalFormatting>
  <conditionalFormatting sqref="C83 G83 K83:L83 O83:P83 J85:K85 J87 M87 O87">
    <cfRule type="expression" dxfId="25" priority="30">
      <formula>$I$25&lt;&gt;0</formula>
    </cfRule>
  </conditionalFormatting>
  <conditionalFormatting sqref="C97:G98 J97:L98 N97:O98">
    <cfRule type="expression" dxfId="24" priority="38">
      <formula>$E$79="nein"</formula>
    </cfRule>
  </conditionalFormatting>
  <conditionalFormatting sqref="C66:J66">
    <cfRule type="expression" dxfId="23" priority="1">
      <formula>$D$64="Speichermerkmale bekannt"</formula>
    </cfRule>
  </conditionalFormatting>
  <conditionalFormatting sqref="C97:Q98">
    <cfRule type="expression" dxfId="22" priority="37">
      <formula>$Q$98="X"</formula>
    </cfRule>
  </conditionalFormatting>
  <conditionalFormatting sqref="D89 H89 D91 H91 D93 H93">
    <cfRule type="expression" dxfId="21" priority="35">
      <formula>$D$25&lt;&gt;0</formula>
    </cfRule>
  </conditionalFormatting>
  <conditionalFormatting sqref="F66:G66">
    <cfRule type="expression" dxfId="20" priority="5">
      <formula>$D$64&lt;&gt;"Puffer- und WW-Speicher"</formula>
    </cfRule>
  </conditionalFormatting>
  <conditionalFormatting sqref="F79:H79 K79:M79">
    <cfRule type="expression" dxfId="19" priority="56">
      <formula>$E$79="nein"</formula>
    </cfRule>
  </conditionalFormatting>
  <conditionalFormatting sqref="F11:I15">
    <cfRule type="expression" dxfId="18" priority="41">
      <formula>$I$25&gt;0</formula>
    </cfRule>
  </conditionalFormatting>
  <conditionalFormatting sqref="F78:Q80 C81:L81 N81:Q81 C82:Q84 C85 F85:Q85 C86:Q86 C87:M87 O87 Q87 C88:Q88 C89:D89 F89 H89 J89:Q89 D90:Q90 D91 F91 H91 J91:Q91 D92:Q92 D93 H93 J93:Q93 D94:Q94 D95 F95 H95 J95:Q95">
    <cfRule type="expression" dxfId="17" priority="21">
      <formula>$E$79&lt;&gt;"ja"</formula>
    </cfRule>
  </conditionalFormatting>
  <conditionalFormatting sqref="G40:J40">
    <cfRule type="expression" dxfId="16" priority="42">
      <formula>$F$40&lt;&gt;"ja"</formula>
    </cfRule>
  </conditionalFormatting>
  <conditionalFormatting sqref="H13">
    <cfRule type="expression" dxfId="15" priority="79">
      <formula>$I$13=0</formula>
    </cfRule>
  </conditionalFormatting>
  <conditionalFormatting sqref="H95">
    <cfRule type="expression" dxfId="14" priority="34">
      <formula>$G$17&lt;&gt;0</formula>
    </cfRule>
  </conditionalFormatting>
  <conditionalFormatting sqref="H40:J40">
    <cfRule type="expression" dxfId="13" priority="43">
      <formula>$F$40&lt;&gt;"ja"</formula>
    </cfRule>
  </conditionalFormatting>
  <conditionalFormatting sqref="H42:J42">
    <cfRule type="expression" dxfId="12" priority="2721">
      <formula>$F$42&lt;&gt;"ja"</formula>
    </cfRule>
    <cfRule type="expression" dxfId="11" priority="2722">
      <formula>$F$42&lt;&gt;"ja"</formula>
    </cfRule>
  </conditionalFormatting>
  <conditionalFormatting sqref="I8">
    <cfRule type="expression" dxfId="10" priority="76">
      <formula>$I$8&gt;=0</formula>
    </cfRule>
  </conditionalFormatting>
  <conditionalFormatting sqref="I79 N79">
    <cfRule type="expression" dxfId="9" priority="58">
      <formula>$E$79="nein"</formula>
    </cfRule>
  </conditionalFormatting>
  <conditionalFormatting sqref="I81:K81">
    <cfRule type="expression" dxfId="8" priority="68">
      <formula>$I$13=0</formula>
    </cfRule>
  </conditionalFormatting>
  <conditionalFormatting sqref="K83 O83 M87">
    <cfRule type="expression" dxfId="7" priority="31">
      <formula>$O$83=0</formula>
    </cfRule>
    <cfRule type="expression" dxfId="6" priority="32">
      <formula>"$O$80&gt;0,029"</formula>
    </cfRule>
  </conditionalFormatting>
  <conditionalFormatting sqref="M97:M98">
    <cfRule type="colorScale" priority="64">
      <colorScale>
        <cfvo type="num" val="10"/>
        <cfvo type="num" val="17.5"/>
        <cfvo type="num" val="25"/>
        <color rgb="FF00B050"/>
        <color rgb="FFFFEB84"/>
        <color rgb="FFFF0000"/>
      </colorScale>
    </cfRule>
  </conditionalFormatting>
  <conditionalFormatting sqref="P75">
    <cfRule type="colorScale" priority="66">
      <colorScale>
        <cfvo type="num" val="2.5"/>
        <cfvo type="num" val="3.5"/>
        <cfvo type="num" val="4.5"/>
        <color rgb="FFF8696B"/>
        <color rgb="FFFFEB84"/>
        <color rgb="FF63BE7B"/>
      </colorScale>
    </cfRule>
  </conditionalFormatting>
  <conditionalFormatting sqref="P73:Q73">
    <cfRule type="expression" dxfId="5" priority="24">
      <formula>$P$73&gt;0</formula>
    </cfRule>
  </conditionalFormatting>
  <dataValidations count="2">
    <dataValidation type="list" allowBlank="1" showInputMessage="1" showErrorMessage="1" sqref="I47" xr:uid="{B1DA4E4F-E690-426A-AAE6-F30BD701AA2B}">
      <formula1>INDIRECT("Art_WP")</formula1>
    </dataValidation>
    <dataValidation type="list" allowBlank="1" showInputMessage="1" showErrorMessage="1" sqref="I51" xr:uid="{1CDB160A-1860-4D47-BDBC-D6CD9D6058D6}">
      <formula1>INDIRECT($I$47)</formula1>
    </dataValidation>
  </dataValidations>
  <hyperlinks>
    <hyperlink ref="L9" r:id="rId1" xr:uid="{6E7CCD26-6B76-47CA-8E9A-101AB593A7EB}"/>
    <hyperlink ref="L8" r:id="rId2" xr:uid="{22C2A4A5-3A67-4D45-A5F3-5ECCF9F8D5E3}"/>
  </hyperlinks>
  <pageMargins left="0.7" right="0.7" top="0.78740157499999996" bottom="0.78740157499999996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86AD0EC7-26C5-461A-B27C-40758D56982E}">
          <x14:formula1>
            <xm:f>X!$F$25:$F$62</xm:f>
          </x14:formula1>
          <xm:sqref>D64:H64</xm:sqref>
        </x14:dataValidation>
        <x14:dataValidation type="list" allowBlank="1" showInputMessage="1" showErrorMessage="1" xr:uid="{DE40AA49-A0D9-4D4C-8CD7-3D3685D2DE63}">
          <x14:formula1>
            <xm:f>'WP-Ranglisten'!$AB$206:$AB$232</xm:f>
          </x14:formula1>
          <xm:sqref>F54:J54</xm:sqref>
        </x14:dataValidation>
        <x14:dataValidation type="list" allowBlank="1" showInputMessage="1" showErrorMessage="1" xr:uid="{3EE678BD-20B9-4D06-BB3E-7F8F079BE2E7}">
          <x14:formula1>
            <xm:f>X!$A$16:$A$21</xm:f>
          </x14:formula1>
          <xm:sqref>F13:G13 F11:G11</xm:sqref>
        </x14:dataValidation>
        <x14:dataValidation type="list" allowBlank="1" showInputMessage="1" showErrorMessage="1" xr:uid="{80D3102A-6EB5-4579-8F67-1C780D45D944}">
          <x14:formula1>
            <xm:f>X!$A$23:$A$38</xm:f>
          </x14:formula1>
          <xm:sqref>G32</xm:sqref>
        </x14:dataValidation>
        <x14:dataValidation type="list" allowBlank="1" showInputMessage="1" showErrorMessage="1" xr:uid="{25F80EC3-5D01-4837-B2E7-4662D56A27E9}">
          <x14:formula1>
            <xm:f>X!$A$38:$A$58</xm:f>
          </x14:formula1>
          <xm:sqref>I23</xm:sqref>
        </x14:dataValidation>
        <x14:dataValidation type="list" allowBlank="1" showInputMessage="1" showErrorMessage="1" xr:uid="{A23AC2E6-C17D-4191-8F5C-DBB4175CA44E}">
          <x14:formula1>
            <xm:f>X!$I$16:$I$21</xm:f>
          </x14:formula1>
          <xm:sqref>G19</xm:sqref>
        </x14:dataValidation>
        <x14:dataValidation type="list" allowBlank="1" showInputMessage="1" showErrorMessage="1" xr:uid="{61AAC94A-CA37-4D00-B2D2-A90A2442CA05}">
          <x14:formula1>
            <xm:f>X!$I$30:$I$32</xm:f>
          </x14:formula1>
          <xm:sqref>E79 J66 O71 E21</xm:sqref>
        </x14:dataValidation>
        <x14:dataValidation type="list" allowBlank="1" showInputMessage="1" showErrorMessage="1" xr:uid="{0B125AD5-AF03-4C77-A484-7E82D1EA6ABD}">
          <x14:formula1>
            <xm:f>X!$N$17:$N$77</xm:f>
          </x14:formula1>
          <xm:sqref>D66</xm:sqref>
        </x14:dataValidation>
        <x14:dataValidation type="list" allowBlank="1" showInputMessage="1" showErrorMessage="1" xr:uid="{A1325469-0ED6-4F13-A9BC-BC7071D5CA82}">
          <x14:formula1>
            <xm:f>X!$A$33:$A$58</xm:f>
          </x14:formula1>
          <xm:sqref>G34</xm:sqref>
        </x14:dataValidation>
        <x14:dataValidation type="list" allowBlank="1" showInputMessage="1" showErrorMessage="1" xr:uid="{A847E007-46F9-4C2C-98D7-4F19C5B911CC}">
          <x14:formula1>
            <xm:f>X!$I$30:$I$31</xm:f>
          </x14:formula1>
          <xm:sqref>F42 F40</xm:sqref>
        </x14:dataValidation>
        <x14:dataValidation type="list" allowBlank="1" showInputMessage="1" showErrorMessage="1" xr:uid="{EA5F7E3F-5809-43EF-B767-30AB384B4D31}">
          <x14:formula1>
            <xm:f>X!$L$34:$L$39</xm:f>
          </x14:formula1>
          <xm:sqref>Q79</xm:sqref>
        </x14:dataValidation>
        <x14:dataValidation type="list" allowBlank="1" showInputMessage="1" showErrorMessage="1" xr:uid="{97D02454-5B95-433B-9090-DF508E836887}">
          <x14:formula1>
            <xm:f>X!$F$16:$F$18</xm:f>
          </x14:formula1>
          <xm:sqref>F15:G15</xm:sqref>
        </x14:dataValidation>
        <x14:dataValidation type="list" allowBlank="1" showInputMessage="1" showErrorMessage="1" xr:uid="{A4ADFA68-0EB1-4C8D-A581-4D6CE72A6CB1}">
          <x14:formula1>
            <xm:f>X!$K$23:$K$33</xm:f>
          </x14:formula1>
          <xm:sqref>I21</xm:sqref>
        </x14:dataValidation>
        <x14:dataValidation type="list" allowBlank="1" showInputMessage="1" showErrorMessage="1" xr:uid="{567FD074-72C9-4DE8-B4A7-0939689936F2}">
          <x14:formula1>
            <xm:f>X!$N$17:$N$80</xm:f>
          </x14:formula1>
          <xm:sqref>G66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54FC-87C7-41AD-A68D-25EEB416C0DA}">
  <sheetPr codeName="Tabelle3"/>
  <dimension ref="A1:DB369"/>
  <sheetViews>
    <sheetView zoomScale="90" zoomScaleNormal="90" workbookViewId="0">
      <pane xSplit="1" ySplit="4" topLeftCell="D209" activePane="bottomRight" state="frozen"/>
      <selection pane="topRight" activeCell="B1" sqref="B1"/>
      <selection pane="bottomLeft" activeCell="A5" sqref="A5"/>
      <selection pane="bottomRight" activeCell="L159" sqref="L159"/>
    </sheetView>
  </sheetViews>
  <sheetFormatPr baseColWidth="10" defaultColWidth="10.7265625" defaultRowHeight="14.5" x14ac:dyDescent="0.35"/>
  <cols>
    <col min="2" max="2" width="63.54296875" customWidth="1"/>
    <col min="3" max="3" width="54.81640625" customWidth="1"/>
    <col min="4" max="12" width="10.7265625" customWidth="1"/>
    <col min="13" max="14" width="5.54296875" customWidth="1"/>
    <col min="15" max="15" width="10.7265625" customWidth="1"/>
    <col min="16" max="16" width="20.81640625" customWidth="1"/>
    <col min="17" max="26" width="8.453125" customWidth="1"/>
  </cols>
  <sheetData>
    <row r="1" spans="1:50" s="176" customFormat="1" ht="15" customHeight="1" x14ac:dyDescent="0.35">
      <c r="A1" s="194"/>
      <c r="B1" s="689" t="s">
        <v>7</v>
      </c>
      <c r="C1" s="690" t="s">
        <v>184</v>
      </c>
      <c r="D1" s="685" t="s">
        <v>238</v>
      </c>
      <c r="E1" s="686" t="s">
        <v>138</v>
      </c>
      <c r="F1" s="685" t="s">
        <v>238</v>
      </c>
      <c r="G1" s="686" t="s">
        <v>138</v>
      </c>
      <c r="H1" s="177" t="s">
        <v>12</v>
      </c>
      <c r="I1" s="685" t="s">
        <v>239</v>
      </c>
      <c r="J1" s="686" t="s">
        <v>138</v>
      </c>
      <c r="K1" s="177" t="s">
        <v>5</v>
      </c>
      <c r="L1" s="178" t="s">
        <v>240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s="176" customFormat="1" ht="16.5" customHeight="1" x14ac:dyDescent="0.35">
      <c r="A2" s="194"/>
      <c r="B2" s="689"/>
      <c r="C2" s="690"/>
      <c r="D2" s="687" t="s">
        <v>241</v>
      </c>
      <c r="E2" s="688" t="s">
        <v>138</v>
      </c>
      <c r="F2" s="687" t="s">
        <v>242</v>
      </c>
      <c r="G2" s="688" t="s">
        <v>138</v>
      </c>
      <c r="H2" s="181" t="s">
        <v>138</v>
      </c>
      <c r="I2" s="687" t="s">
        <v>243</v>
      </c>
      <c r="J2" s="688" t="s">
        <v>138</v>
      </c>
      <c r="K2" s="182" t="s">
        <v>313</v>
      </c>
      <c r="L2" s="178" t="s">
        <v>244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s="176" customFormat="1" ht="30.75" customHeight="1" x14ac:dyDescent="0.35">
      <c r="A3" s="194"/>
      <c r="B3" s="183" t="s">
        <v>138</v>
      </c>
      <c r="C3" s="184" t="s">
        <v>138</v>
      </c>
      <c r="D3" s="185" t="s">
        <v>245</v>
      </c>
      <c r="E3" s="186" t="s">
        <v>246</v>
      </c>
      <c r="F3" s="185" t="s">
        <v>245</v>
      </c>
      <c r="G3" s="186" t="s">
        <v>247</v>
      </c>
      <c r="H3" s="181" t="s">
        <v>138</v>
      </c>
      <c r="I3" s="185" t="s">
        <v>248</v>
      </c>
      <c r="J3" s="186" t="s">
        <v>249</v>
      </c>
      <c r="K3" s="187" t="s">
        <v>314</v>
      </c>
      <c r="L3" s="178" t="s">
        <v>250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176" customFormat="1" ht="15.75" customHeight="1" x14ac:dyDescent="0.35">
      <c r="A4" s="195"/>
      <c r="B4" s="188"/>
      <c r="C4" s="189" t="s">
        <v>138</v>
      </c>
      <c r="D4" s="179" t="s">
        <v>193</v>
      </c>
      <c r="E4" s="180" t="s">
        <v>94</v>
      </c>
      <c r="F4" s="179" t="s">
        <v>193</v>
      </c>
      <c r="G4" s="180" t="s">
        <v>94</v>
      </c>
      <c r="H4" s="190" t="s">
        <v>138</v>
      </c>
      <c r="I4" s="191" t="s">
        <v>138</v>
      </c>
      <c r="J4" s="192" t="s">
        <v>138</v>
      </c>
      <c r="K4" s="193" t="s">
        <v>251</v>
      </c>
      <c r="L4" s="178" t="s">
        <v>252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5" customHeight="1" x14ac:dyDescent="0.35">
      <c r="A5" s="684" t="s">
        <v>369</v>
      </c>
      <c r="B5" s="122" t="s">
        <v>253</v>
      </c>
      <c r="C5" s="113" t="s">
        <v>184</v>
      </c>
      <c r="D5" s="114" t="s">
        <v>187</v>
      </c>
      <c r="E5" s="115" t="s">
        <v>185</v>
      </c>
      <c r="F5" s="114" t="s">
        <v>186</v>
      </c>
      <c r="G5" s="115" t="s">
        <v>188</v>
      </c>
      <c r="H5" s="223" t="s">
        <v>189</v>
      </c>
      <c r="I5" s="114" t="s">
        <v>191</v>
      </c>
      <c r="J5" s="116" t="s">
        <v>192</v>
      </c>
      <c r="K5" s="117" t="s">
        <v>312</v>
      </c>
      <c r="L5" s="263" t="s">
        <v>190</v>
      </c>
      <c r="M5" s="2"/>
      <c r="N5" s="2"/>
      <c r="O5" s="2"/>
      <c r="P5" s="1"/>
      <c r="Q5" s="99"/>
      <c r="R5" s="1"/>
      <c r="S5" s="100"/>
      <c r="T5" s="100"/>
      <c r="U5" s="100"/>
      <c r="V5" s="100"/>
      <c r="W5" s="100"/>
      <c r="X5" s="100"/>
      <c r="Y5" s="100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50" ht="15" customHeight="1" x14ac:dyDescent="0.35">
      <c r="A6" s="682"/>
      <c r="B6" s="522" t="s">
        <v>515</v>
      </c>
      <c r="C6" s="523" t="s">
        <v>516</v>
      </c>
      <c r="D6" s="524">
        <v>6.53</v>
      </c>
      <c r="E6" s="525">
        <v>2.2400000000000002</v>
      </c>
      <c r="F6" s="524">
        <v>6.02</v>
      </c>
      <c r="G6" s="525">
        <v>1.61</v>
      </c>
      <c r="H6" s="526" t="s">
        <v>139</v>
      </c>
      <c r="I6" s="526" t="s">
        <v>19</v>
      </c>
      <c r="J6" s="526" t="s">
        <v>19</v>
      </c>
      <c r="K6" s="527">
        <v>5.285000000000001</v>
      </c>
      <c r="L6" s="528">
        <v>-1.680564654115658E-16</v>
      </c>
      <c r="M6" s="7"/>
      <c r="N6" s="5"/>
      <c r="O6" s="3"/>
      <c r="P6" s="5"/>
      <c r="Q6" s="4"/>
      <c r="R6" s="4"/>
      <c r="S6" s="101"/>
      <c r="T6" s="101"/>
      <c r="U6" s="101"/>
      <c r="V6" s="101"/>
      <c r="W6" s="101"/>
      <c r="X6" s="101"/>
      <c r="Y6" s="10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50" ht="15" x14ac:dyDescent="0.35">
      <c r="A7" s="682"/>
      <c r="B7" s="522" t="s">
        <v>517</v>
      </c>
      <c r="C7" s="523" t="s">
        <v>310</v>
      </c>
      <c r="D7" s="524">
        <v>6.55</v>
      </c>
      <c r="E7" s="525">
        <v>2.2130000000000001</v>
      </c>
      <c r="F7" s="524">
        <v>6.1</v>
      </c>
      <c r="G7" s="525">
        <v>1.508</v>
      </c>
      <c r="H7" s="526" t="s">
        <v>141</v>
      </c>
      <c r="I7" s="526" t="s">
        <v>19</v>
      </c>
      <c r="J7" s="526" t="s">
        <v>518</v>
      </c>
      <c r="K7" s="527">
        <v>5.18</v>
      </c>
      <c r="L7" s="529">
        <v>1.9867549668874253E-2</v>
      </c>
      <c r="M7" s="7"/>
      <c r="N7" s="5"/>
      <c r="O7" s="3"/>
      <c r="P7" s="5"/>
      <c r="Q7" s="4"/>
      <c r="R7" s="4"/>
      <c r="S7" s="101"/>
      <c r="T7" s="101"/>
      <c r="U7" s="101"/>
      <c r="V7" s="101"/>
      <c r="W7" s="101"/>
      <c r="X7" s="101"/>
      <c r="Y7" s="10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0" x14ac:dyDescent="0.35">
      <c r="A8" s="682"/>
      <c r="B8" s="522" t="s">
        <v>519</v>
      </c>
      <c r="C8" s="523" t="s">
        <v>520</v>
      </c>
      <c r="D8" s="524">
        <v>3</v>
      </c>
      <c r="E8" s="525">
        <v>2.15</v>
      </c>
      <c r="F8" s="524">
        <v>7.3</v>
      </c>
      <c r="G8" s="525">
        <v>1.61</v>
      </c>
      <c r="H8" s="526" t="s">
        <v>139</v>
      </c>
      <c r="I8" s="526" t="s">
        <v>19</v>
      </c>
      <c r="J8" s="526" t="s">
        <v>19</v>
      </c>
      <c r="K8" s="546">
        <v>5.1049999999999995</v>
      </c>
      <c r="L8" s="548">
        <v>3.4058656575212981E-2</v>
      </c>
      <c r="M8" s="7"/>
      <c r="N8" s="5"/>
      <c r="O8" s="3"/>
      <c r="P8" s="5"/>
      <c r="Q8" s="4"/>
      <c r="R8" s="4"/>
      <c r="S8" s="101"/>
      <c r="T8" s="101"/>
      <c r="U8" s="101"/>
      <c r="V8" s="101"/>
      <c r="W8" s="101"/>
      <c r="X8" s="101"/>
      <c r="Y8" s="10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0" x14ac:dyDescent="0.35">
      <c r="A9" s="682"/>
      <c r="B9" s="522" t="s">
        <v>521</v>
      </c>
      <c r="C9" s="523" t="s">
        <v>285</v>
      </c>
      <c r="D9" s="524">
        <v>4.2</v>
      </c>
      <c r="E9" s="525">
        <v>2.12</v>
      </c>
      <c r="F9" s="524">
        <v>4</v>
      </c>
      <c r="G9" s="525">
        <v>1.59</v>
      </c>
      <c r="H9" s="526" t="s">
        <v>139</v>
      </c>
      <c r="I9" s="526" t="s">
        <v>19</v>
      </c>
      <c r="J9" s="526" t="s">
        <v>19</v>
      </c>
      <c r="K9" s="546">
        <v>5.0350000000000001</v>
      </c>
      <c r="L9" s="548">
        <v>4.730368968779565E-2</v>
      </c>
      <c r="M9" s="7"/>
      <c r="N9" s="5"/>
      <c r="O9" s="3"/>
      <c r="P9" s="5"/>
      <c r="Q9" s="4"/>
      <c r="R9" s="4"/>
      <c r="S9" s="101"/>
      <c r="T9" s="101"/>
      <c r="U9" s="101"/>
      <c r="V9" s="101"/>
      <c r="W9" s="101"/>
      <c r="X9" s="101"/>
      <c r="Y9" s="10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0" ht="15" x14ac:dyDescent="0.35">
      <c r="A10" s="682"/>
      <c r="B10" s="522" t="s">
        <v>522</v>
      </c>
      <c r="C10" s="523" t="s">
        <v>523</v>
      </c>
      <c r="D10" s="524">
        <v>4.2</v>
      </c>
      <c r="E10" s="525">
        <v>2.12</v>
      </c>
      <c r="F10" s="524">
        <v>4</v>
      </c>
      <c r="G10" s="525">
        <v>1.59</v>
      </c>
      <c r="H10" s="526" t="s">
        <v>139</v>
      </c>
      <c r="I10" s="526" t="s">
        <v>19</v>
      </c>
      <c r="J10" s="526" t="s">
        <v>19</v>
      </c>
      <c r="K10" s="546">
        <v>5.0350000000000001</v>
      </c>
      <c r="L10" s="548">
        <v>4.730368968779565E-2</v>
      </c>
      <c r="M10" s="2"/>
      <c r="N10" s="102"/>
      <c r="O10" s="6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0" x14ac:dyDescent="0.35">
      <c r="A11" s="682"/>
      <c r="B11" s="522" t="s">
        <v>524</v>
      </c>
      <c r="C11" s="523" t="s">
        <v>525</v>
      </c>
      <c r="D11" s="524">
        <v>5.92</v>
      </c>
      <c r="E11" s="525">
        <v>2.11</v>
      </c>
      <c r="F11" s="524">
        <v>5.86</v>
      </c>
      <c r="G11" s="525">
        <v>1.6</v>
      </c>
      <c r="H11" s="526" t="s">
        <v>139</v>
      </c>
      <c r="I11" s="526" t="s">
        <v>19</v>
      </c>
      <c r="J11" s="526" t="s">
        <v>19</v>
      </c>
      <c r="K11" s="546">
        <v>5.0199999999999996</v>
      </c>
      <c r="L11" s="548">
        <v>5.0141911069063495E-2</v>
      </c>
      <c r="M11" s="7"/>
      <c r="N11" s="5"/>
      <c r="O11" s="3"/>
      <c r="P11" s="5"/>
      <c r="Q11" s="4"/>
      <c r="R11" s="4"/>
      <c r="S11" s="101"/>
      <c r="T11" s="101"/>
      <c r="U11" s="101"/>
      <c r="V11" s="101"/>
      <c r="W11" s="101"/>
      <c r="X11" s="101"/>
      <c r="Y11" s="10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0" x14ac:dyDescent="0.35">
      <c r="A12" s="682"/>
      <c r="B12" s="522" t="s">
        <v>410</v>
      </c>
      <c r="C12" s="523" t="s">
        <v>526</v>
      </c>
      <c r="D12" s="524">
        <v>5.92</v>
      </c>
      <c r="E12" s="525">
        <v>2.11</v>
      </c>
      <c r="F12" s="524">
        <v>5.86</v>
      </c>
      <c r="G12" s="525">
        <v>1.6</v>
      </c>
      <c r="H12" s="526" t="s">
        <v>139</v>
      </c>
      <c r="I12" s="526" t="s">
        <v>19</v>
      </c>
      <c r="J12" s="526" t="s">
        <v>19</v>
      </c>
      <c r="K12" s="546">
        <v>5.0199999999999996</v>
      </c>
      <c r="L12" s="548">
        <v>5.0141911069063495E-2</v>
      </c>
      <c r="M12" s="7"/>
      <c r="N12" s="5"/>
      <c r="O12" s="3"/>
      <c r="P12" s="5"/>
      <c r="Q12" s="4"/>
      <c r="R12" s="4"/>
      <c r="S12" s="101"/>
      <c r="T12" s="101"/>
      <c r="U12" s="101"/>
      <c r="V12" s="101"/>
      <c r="W12" s="101"/>
      <c r="X12" s="101"/>
      <c r="Y12" s="10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0" ht="15" customHeight="1" x14ac:dyDescent="0.35">
      <c r="A13" s="682"/>
      <c r="B13" s="522" t="s">
        <v>527</v>
      </c>
      <c r="C13" s="523" t="s">
        <v>528</v>
      </c>
      <c r="D13" s="524">
        <v>6.4</v>
      </c>
      <c r="E13" s="525">
        <v>2.1</v>
      </c>
      <c r="F13" s="524">
        <v>5.35</v>
      </c>
      <c r="G13" s="525">
        <v>1.62</v>
      </c>
      <c r="H13" s="526" t="s">
        <v>139</v>
      </c>
      <c r="I13" s="526" t="s">
        <v>19</v>
      </c>
      <c r="J13" s="526" t="s">
        <v>19</v>
      </c>
      <c r="K13" s="546">
        <v>5.0100000000000016</v>
      </c>
      <c r="L13" s="548">
        <v>5.2034058656574941E-2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0" ht="15" customHeight="1" x14ac:dyDescent="0.35">
      <c r="A14" s="682"/>
      <c r="B14" s="522" t="s">
        <v>519</v>
      </c>
      <c r="C14" s="523" t="s">
        <v>529</v>
      </c>
      <c r="D14" s="524">
        <v>5.4</v>
      </c>
      <c r="E14" s="525">
        <v>2.11</v>
      </c>
      <c r="F14" s="524">
        <v>5.2</v>
      </c>
      <c r="G14" s="525">
        <v>1.58</v>
      </c>
      <c r="H14" s="526" t="s">
        <v>139</v>
      </c>
      <c r="I14" s="526" t="s">
        <v>19</v>
      </c>
      <c r="J14" s="526" t="s">
        <v>19</v>
      </c>
      <c r="K14" s="546">
        <v>5.01</v>
      </c>
      <c r="L14" s="548">
        <v>5.2034058656575281E-2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0" x14ac:dyDescent="0.35">
      <c r="A15" s="682"/>
      <c r="B15" s="522" t="s">
        <v>168</v>
      </c>
      <c r="C15" s="523" t="s">
        <v>530</v>
      </c>
      <c r="D15" s="524">
        <v>6.1</v>
      </c>
      <c r="E15" s="525">
        <v>2.11</v>
      </c>
      <c r="F15" s="524">
        <v>6.1</v>
      </c>
      <c r="G15" s="525">
        <v>1.58</v>
      </c>
      <c r="H15" s="526" t="s">
        <v>139</v>
      </c>
      <c r="I15" s="526" t="s">
        <v>19</v>
      </c>
      <c r="J15" s="526" t="s">
        <v>19</v>
      </c>
      <c r="K15" s="546">
        <v>5.01</v>
      </c>
      <c r="L15" s="548">
        <v>5.2034058656575281E-2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50" x14ac:dyDescent="0.35">
      <c r="A16" s="682"/>
      <c r="B16" s="522" t="s">
        <v>531</v>
      </c>
      <c r="C16" s="523" t="s">
        <v>532</v>
      </c>
      <c r="D16" s="524">
        <v>5.3</v>
      </c>
      <c r="E16" s="525">
        <v>2.1040000000000001</v>
      </c>
      <c r="F16" s="524">
        <v>4.9000000000000004</v>
      </c>
      <c r="G16" s="525">
        <v>1.5669999999999999</v>
      </c>
      <c r="H16" s="526" t="s">
        <v>139</v>
      </c>
      <c r="I16" s="526" t="s">
        <v>19</v>
      </c>
      <c r="J16" s="526" t="s">
        <v>19</v>
      </c>
      <c r="K16" s="546">
        <v>4.9915000000000012</v>
      </c>
      <c r="L16" s="548">
        <v>5.5534531693471896E-2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63" x14ac:dyDescent="0.35">
      <c r="A17" s="682"/>
      <c r="B17" s="522" t="s">
        <v>517</v>
      </c>
      <c r="C17" s="523" t="s">
        <v>533</v>
      </c>
      <c r="D17" s="524">
        <v>5.17</v>
      </c>
      <c r="E17" s="525">
        <v>2.08</v>
      </c>
      <c r="F17" s="524">
        <v>4.18</v>
      </c>
      <c r="G17" s="525">
        <v>1.65</v>
      </c>
      <c r="H17" s="526" t="s">
        <v>139</v>
      </c>
      <c r="I17" s="526" t="s">
        <v>19</v>
      </c>
      <c r="J17" s="526" t="s">
        <v>518</v>
      </c>
      <c r="K17" s="546">
        <v>4.9850000000000003</v>
      </c>
      <c r="L17" s="548">
        <v>5.6764427625354739E-2</v>
      </c>
      <c r="M17" s="2"/>
      <c r="N17" s="2"/>
      <c r="O17" s="129"/>
      <c r="P17" s="129"/>
      <c r="Q17" s="130"/>
      <c r="R17" s="130"/>
      <c r="S17" s="130"/>
      <c r="T17" s="130"/>
      <c r="U17" s="130"/>
      <c r="V17" s="130"/>
      <c r="W17" s="130"/>
      <c r="X17" s="131"/>
      <c r="Y17" s="13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x14ac:dyDescent="0.35">
      <c r="A18" s="682"/>
      <c r="B18" s="522" t="s">
        <v>179</v>
      </c>
      <c r="C18" s="523" t="s">
        <v>282</v>
      </c>
      <c r="D18" s="524">
        <v>5.5</v>
      </c>
      <c r="E18" s="525">
        <v>2.08</v>
      </c>
      <c r="F18" s="524">
        <v>5.5</v>
      </c>
      <c r="G18" s="525">
        <v>1.51</v>
      </c>
      <c r="H18" s="526" t="s">
        <v>139</v>
      </c>
      <c r="I18" s="526" t="s">
        <v>19</v>
      </c>
      <c r="J18" s="526" t="s">
        <v>19</v>
      </c>
      <c r="K18" s="546">
        <v>4.9150000000000009</v>
      </c>
      <c r="L18" s="548">
        <v>7.0009460737937415E-2</v>
      </c>
      <c r="M18" s="2"/>
      <c r="N18" s="2"/>
      <c r="O18" s="118"/>
      <c r="P18" s="118"/>
      <c r="Q18" s="119"/>
      <c r="R18" s="119"/>
      <c r="S18" s="119"/>
      <c r="T18" s="119"/>
      <c r="U18" s="119"/>
      <c r="V18" s="119"/>
      <c r="W18" s="119"/>
      <c r="X18" s="120"/>
      <c r="Y18" s="12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ht="15" customHeight="1" x14ac:dyDescent="0.35">
      <c r="A19" s="682"/>
      <c r="B19" s="522" t="s">
        <v>171</v>
      </c>
      <c r="C19" s="523" t="s">
        <v>534</v>
      </c>
      <c r="D19" s="524">
        <v>5.7</v>
      </c>
      <c r="E19" s="525">
        <v>2.0699999999999998</v>
      </c>
      <c r="F19" s="524">
        <v>7.2</v>
      </c>
      <c r="G19" s="525">
        <v>1.51</v>
      </c>
      <c r="H19" s="526" t="s">
        <v>139</v>
      </c>
      <c r="I19" s="526" t="s">
        <v>19</v>
      </c>
      <c r="J19" s="526" t="s">
        <v>19</v>
      </c>
      <c r="K19" s="546">
        <v>4.8949999999999996</v>
      </c>
      <c r="L19" s="548">
        <v>7.379375591296132E-2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63" x14ac:dyDescent="0.35">
      <c r="A20" s="682"/>
      <c r="B20" s="522" t="s">
        <v>179</v>
      </c>
      <c r="C20" s="523" t="s">
        <v>535</v>
      </c>
      <c r="D20" s="524">
        <v>5.97</v>
      </c>
      <c r="E20" s="525">
        <v>2.06</v>
      </c>
      <c r="F20" s="524">
        <v>5.64</v>
      </c>
      <c r="G20" s="525">
        <v>1.53</v>
      </c>
      <c r="H20" s="526" t="s">
        <v>139</v>
      </c>
      <c r="I20" s="526" t="s">
        <v>19</v>
      </c>
      <c r="J20" s="526" t="s">
        <v>19</v>
      </c>
      <c r="K20" s="546">
        <v>4.8850000000000007</v>
      </c>
      <c r="L20" s="548">
        <v>7.568590350047294E-2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63" x14ac:dyDescent="0.35">
      <c r="A21" s="682"/>
      <c r="B21" s="522" t="s">
        <v>531</v>
      </c>
      <c r="C21" s="523" t="s">
        <v>536</v>
      </c>
      <c r="D21" s="524">
        <v>6.4</v>
      </c>
      <c r="E21" s="525">
        <v>2.06</v>
      </c>
      <c r="F21" s="524">
        <v>6.1</v>
      </c>
      <c r="G21" s="525">
        <v>1.53</v>
      </c>
      <c r="H21" s="526" t="s">
        <v>139</v>
      </c>
      <c r="I21" s="526" t="s">
        <v>19</v>
      </c>
      <c r="J21" s="526" t="s">
        <v>19</v>
      </c>
      <c r="K21" s="546">
        <v>4.8850000000000007</v>
      </c>
      <c r="L21" s="548">
        <v>7.568590350047294E-2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63" x14ac:dyDescent="0.35">
      <c r="A22" s="682"/>
      <c r="B22" s="522" t="s">
        <v>537</v>
      </c>
      <c r="C22" s="523" t="s">
        <v>436</v>
      </c>
      <c r="D22" s="524">
        <v>5</v>
      </c>
      <c r="E22" s="525">
        <v>2.0299999999999998</v>
      </c>
      <c r="F22" s="524">
        <v>4</v>
      </c>
      <c r="G22" s="525">
        <v>1.52</v>
      </c>
      <c r="H22" s="526" t="s">
        <v>143</v>
      </c>
      <c r="I22" s="526" t="s">
        <v>19</v>
      </c>
      <c r="J22" s="526" t="s">
        <v>19</v>
      </c>
      <c r="K22" s="546">
        <v>4.82</v>
      </c>
      <c r="L22" s="548">
        <v>8.7984862819299875E-2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63" ht="15" customHeight="1" x14ac:dyDescent="0.35">
      <c r="A23" s="682"/>
      <c r="B23" s="522" t="s">
        <v>538</v>
      </c>
      <c r="C23" s="523" t="s">
        <v>438</v>
      </c>
      <c r="D23" s="524">
        <v>6</v>
      </c>
      <c r="E23" s="525">
        <v>2.0299999999999998</v>
      </c>
      <c r="F23" s="524">
        <v>6</v>
      </c>
      <c r="G23" s="525">
        <v>1.44</v>
      </c>
      <c r="H23" s="526" t="s">
        <v>143</v>
      </c>
      <c r="I23" s="526" t="s">
        <v>19</v>
      </c>
      <c r="J23" s="526" t="s">
        <v>19</v>
      </c>
      <c r="K23" s="546">
        <v>4.7799999999999994</v>
      </c>
      <c r="L23" s="548">
        <v>9.5553453169347352E-2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63" x14ac:dyDescent="0.35">
      <c r="A24" s="682"/>
      <c r="B24" s="522" t="s">
        <v>539</v>
      </c>
      <c r="C24" s="523" t="s">
        <v>437</v>
      </c>
      <c r="D24" s="524">
        <v>5.43</v>
      </c>
      <c r="E24" s="525">
        <v>2.02</v>
      </c>
      <c r="F24" s="524">
        <v>4.5599999999999996</v>
      </c>
      <c r="G24" s="525">
        <v>1.43</v>
      </c>
      <c r="H24" s="526" t="s">
        <v>143</v>
      </c>
      <c r="I24" s="526" t="s">
        <v>19</v>
      </c>
      <c r="J24" s="526" t="s">
        <v>19</v>
      </c>
      <c r="K24" s="546">
        <v>4.7550000000000008</v>
      </c>
      <c r="L24" s="548">
        <v>0.10028382213812664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63" x14ac:dyDescent="0.35">
      <c r="A25" s="682"/>
      <c r="B25" s="384" t="s">
        <v>271</v>
      </c>
      <c r="C25" s="530"/>
      <c r="D25" s="531"/>
      <c r="E25" s="531"/>
      <c r="F25" s="531"/>
      <c r="G25" s="531"/>
      <c r="H25" s="531"/>
      <c r="I25" s="531"/>
      <c r="J25" s="531"/>
      <c r="K25" s="546">
        <v>0</v>
      </c>
      <c r="L25" s="548" t="s"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63" x14ac:dyDescent="0.35">
      <c r="A26" s="682"/>
      <c r="B26" s="532" t="s">
        <v>272</v>
      </c>
      <c r="C26" s="532"/>
      <c r="D26" s="533"/>
      <c r="E26" s="533"/>
      <c r="F26" s="533"/>
      <c r="G26" s="533"/>
      <c r="H26" s="534"/>
      <c r="I26" s="534"/>
      <c r="J26" s="534"/>
      <c r="K26" s="546">
        <v>0</v>
      </c>
      <c r="L26" s="548" t="s"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63" x14ac:dyDescent="0.35">
      <c r="A27" s="682"/>
      <c r="B27" s="532" t="s">
        <v>273</v>
      </c>
      <c r="C27" s="532"/>
      <c r="D27" s="533"/>
      <c r="E27" s="533"/>
      <c r="F27" s="533"/>
      <c r="G27" s="533"/>
      <c r="H27" s="534"/>
      <c r="I27" s="534"/>
      <c r="J27" s="534"/>
      <c r="K27" s="546">
        <v>0</v>
      </c>
      <c r="L27" s="548" t="s"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63" ht="15" customHeight="1" x14ac:dyDescent="0.35">
      <c r="A28" s="2"/>
      <c r="B28" s="129"/>
      <c r="C28" s="129"/>
      <c r="D28" s="130"/>
      <c r="E28" s="130"/>
      <c r="F28" s="130"/>
      <c r="G28" s="130"/>
      <c r="H28" s="130"/>
      <c r="I28" s="130"/>
      <c r="J28" s="130"/>
      <c r="K28" s="131"/>
      <c r="L28" s="13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63" x14ac:dyDescent="0.35">
      <c r="A29" s="2"/>
      <c r="B29" s="118"/>
      <c r="C29" s="118"/>
      <c r="D29" s="119"/>
      <c r="E29" s="119"/>
      <c r="F29" s="119"/>
      <c r="G29" s="119"/>
      <c r="H29" s="119"/>
      <c r="I29" s="119"/>
      <c r="J29" s="119"/>
      <c r="K29" s="120"/>
      <c r="L29" s="12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63" ht="14.5" customHeight="1" x14ac:dyDescent="0.35">
      <c r="A30" s="682" t="s">
        <v>332</v>
      </c>
      <c r="B30" s="122" t="s">
        <v>253</v>
      </c>
      <c r="C30" s="123" t="s">
        <v>184</v>
      </c>
      <c r="D30" s="124" t="s">
        <v>187</v>
      </c>
      <c r="E30" s="125" t="s">
        <v>185</v>
      </c>
      <c r="F30" s="124" t="s">
        <v>186</v>
      </c>
      <c r="G30" s="126" t="s">
        <v>188</v>
      </c>
      <c r="H30" s="127" t="s">
        <v>189</v>
      </c>
      <c r="I30" s="124" t="s">
        <v>191</v>
      </c>
      <c r="J30" s="128" t="s">
        <v>192</v>
      </c>
      <c r="K30" s="117" t="s">
        <v>312</v>
      </c>
      <c r="L30" s="263" t="s">
        <v>190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63" x14ac:dyDescent="0.35">
      <c r="A31" s="682"/>
      <c r="B31" s="535" t="s">
        <v>515</v>
      </c>
      <c r="C31" s="535" t="s">
        <v>394</v>
      </c>
      <c r="D31" s="536">
        <v>8.34</v>
      </c>
      <c r="E31" s="537">
        <v>2.27</v>
      </c>
      <c r="F31" s="536">
        <v>7.75</v>
      </c>
      <c r="G31" s="537">
        <v>1.65</v>
      </c>
      <c r="H31" s="538" t="s">
        <v>139</v>
      </c>
      <c r="I31" s="538" t="s">
        <v>19</v>
      </c>
      <c r="J31" s="538" t="s">
        <v>19</v>
      </c>
      <c r="K31" s="546">
        <v>5.3650000000000002</v>
      </c>
      <c r="L31" s="547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63" x14ac:dyDescent="0.35">
      <c r="A32" s="682"/>
      <c r="B32" s="535" t="s">
        <v>170</v>
      </c>
      <c r="C32" s="535" t="s">
        <v>8</v>
      </c>
      <c r="D32" s="536">
        <v>8</v>
      </c>
      <c r="E32" s="537">
        <v>2.23</v>
      </c>
      <c r="F32" s="536">
        <v>8</v>
      </c>
      <c r="G32" s="537">
        <v>1.76</v>
      </c>
      <c r="H32" s="538" t="s">
        <v>139</v>
      </c>
      <c r="I32" s="538" t="s">
        <v>19</v>
      </c>
      <c r="J32" s="538" t="s">
        <v>19</v>
      </c>
      <c r="K32" s="348">
        <v>5.34</v>
      </c>
      <c r="L32" s="539">
        <v>4.659832246039209E-3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x14ac:dyDescent="0.35">
      <c r="A33" s="682"/>
      <c r="B33" s="535" t="s">
        <v>540</v>
      </c>
      <c r="C33" s="535" t="s">
        <v>541</v>
      </c>
      <c r="D33" s="536">
        <v>6.8</v>
      </c>
      <c r="E33" s="537">
        <v>2.2509999999999999</v>
      </c>
      <c r="F33" s="536">
        <v>6.7</v>
      </c>
      <c r="G33" s="537">
        <v>1.647</v>
      </c>
      <c r="H33" s="538" t="s">
        <v>139</v>
      </c>
      <c r="I33" s="538" t="s">
        <v>19</v>
      </c>
      <c r="J33" s="538" t="s">
        <v>19</v>
      </c>
      <c r="K33" s="348">
        <v>5.3254999999999999</v>
      </c>
      <c r="L33" s="539">
        <v>7.3625349487419032E-3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x14ac:dyDescent="0.35">
      <c r="A34" s="682"/>
      <c r="B34" s="535" t="s">
        <v>168</v>
      </c>
      <c r="C34" s="535" t="s">
        <v>542</v>
      </c>
      <c r="D34" s="536">
        <v>7.09</v>
      </c>
      <c r="E34" s="537">
        <v>2.2440000000000002</v>
      </c>
      <c r="F34" s="536">
        <v>7.12</v>
      </c>
      <c r="G34" s="537">
        <v>1.659</v>
      </c>
      <c r="H34" s="538" t="s">
        <v>139</v>
      </c>
      <c r="I34" s="538" t="s">
        <v>19</v>
      </c>
      <c r="J34" s="538" t="s">
        <v>19</v>
      </c>
      <c r="K34" s="348">
        <v>5.3175000000000008</v>
      </c>
      <c r="L34" s="539">
        <v>8.8536812674742654E-3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x14ac:dyDescent="0.35">
      <c r="A35" s="682"/>
      <c r="B35" s="535" t="s">
        <v>543</v>
      </c>
      <c r="C35" s="535" t="s">
        <v>287</v>
      </c>
      <c r="D35" s="536">
        <v>6.1</v>
      </c>
      <c r="E35" s="537">
        <v>2.21</v>
      </c>
      <c r="F35" s="536">
        <v>7.21</v>
      </c>
      <c r="G35" s="537">
        <v>1.57</v>
      </c>
      <c r="H35" s="538" t="s">
        <v>139</v>
      </c>
      <c r="I35" s="538" t="s">
        <v>19</v>
      </c>
      <c r="J35" s="538" t="s">
        <v>19</v>
      </c>
      <c r="K35" s="348">
        <v>5.2050000000000001</v>
      </c>
      <c r="L35" s="539">
        <v>2.9822926374650539E-2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5" customHeight="1" x14ac:dyDescent="0.35">
      <c r="A36" s="682"/>
      <c r="B36" s="535" t="s">
        <v>179</v>
      </c>
      <c r="C36" s="535" t="s">
        <v>283</v>
      </c>
      <c r="D36" s="536">
        <v>8</v>
      </c>
      <c r="E36" s="537">
        <v>2.1800000000000002</v>
      </c>
      <c r="F36" s="536">
        <v>8</v>
      </c>
      <c r="G36" s="537">
        <v>1.625</v>
      </c>
      <c r="H36" s="538" t="s">
        <v>139</v>
      </c>
      <c r="I36" s="538" t="s">
        <v>19</v>
      </c>
      <c r="J36" s="538" t="s">
        <v>19</v>
      </c>
      <c r="K36" s="348">
        <v>5.1725000000000012</v>
      </c>
      <c r="L36" s="539">
        <v>3.5880708294501212E-2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x14ac:dyDescent="0.35">
      <c r="A37" s="682"/>
      <c r="B37" s="535" t="s">
        <v>544</v>
      </c>
      <c r="C37" s="535" t="s">
        <v>545</v>
      </c>
      <c r="D37" s="536">
        <v>8</v>
      </c>
      <c r="E37" s="537">
        <v>2.11</v>
      </c>
      <c r="F37" s="536">
        <v>8</v>
      </c>
      <c r="G37" s="537">
        <v>1.59</v>
      </c>
      <c r="H37" s="538" t="s">
        <v>139</v>
      </c>
      <c r="I37" s="538" t="s">
        <v>19</v>
      </c>
      <c r="J37" s="538" t="s">
        <v>19</v>
      </c>
      <c r="K37" s="348">
        <v>5.0150000000000006</v>
      </c>
      <c r="L37" s="539">
        <v>6.5237651444547934E-2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x14ac:dyDescent="0.35">
      <c r="A38" s="682"/>
      <c r="B38" s="535" t="s">
        <v>517</v>
      </c>
      <c r="C38" s="535" t="s">
        <v>546</v>
      </c>
      <c r="D38" s="536">
        <v>8.1</v>
      </c>
      <c r="E38" s="537">
        <v>2.08</v>
      </c>
      <c r="F38" s="536">
        <v>7.2</v>
      </c>
      <c r="G38" s="537">
        <v>1.6</v>
      </c>
      <c r="H38" s="538" t="s">
        <v>139</v>
      </c>
      <c r="I38" s="538" t="s">
        <v>19</v>
      </c>
      <c r="J38" s="538" t="s">
        <v>518</v>
      </c>
      <c r="K38" s="348">
        <v>4.9600000000000009</v>
      </c>
      <c r="L38" s="539">
        <v>7.5489282385833995E-2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x14ac:dyDescent="0.35">
      <c r="A39" s="682"/>
      <c r="B39" s="535" t="s">
        <v>537</v>
      </c>
      <c r="C39" s="535" t="s">
        <v>547</v>
      </c>
      <c r="D39" s="536">
        <v>7.7</v>
      </c>
      <c r="E39" s="537">
        <v>2.0699999999999998</v>
      </c>
      <c r="F39" s="536">
        <v>6.8</v>
      </c>
      <c r="G39" s="537">
        <v>1.58</v>
      </c>
      <c r="H39" s="538" t="s">
        <v>139</v>
      </c>
      <c r="I39" s="538" t="s">
        <v>19</v>
      </c>
      <c r="J39" s="538" t="s">
        <v>19</v>
      </c>
      <c r="K39" s="348">
        <v>4.93</v>
      </c>
      <c r="L39" s="539">
        <v>8.1081081081081169E-2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x14ac:dyDescent="0.35">
      <c r="A40" s="682"/>
      <c r="B40" s="535" t="s">
        <v>171</v>
      </c>
      <c r="C40" s="535" t="s">
        <v>548</v>
      </c>
      <c r="D40" s="536">
        <v>7</v>
      </c>
      <c r="E40" s="537">
        <v>2.0699999999999998</v>
      </c>
      <c r="F40" s="536">
        <v>7</v>
      </c>
      <c r="G40" s="537">
        <v>1.51</v>
      </c>
      <c r="H40" s="538" t="s">
        <v>139</v>
      </c>
      <c r="I40" s="538" t="s">
        <v>19</v>
      </c>
      <c r="J40" s="538" t="s">
        <v>19</v>
      </c>
      <c r="K40" s="348">
        <v>4.8949999999999996</v>
      </c>
      <c r="L40" s="539">
        <v>8.7604846225535993E-2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x14ac:dyDescent="0.35">
      <c r="A41" s="682"/>
      <c r="B41" s="535" t="s">
        <v>519</v>
      </c>
      <c r="C41" s="535" t="s">
        <v>549</v>
      </c>
      <c r="D41" s="536">
        <v>7.3</v>
      </c>
      <c r="E41" s="537">
        <v>2.06</v>
      </c>
      <c r="F41" s="536">
        <v>7.3</v>
      </c>
      <c r="G41" s="537">
        <v>1.53</v>
      </c>
      <c r="H41" s="538" t="s">
        <v>139</v>
      </c>
      <c r="I41" s="538" t="s">
        <v>19</v>
      </c>
      <c r="J41" s="538" t="s">
        <v>19</v>
      </c>
      <c r="K41" s="348">
        <v>4.8850000000000007</v>
      </c>
      <c r="L41" s="539">
        <v>8.9468779123951445E-2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x14ac:dyDescent="0.35">
      <c r="A42" s="682"/>
      <c r="B42" s="535" t="s">
        <v>550</v>
      </c>
      <c r="C42" s="535" t="s">
        <v>165</v>
      </c>
      <c r="D42" s="536">
        <v>7.73</v>
      </c>
      <c r="E42" s="537">
        <v>2.06</v>
      </c>
      <c r="F42" s="536">
        <v>7.21</v>
      </c>
      <c r="G42" s="537">
        <v>1.53</v>
      </c>
      <c r="H42" s="538" t="s">
        <v>139</v>
      </c>
      <c r="I42" s="538" t="s">
        <v>19</v>
      </c>
      <c r="J42" s="538" t="s">
        <v>19</v>
      </c>
      <c r="K42" s="348">
        <v>4.8850000000000007</v>
      </c>
      <c r="L42" s="539">
        <v>8.9468779123951445E-2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x14ac:dyDescent="0.35">
      <c r="A43" s="682"/>
      <c r="B43" s="535" t="s">
        <v>517</v>
      </c>
      <c r="C43" s="535" t="s">
        <v>551</v>
      </c>
      <c r="D43" s="536">
        <v>7.87</v>
      </c>
      <c r="E43" s="537">
        <v>2.11</v>
      </c>
      <c r="F43" s="536">
        <v>6.96</v>
      </c>
      <c r="G43" s="537">
        <v>1.3089999999999999</v>
      </c>
      <c r="H43" s="538" t="s">
        <v>141</v>
      </c>
      <c r="I43" s="538" t="s">
        <v>19</v>
      </c>
      <c r="J43" s="538" t="s">
        <v>19</v>
      </c>
      <c r="K43" s="348">
        <v>4.8745000000000003</v>
      </c>
      <c r="L43" s="539">
        <v>9.1425908667287961E-2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x14ac:dyDescent="0.35">
      <c r="A44" s="682"/>
      <c r="B44" s="535" t="s">
        <v>531</v>
      </c>
      <c r="C44" s="535" t="s">
        <v>552</v>
      </c>
      <c r="D44" s="536">
        <v>8</v>
      </c>
      <c r="E44" s="537">
        <v>2.0499999999999998</v>
      </c>
      <c r="F44" s="536">
        <v>7.8</v>
      </c>
      <c r="G44" s="537">
        <v>1.53</v>
      </c>
      <c r="H44" s="538" t="s">
        <v>139</v>
      </c>
      <c r="I44" s="538" t="s">
        <v>19</v>
      </c>
      <c r="J44" s="538" t="s">
        <v>19</v>
      </c>
      <c r="K44" s="348">
        <v>4.8650000000000002</v>
      </c>
      <c r="L44" s="539">
        <v>9.3196644920782848E-2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x14ac:dyDescent="0.35">
      <c r="A45" s="682"/>
      <c r="B45" s="535" t="s">
        <v>171</v>
      </c>
      <c r="C45" s="535" t="s">
        <v>553</v>
      </c>
      <c r="D45" s="536">
        <v>6</v>
      </c>
      <c r="E45" s="537">
        <v>2.0499999999999998</v>
      </c>
      <c r="F45" s="536">
        <v>7.2</v>
      </c>
      <c r="G45" s="537">
        <v>1.51</v>
      </c>
      <c r="H45" s="538" t="s">
        <v>139</v>
      </c>
      <c r="I45" s="538" t="s">
        <v>19</v>
      </c>
      <c r="J45" s="538" t="s">
        <v>19</v>
      </c>
      <c r="K45" s="348">
        <v>4.8549999999999995</v>
      </c>
      <c r="L45" s="539">
        <v>9.5060577819198633E-2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ht="14.5" customHeight="1" x14ac:dyDescent="0.35">
      <c r="A46" s="682"/>
      <c r="B46" s="535" t="s">
        <v>554</v>
      </c>
      <c r="C46" s="535" t="s">
        <v>555</v>
      </c>
      <c r="D46" s="536">
        <v>7.5</v>
      </c>
      <c r="E46" s="537">
        <v>2.02</v>
      </c>
      <c r="F46" s="536">
        <v>7.5</v>
      </c>
      <c r="G46" s="537">
        <v>1.55</v>
      </c>
      <c r="H46" s="538" t="s">
        <v>139</v>
      </c>
      <c r="I46" s="538" t="s">
        <v>19</v>
      </c>
      <c r="J46" s="538" t="s">
        <v>19</v>
      </c>
      <c r="K46" s="348">
        <v>4.8150000000000004</v>
      </c>
      <c r="L46" s="539">
        <v>0.10251630941286111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 ht="14.5" customHeight="1" x14ac:dyDescent="0.35">
      <c r="A47" s="682"/>
      <c r="B47" s="540" t="s">
        <v>271</v>
      </c>
      <c r="C47" s="541"/>
      <c r="D47" s="415"/>
      <c r="E47" s="415"/>
      <c r="F47" s="415"/>
      <c r="G47" s="415"/>
      <c r="H47" s="415"/>
      <c r="I47" s="415"/>
      <c r="J47" s="415"/>
      <c r="K47" s="542">
        <v>0</v>
      </c>
      <c r="L47" s="529" t="s">
        <v>81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ht="15" x14ac:dyDescent="0.35">
      <c r="A48" s="682"/>
      <c r="B48" s="543" t="s">
        <v>272</v>
      </c>
      <c r="C48" s="543"/>
      <c r="D48" s="544"/>
      <c r="E48" s="544"/>
      <c r="F48" s="544"/>
      <c r="G48" s="544"/>
      <c r="H48" s="545"/>
      <c r="I48" s="545"/>
      <c r="J48" s="545"/>
      <c r="K48" s="527">
        <v>0</v>
      </c>
      <c r="L48" s="529" t="s">
        <v>81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50" ht="15" x14ac:dyDescent="0.35">
      <c r="A49" s="682"/>
      <c r="B49" s="532" t="s">
        <v>273</v>
      </c>
      <c r="C49" s="532"/>
      <c r="D49" s="533"/>
      <c r="E49" s="533"/>
      <c r="F49" s="533"/>
      <c r="G49" s="533"/>
      <c r="H49" s="534"/>
      <c r="I49" s="534"/>
      <c r="J49" s="534"/>
      <c r="K49" s="527">
        <v>0</v>
      </c>
      <c r="L49" s="529" t="s">
        <v>81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50" x14ac:dyDescent="0.35">
      <c r="A50" s="2"/>
      <c r="B50" s="118"/>
      <c r="C50" s="118"/>
      <c r="D50" s="119"/>
      <c r="E50" s="119"/>
      <c r="F50" s="119"/>
      <c r="G50" s="119"/>
      <c r="H50" s="119"/>
      <c r="I50" s="119"/>
      <c r="J50" s="119"/>
      <c r="K50" s="120"/>
      <c r="L50" s="12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x14ac:dyDescent="0.35">
      <c r="A51" s="2"/>
      <c r="B51" s="118"/>
      <c r="C51" s="118"/>
      <c r="D51" s="119"/>
      <c r="E51" s="119"/>
      <c r="F51" s="119"/>
      <c r="G51" s="119"/>
      <c r="H51" s="119"/>
      <c r="I51" s="119"/>
      <c r="J51" s="119"/>
      <c r="K51" s="120"/>
      <c r="L51" s="12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ht="14.5" customHeight="1" thickBot="1" x14ac:dyDescent="0.4">
      <c r="A52" s="682" t="s">
        <v>316</v>
      </c>
      <c r="B52" s="122" t="s">
        <v>253</v>
      </c>
      <c r="C52" s="123" t="s">
        <v>184</v>
      </c>
      <c r="D52" s="124" t="s">
        <v>187</v>
      </c>
      <c r="E52" s="125" t="s">
        <v>185</v>
      </c>
      <c r="F52" s="124" t="s">
        <v>186</v>
      </c>
      <c r="G52" s="126" t="s">
        <v>188</v>
      </c>
      <c r="H52" s="127" t="s">
        <v>189</v>
      </c>
      <c r="I52" s="124" t="s">
        <v>191</v>
      </c>
      <c r="J52" s="128" t="s">
        <v>192</v>
      </c>
      <c r="K52" s="117" t="s">
        <v>312</v>
      </c>
      <c r="L52" s="263" t="s">
        <v>190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50" x14ac:dyDescent="0.35">
      <c r="A53" s="682"/>
      <c r="B53" s="334" t="s">
        <v>543</v>
      </c>
      <c r="C53" s="344" t="s">
        <v>176</v>
      </c>
      <c r="D53" s="345">
        <v>8.1999999999999993</v>
      </c>
      <c r="E53" s="337">
        <v>2.38</v>
      </c>
      <c r="F53" s="337">
        <v>9.25</v>
      </c>
      <c r="G53" s="337">
        <v>1.77</v>
      </c>
      <c r="H53" s="337" t="s">
        <v>139</v>
      </c>
      <c r="I53" s="337" t="s">
        <v>19</v>
      </c>
      <c r="J53" s="337" t="s">
        <v>19</v>
      </c>
      <c r="K53" s="338">
        <v>5.6449999999999996</v>
      </c>
      <c r="L53" s="339">
        <v>3.5429583702403333E-4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50" ht="15" customHeight="1" x14ac:dyDescent="0.35">
      <c r="A54" s="682"/>
      <c r="B54" s="334" t="s">
        <v>170</v>
      </c>
      <c r="C54" s="334" t="s">
        <v>286</v>
      </c>
      <c r="D54" s="346">
        <v>10</v>
      </c>
      <c r="E54" s="337">
        <v>2.355</v>
      </c>
      <c r="F54" s="337">
        <v>9.9</v>
      </c>
      <c r="G54" s="337">
        <v>1.7470000000000001</v>
      </c>
      <c r="H54" s="337" t="s">
        <v>139</v>
      </c>
      <c r="I54" s="337" t="s">
        <v>19</v>
      </c>
      <c r="J54" s="337" t="s">
        <v>19</v>
      </c>
      <c r="K54" s="338">
        <v>5.5834999999999999</v>
      </c>
      <c r="L54" s="339">
        <v>1.1372794841945076E-2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50" ht="16" customHeight="1" x14ac:dyDescent="0.35">
      <c r="A55" s="682"/>
      <c r="B55" s="334" t="s">
        <v>517</v>
      </c>
      <c r="C55" s="335" t="s">
        <v>315</v>
      </c>
      <c r="D55" s="346">
        <v>9.4</v>
      </c>
      <c r="E55" s="337">
        <v>2.1989999999999998</v>
      </c>
      <c r="F55" s="337">
        <v>9</v>
      </c>
      <c r="G55" s="337">
        <v>1.5009999999999999</v>
      </c>
      <c r="H55" s="337" t="s">
        <v>141</v>
      </c>
      <c r="I55" s="337" t="s">
        <v>19</v>
      </c>
      <c r="J55" s="337" t="s">
        <v>518</v>
      </c>
      <c r="K55" s="338">
        <v>5.1485000000000003</v>
      </c>
      <c r="L55" s="339">
        <v>9.6824317762455064E-2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50" ht="16" customHeight="1" x14ac:dyDescent="0.35">
      <c r="A56" s="682"/>
      <c r="B56" s="334" t="s">
        <v>519</v>
      </c>
      <c r="C56" s="334" t="s">
        <v>556</v>
      </c>
      <c r="D56" s="346">
        <v>9.8000000000000007</v>
      </c>
      <c r="E56" s="337">
        <v>2.16</v>
      </c>
      <c r="F56" s="337">
        <v>9.6</v>
      </c>
      <c r="G56" s="337">
        <v>1.62</v>
      </c>
      <c r="H56" s="337" t="s">
        <v>139</v>
      </c>
      <c r="I56" s="337" t="s">
        <v>19</v>
      </c>
      <c r="J56" s="337" t="s">
        <v>19</v>
      </c>
      <c r="K56" s="338">
        <v>5.1300000000000008</v>
      </c>
      <c r="L56" s="339">
        <v>0.10077972709551646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50" ht="16" customHeight="1" x14ac:dyDescent="0.35">
      <c r="A57" s="682"/>
      <c r="B57" s="334" t="s">
        <v>179</v>
      </c>
      <c r="C57" s="335" t="s">
        <v>557</v>
      </c>
      <c r="D57" s="346">
        <v>8.9</v>
      </c>
      <c r="E57" s="337">
        <v>2.16</v>
      </c>
      <c r="F57" s="337">
        <v>9.3000000000000007</v>
      </c>
      <c r="G57" s="337">
        <v>1.59</v>
      </c>
      <c r="H57" s="337" t="s">
        <v>139</v>
      </c>
      <c r="I57" s="337" t="s">
        <v>19</v>
      </c>
      <c r="J57" s="337" t="s">
        <v>19</v>
      </c>
      <c r="K57" s="338">
        <v>5.1150000000000002</v>
      </c>
      <c r="L57" s="339">
        <v>0.10400782013685239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50" x14ac:dyDescent="0.35">
      <c r="A58" s="682"/>
      <c r="B58" s="334" t="s">
        <v>515</v>
      </c>
      <c r="C58" s="334" t="s">
        <v>395</v>
      </c>
      <c r="D58" s="346">
        <v>8.52</v>
      </c>
      <c r="E58" s="337">
        <v>2.13</v>
      </c>
      <c r="F58" s="337">
        <v>7.92</v>
      </c>
      <c r="G58" s="337">
        <v>1.5</v>
      </c>
      <c r="H58" s="337" t="s">
        <v>139</v>
      </c>
      <c r="I58" s="337" t="s">
        <v>19</v>
      </c>
      <c r="J58" s="337" t="s">
        <v>19</v>
      </c>
      <c r="K58" s="338">
        <v>5.01</v>
      </c>
      <c r="L58" s="339">
        <v>0.12714570858283442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50" ht="14.5" customHeight="1" x14ac:dyDescent="0.35">
      <c r="A59" s="682"/>
      <c r="B59" s="334" t="s">
        <v>571</v>
      </c>
      <c r="C59" s="334" t="s">
        <v>558</v>
      </c>
      <c r="D59" s="346">
        <v>9.8000000000000007</v>
      </c>
      <c r="E59" s="337">
        <v>2.08</v>
      </c>
      <c r="F59" s="337">
        <v>9.3699999999999992</v>
      </c>
      <c r="G59" s="337">
        <v>1.64</v>
      </c>
      <c r="H59" s="337" t="s">
        <v>139</v>
      </c>
      <c r="I59" s="337" t="s">
        <v>19</v>
      </c>
      <c r="J59" s="337" t="s">
        <v>19</v>
      </c>
      <c r="K59" s="338">
        <v>4.9800000000000004</v>
      </c>
      <c r="L59" s="339">
        <v>0.13393574297188751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50" ht="14.25" customHeight="1" x14ac:dyDescent="0.35">
      <c r="A60" s="682"/>
      <c r="B60" s="334" t="s">
        <v>173</v>
      </c>
      <c r="C60" s="334" t="s">
        <v>559</v>
      </c>
      <c r="D60" s="346">
        <v>9.4</v>
      </c>
      <c r="E60" s="337">
        <v>2.0699999999999998</v>
      </c>
      <c r="F60" s="337">
        <v>8.8000000000000007</v>
      </c>
      <c r="G60" s="337">
        <v>1.5820000000000001</v>
      </c>
      <c r="H60" s="337" t="s">
        <v>139</v>
      </c>
      <c r="I60" s="337" t="s">
        <v>19</v>
      </c>
      <c r="J60" s="337" t="s">
        <v>518</v>
      </c>
      <c r="K60" s="338">
        <v>4.931</v>
      </c>
      <c r="L60" s="339">
        <v>0.14520381261407425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50" ht="14.25" customHeight="1" x14ac:dyDescent="0.35">
      <c r="A61" s="682"/>
      <c r="B61" s="260" t="s">
        <v>531</v>
      </c>
      <c r="C61" s="262" t="s">
        <v>560</v>
      </c>
      <c r="D61" s="346">
        <v>8.5</v>
      </c>
      <c r="E61" s="337">
        <v>2.0510000000000002</v>
      </c>
      <c r="F61" s="337">
        <v>8</v>
      </c>
      <c r="G61" s="337">
        <v>1.5269999999999999</v>
      </c>
      <c r="H61" s="337" t="s">
        <v>139</v>
      </c>
      <c r="I61" s="337" t="s">
        <v>19</v>
      </c>
      <c r="J61" s="337" t="s">
        <v>19</v>
      </c>
      <c r="K61" s="338">
        <v>4.8655000000000008</v>
      </c>
      <c r="L61" s="339">
        <v>0.16062069674236959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50" x14ac:dyDescent="0.35">
      <c r="A62" s="682"/>
      <c r="B62" s="334" t="s">
        <v>171</v>
      </c>
      <c r="C62" s="334" t="s">
        <v>561</v>
      </c>
      <c r="D62" s="346">
        <v>9</v>
      </c>
      <c r="E62" s="337">
        <v>2.06</v>
      </c>
      <c r="F62" s="337">
        <v>9</v>
      </c>
      <c r="G62" s="337">
        <v>1.47</v>
      </c>
      <c r="H62" s="337" t="s">
        <v>139</v>
      </c>
      <c r="I62" s="337" t="s">
        <v>19</v>
      </c>
      <c r="J62" s="337" t="s">
        <v>19</v>
      </c>
      <c r="K62" s="338">
        <v>4.8550000000000004</v>
      </c>
      <c r="L62" s="339">
        <v>0.16313079299691036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50" ht="14.5" customHeight="1" x14ac:dyDescent="0.35">
      <c r="A63" s="682"/>
      <c r="B63" s="334" t="s">
        <v>537</v>
      </c>
      <c r="C63" s="335" t="s">
        <v>562</v>
      </c>
      <c r="D63" s="346">
        <v>9.9</v>
      </c>
      <c r="E63" s="337">
        <v>2.0299999999999998</v>
      </c>
      <c r="F63" s="337">
        <v>9.6</v>
      </c>
      <c r="G63" s="337">
        <v>1.58</v>
      </c>
      <c r="H63" s="337" t="s">
        <v>139</v>
      </c>
      <c r="I63" s="337" t="s">
        <v>19</v>
      </c>
      <c r="J63" s="337" t="s">
        <v>19</v>
      </c>
      <c r="K63" s="338">
        <v>4.8499999999999996</v>
      </c>
      <c r="L63" s="339">
        <v>0.16432989690721664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50" ht="14.5" customHeight="1" x14ac:dyDescent="0.35">
      <c r="A64" s="682"/>
      <c r="B64" s="347" t="s">
        <v>554</v>
      </c>
      <c r="C64" s="347" t="s">
        <v>563</v>
      </c>
      <c r="D64" s="346">
        <v>8.5</v>
      </c>
      <c r="E64" s="337">
        <v>2.0299999999999998</v>
      </c>
      <c r="F64" s="337">
        <v>8.5</v>
      </c>
      <c r="G64" s="337">
        <v>1.57</v>
      </c>
      <c r="H64" s="337" t="s">
        <v>139</v>
      </c>
      <c r="I64" s="337" t="s">
        <v>19</v>
      </c>
      <c r="J64" s="337" t="s">
        <v>19</v>
      </c>
      <c r="K64" s="338">
        <v>4.8449999999999998</v>
      </c>
      <c r="L64" s="339">
        <v>0.16553147574819413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50" x14ac:dyDescent="0.35">
      <c r="A65" s="682"/>
      <c r="B65" s="334" t="s">
        <v>550</v>
      </c>
      <c r="C65" s="334" t="s">
        <v>564</v>
      </c>
      <c r="D65" s="346">
        <v>9.85</v>
      </c>
      <c r="E65" s="337">
        <v>2.02</v>
      </c>
      <c r="F65" s="337">
        <v>9.58</v>
      </c>
      <c r="G65" s="337">
        <v>1.54</v>
      </c>
      <c r="H65" s="337" t="s">
        <v>139</v>
      </c>
      <c r="I65" s="337" t="s">
        <v>19</v>
      </c>
      <c r="J65" s="337" t="s">
        <v>19</v>
      </c>
      <c r="K65" s="338">
        <v>4.8100000000000005</v>
      </c>
      <c r="L65" s="339">
        <v>0.17401247401247394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50" x14ac:dyDescent="0.35">
      <c r="A66" s="682"/>
      <c r="B66" s="260" t="s">
        <v>524</v>
      </c>
      <c r="C66" s="262" t="s">
        <v>565</v>
      </c>
      <c r="D66" s="346">
        <v>8.15</v>
      </c>
      <c r="E66" s="337">
        <v>2</v>
      </c>
      <c r="F66" s="337">
        <v>8.0500000000000007</v>
      </c>
      <c r="G66" s="337">
        <v>1.58</v>
      </c>
      <c r="H66" s="337" t="s">
        <v>139</v>
      </c>
      <c r="I66" s="337" t="s">
        <v>19</v>
      </c>
      <c r="J66" s="337" t="s">
        <v>19</v>
      </c>
      <c r="K66" s="338">
        <v>4.79</v>
      </c>
      <c r="L66" s="339">
        <v>0.17891440501043845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50" x14ac:dyDescent="0.35">
      <c r="A67" s="682"/>
      <c r="B67" s="334" t="s">
        <v>572</v>
      </c>
      <c r="C67" s="334" t="s">
        <v>566</v>
      </c>
      <c r="D67" s="346">
        <v>9.1999999999999993</v>
      </c>
      <c r="E67" s="337">
        <v>2.0499999999999998</v>
      </c>
      <c r="F67" s="337">
        <v>7.7</v>
      </c>
      <c r="G67" s="337">
        <v>1.37</v>
      </c>
      <c r="H67" s="337" t="s">
        <v>141</v>
      </c>
      <c r="I67" s="337" t="s">
        <v>19</v>
      </c>
      <c r="J67" s="337" t="s">
        <v>19</v>
      </c>
      <c r="K67" s="338">
        <v>4.7850000000000001</v>
      </c>
      <c r="L67" s="339">
        <v>0.18014629049111811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50" x14ac:dyDescent="0.35">
      <c r="A68" s="682"/>
      <c r="B68" s="260" t="s">
        <v>571</v>
      </c>
      <c r="C68" s="260" t="s">
        <v>567</v>
      </c>
      <c r="D68" s="346">
        <v>9.8000000000000007</v>
      </c>
      <c r="E68" s="337">
        <v>1.99</v>
      </c>
      <c r="F68" s="337">
        <v>9.3699999999999992</v>
      </c>
      <c r="G68" s="337">
        <v>1.56</v>
      </c>
      <c r="H68" s="337" t="s">
        <v>139</v>
      </c>
      <c r="I68" s="337" t="s">
        <v>19</v>
      </c>
      <c r="J68" s="337" t="s">
        <v>19</v>
      </c>
      <c r="K68" s="338">
        <v>4.7600000000000007</v>
      </c>
      <c r="L68" s="339">
        <v>0.18634453781512594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50" x14ac:dyDescent="0.35">
      <c r="A69" s="682"/>
      <c r="B69" s="334" t="s">
        <v>571</v>
      </c>
      <c r="C69" s="334" t="s">
        <v>568</v>
      </c>
      <c r="D69" s="346">
        <v>9.8000000000000007</v>
      </c>
      <c r="E69" s="337">
        <v>1.97</v>
      </c>
      <c r="F69" s="337">
        <v>9.4</v>
      </c>
      <c r="G69" s="337">
        <v>1.54</v>
      </c>
      <c r="H69" s="337" t="s">
        <v>139</v>
      </c>
      <c r="I69" s="337" t="s">
        <v>19</v>
      </c>
      <c r="J69" s="337" t="s">
        <v>19</v>
      </c>
      <c r="K69" s="338">
        <v>4.71</v>
      </c>
      <c r="L69" s="339">
        <v>0.19893842887473467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50" x14ac:dyDescent="0.35">
      <c r="A70" s="682"/>
      <c r="B70" s="334" t="s">
        <v>554</v>
      </c>
      <c r="C70" s="335" t="s">
        <v>569</v>
      </c>
      <c r="D70" s="346">
        <v>8.3000000000000007</v>
      </c>
      <c r="E70" s="337">
        <v>1.96</v>
      </c>
      <c r="F70" s="337">
        <v>8.5</v>
      </c>
      <c r="G70" s="337">
        <v>1.41</v>
      </c>
      <c r="H70" s="337" t="s">
        <v>141</v>
      </c>
      <c r="I70" s="337" t="s">
        <v>19</v>
      </c>
      <c r="J70" s="337" t="s">
        <v>19</v>
      </c>
      <c r="K70" s="338">
        <v>4.625</v>
      </c>
      <c r="L70" s="339">
        <v>0.22097297297297303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50" ht="15" customHeight="1" x14ac:dyDescent="0.35">
      <c r="A71" s="682"/>
      <c r="B71" s="334" t="s">
        <v>418</v>
      </c>
      <c r="C71" s="334" t="s">
        <v>441</v>
      </c>
      <c r="D71" s="336">
        <v>9</v>
      </c>
      <c r="E71" s="337">
        <v>1.97</v>
      </c>
      <c r="F71" s="337">
        <v>9</v>
      </c>
      <c r="G71" s="337">
        <v>1.37</v>
      </c>
      <c r="H71" s="337" t="s">
        <v>139</v>
      </c>
      <c r="I71" s="333" t="s">
        <v>518</v>
      </c>
      <c r="J71" s="333" t="s">
        <v>19</v>
      </c>
      <c r="K71" s="338">
        <v>4.625</v>
      </c>
      <c r="L71" s="339">
        <v>0.22097297297297303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50" ht="15" customHeight="1" x14ac:dyDescent="0.35">
      <c r="A72" s="682"/>
      <c r="B72" s="334" t="s">
        <v>573</v>
      </c>
      <c r="C72" s="262" t="s">
        <v>570</v>
      </c>
      <c r="D72" s="336">
        <v>9</v>
      </c>
      <c r="E72" s="337">
        <v>1.9630000000000001</v>
      </c>
      <c r="F72" s="337">
        <v>8</v>
      </c>
      <c r="G72" s="337">
        <v>1.333</v>
      </c>
      <c r="H72" s="337" t="s">
        <v>141</v>
      </c>
      <c r="I72" s="337" t="s">
        <v>19</v>
      </c>
      <c r="J72" s="337" t="s">
        <v>19</v>
      </c>
      <c r="K72" s="338">
        <v>4.5925000000000002</v>
      </c>
      <c r="L72" s="339">
        <v>0.22961350027218289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x14ac:dyDescent="0.35">
      <c r="A73" s="682"/>
      <c r="B73" s="266" t="s">
        <v>271</v>
      </c>
      <c r="C73" s="335"/>
      <c r="D73" s="336"/>
      <c r="E73" s="337"/>
      <c r="F73" s="337"/>
      <c r="G73" s="337"/>
      <c r="H73" s="337"/>
      <c r="I73" s="337"/>
      <c r="J73" s="337"/>
      <c r="K73" s="261">
        <v>0</v>
      </c>
      <c r="L73" s="264" t="s">
        <v>81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x14ac:dyDescent="0.35">
      <c r="A74" s="682"/>
      <c r="B74" s="266" t="s">
        <v>272</v>
      </c>
      <c r="C74" s="334"/>
      <c r="D74" s="336"/>
      <c r="E74" s="337"/>
      <c r="F74" s="337"/>
      <c r="G74" s="337"/>
      <c r="H74" s="337"/>
      <c r="I74" s="337"/>
      <c r="J74" s="337"/>
      <c r="K74" s="261">
        <v>0</v>
      </c>
      <c r="L74" s="265" t="s">
        <v>81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5.5" x14ac:dyDescent="0.35">
      <c r="A75" s="2"/>
      <c r="B75" s="549" t="s">
        <v>273</v>
      </c>
      <c r="C75" s="549"/>
      <c r="D75" s="550"/>
      <c r="E75" s="551"/>
      <c r="F75" s="551"/>
      <c r="G75" s="551"/>
      <c r="H75" s="552"/>
      <c r="I75" s="552"/>
      <c r="J75" s="552"/>
      <c r="K75" s="338">
        <v>0</v>
      </c>
      <c r="L75" s="339" t="s">
        <v>81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5" customHeight="1" x14ac:dyDescent="0.35">
      <c r="A77" s="682" t="s">
        <v>370</v>
      </c>
      <c r="B77" s="133" t="s">
        <v>253</v>
      </c>
      <c r="C77" s="134" t="s">
        <v>184</v>
      </c>
      <c r="D77" s="135" t="s">
        <v>187</v>
      </c>
      <c r="E77" s="136" t="s">
        <v>185</v>
      </c>
      <c r="F77" s="135" t="s">
        <v>186</v>
      </c>
      <c r="G77" s="136" t="s">
        <v>188</v>
      </c>
      <c r="H77" s="137" t="s">
        <v>189</v>
      </c>
      <c r="I77" s="135" t="s">
        <v>191</v>
      </c>
      <c r="J77" s="138" t="s">
        <v>192</v>
      </c>
      <c r="K77" s="117" t="s">
        <v>312</v>
      </c>
      <c r="L77" s="263" t="s">
        <v>190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50" x14ac:dyDescent="0.35">
      <c r="A78" s="682"/>
      <c r="B78" s="347" t="s">
        <v>168</v>
      </c>
      <c r="C78" s="347" t="s">
        <v>396</v>
      </c>
      <c r="D78" s="336">
        <v>10.08</v>
      </c>
      <c r="E78" s="337">
        <v>2.25</v>
      </c>
      <c r="F78" s="337">
        <v>10.050000000000001</v>
      </c>
      <c r="G78" s="337">
        <v>1.698</v>
      </c>
      <c r="H78" s="337" t="s">
        <v>139</v>
      </c>
      <c r="I78" s="337" t="s">
        <v>19</v>
      </c>
      <c r="J78" s="337" t="s">
        <v>19</v>
      </c>
      <c r="K78" s="338">
        <v>5.3490000000000002</v>
      </c>
      <c r="L78" s="339">
        <v>1.8695083193109846E-4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50" x14ac:dyDescent="0.35">
      <c r="A79" s="682"/>
      <c r="B79" s="334" t="s">
        <v>540</v>
      </c>
      <c r="C79" s="334" t="s">
        <v>397</v>
      </c>
      <c r="D79" s="336">
        <v>10</v>
      </c>
      <c r="E79" s="337">
        <v>2.2080000000000002</v>
      </c>
      <c r="F79" s="337">
        <v>10</v>
      </c>
      <c r="G79" s="337">
        <v>1.698</v>
      </c>
      <c r="H79" s="337" t="s">
        <v>139</v>
      </c>
      <c r="I79" s="337" t="s">
        <v>19</v>
      </c>
      <c r="J79" s="337" t="s">
        <v>19</v>
      </c>
      <c r="K79" s="338">
        <v>5.2650000000000006</v>
      </c>
      <c r="L79" s="339">
        <v>1.6144349477682635E-2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50" x14ac:dyDescent="0.35">
      <c r="A80" s="682"/>
      <c r="B80" s="334" t="s">
        <v>521</v>
      </c>
      <c r="C80" s="334" t="s">
        <v>288</v>
      </c>
      <c r="D80" s="336">
        <v>10.19</v>
      </c>
      <c r="E80" s="337">
        <v>2.2000000000000002</v>
      </c>
      <c r="F80" s="337">
        <v>9.9700000000000006</v>
      </c>
      <c r="G80" s="337">
        <v>1.65</v>
      </c>
      <c r="H80" s="337" t="s">
        <v>139</v>
      </c>
      <c r="I80" s="337" t="s">
        <v>19</v>
      </c>
      <c r="J80" s="337" t="s">
        <v>19</v>
      </c>
      <c r="K80" s="338">
        <v>5.2250000000000005</v>
      </c>
      <c r="L80" s="339">
        <v>2.3923444976076381E-2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60" x14ac:dyDescent="0.35">
      <c r="A81" s="682"/>
      <c r="B81" s="334" t="s">
        <v>537</v>
      </c>
      <c r="C81" s="334" t="s">
        <v>11</v>
      </c>
      <c r="D81" s="336">
        <v>12</v>
      </c>
      <c r="E81" s="337">
        <v>2.2000000000000002</v>
      </c>
      <c r="F81" s="337">
        <v>11</v>
      </c>
      <c r="G81" s="337">
        <v>1.65</v>
      </c>
      <c r="H81" s="337" t="s">
        <v>139</v>
      </c>
      <c r="I81" s="337" t="s">
        <v>19</v>
      </c>
      <c r="J81" s="337" t="s">
        <v>19</v>
      </c>
      <c r="K81" s="338">
        <v>5.2250000000000005</v>
      </c>
      <c r="L81" s="339">
        <v>2.3923444976076381E-2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60" x14ac:dyDescent="0.35">
      <c r="A82" s="682"/>
      <c r="B82" s="334" t="s">
        <v>550</v>
      </c>
      <c r="C82" s="334" t="s">
        <v>164</v>
      </c>
      <c r="D82" s="336">
        <v>12</v>
      </c>
      <c r="E82" s="337">
        <v>2.2000000000000002</v>
      </c>
      <c r="F82" s="337">
        <v>10.5</v>
      </c>
      <c r="G82" s="337">
        <v>1.61</v>
      </c>
      <c r="H82" s="337" t="s">
        <v>139</v>
      </c>
      <c r="I82" s="337" t="s">
        <v>19</v>
      </c>
      <c r="J82" s="337" t="s">
        <v>19</v>
      </c>
      <c r="K82" s="338">
        <v>5.205000000000001</v>
      </c>
      <c r="L82" s="339">
        <v>2.7857829010566507E-2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60" x14ac:dyDescent="0.35">
      <c r="A83" s="682"/>
      <c r="B83" s="334" t="s">
        <v>168</v>
      </c>
      <c r="C83" s="334" t="s">
        <v>169</v>
      </c>
      <c r="D83" s="336">
        <v>10.92</v>
      </c>
      <c r="E83" s="337">
        <v>2.214</v>
      </c>
      <c r="F83" s="337">
        <v>10.6</v>
      </c>
      <c r="G83" s="337">
        <v>1.5209999999999999</v>
      </c>
      <c r="H83" s="337" t="s">
        <v>141</v>
      </c>
      <c r="I83" s="337" t="s">
        <v>19</v>
      </c>
      <c r="J83" s="337" t="s">
        <v>19</v>
      </c>
      <c r="K83" s="338">
        <v>5.1885000000000003</v>
      </c>
      <c r="L83" s="339">
        <v>3.1126529825575656E-2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60" x14ac:dyDescent="0.35">
      <c r="A84" s="682"/>
      <c r="B84" s="334" t="s">
        <v>173</v>
      </c>
      <c r="C84" s="334" t="s">
        <v>574</v>
      </c>
      <c r="D84" s="336">
        <v>10.7</v>
      </c>
      <c r="E84" s="337">
        <v>2.1579999999999999</v>
      </c>
      <c r="F84" s="337">
        <v>10.5</v>
      </c>
      <c r="G84" s="337">
        <v>1.69</v>
      </c>
      <c r="H84" s="337" t="s">
        <v>139</v>
      </c>
      <c r="I84" s="337" t="s">
        <v>19</v>
      </c>
      <c r="J84" s="337" t="s">
        <v>518</v>
      </c>
      <c r="K84" s="338">
        <v>5.1609999999999996</v>
      </c>
      <c r="L84" s="339">
        <v>3.6620809920558044E-2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60" x14ac:dyDescent="0.35">
      <c r="A85" s="682"/>
      <c r="B85" s="334" t="s">
        <v>179</v>
      </c>
      <c r="C85" s="334" t="s">
        <v>284</v>
      </c>
      <c r="D85" s="336">
        <v>10</v>
      </c>
      <c r="E85" s="337">
        <v>2.16</v>
      </c>
      <c r="F85" s="337">
        <v>10</v>
      </c>
      <c r="G85" s="337">
        <v>1.6</v>
      </c>
      <c r="H85" s="337" t="s">
        <v>139</v>
      </c>
      <c r="I85" s="337" t="s">
        <v>19</v>
      </c>
      <c r="J85" s="337" t="s">
        <v>19</v>
      </c>
      <c r="K85" s="338">
        <v>5.12</v>
      </c>
      <c r="L85" s="339">
        <v>4.492187499999991E-2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60" ht="16" customHeight="1" x14ac:dyDescent="0.35">
      <c r="A86" s="682"/>
      <c r="B86" s="334" t="s">
        <v>171</v>
      </c>
      <c r="C86" s="334" t="s">
        <v>575</v>
      </c>
      <c r="D86" s="336">
        <v>10</v>
      </c>
      <c r="E86" s="337">
        <v>2.15</v>
      </c>
      <c r="F86" s="337">
        <v>10</v>
      </c>
      <c r="G86" s="337">
        <v>1.56</v>
      </c>
      <c r="H86" s="337" t="s">
        <v>139</v>
      </c>
      <c r="I86" s="337" t="s">
        <v>19</v>
      </c>
      <c r="J86" s="337" t="s">
        <v>19</v>
      </c>
      <c r="K86" s="338">
        <v>5.08</v>
      </c>
      <c r="L86" s="339">
        <v>5.3149606299212511E-2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60" x14ac:dyDescent="0.35">
      <c r="A87" s="682"/>
      <c r="B87" s="334" t="s">
        <v>183</v>
      </c>
      <c r="C87" s="334" t="s">
        <v>576</v>
      </c>
      <c r="D87" s="336">
        <v>11.6</v>
      </c>
      <c r="E87" s="337">
        <v>2.1080000000000001</v>
      </c>
      <c r="F87" s="337">
        <v>12.2</v>
      </c>
      <c r="G87" s="337">
        <v>1.607</v>
      </c>
      <c r="H87" s="337" t="s">
        <v>139</v>
      </c>
      <c r="I87" s="337" t="s">
        <v>19</v>
      </c>
      <c r="J87" s="337" t="s">
        <v>19</v>
      </c>
      <c r="K87" s="338">
        <v>5.0194999999999999</v>
      </c>
      <c r="L87" s="339">
        <v>6.5843211475246494E-2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60" x14ac:dyDescent="0.35">
      <c r="A88" s="682"/>
      <c r="B88" s="334" t="s">
        <v>171</v>
      </c>
      <c r="C88" s="334" t="s">
        <v>577</v>
      </c>
      <c r="D88" s="336">
        <v>11</v>
      </c>
      <c r="E88" s="337">
        <v>2.12</v>
      </c>
      <c r="F88" s="337">
        <v>11</v>
      </c>
      <c r="G88" s="337">
        <v>1.55</v>
      </c>
      <c r="H88" s="337" t="s">
        <v>139</v>
      </c>
      <c r="I88" s="337" t="s">
        <v>19</v>
      </c>
      <c r="J88" s="337" t="s">
        <v>19</v>
      </c>
      <c r="K88" s="338">
        <v>5.0150000000000006</v>
      </c>
      <c r="L88" s="339">
        <v>6.6799601196410582E-2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60" x14ac:dyDescent="0.35">
      <c r="A89" s="682"/>
      <c r="B89" s="334" t="s">
        <v>175</v>
      </c>
      <c r="C89" s="334" t="s">
        <v>578</v>
      </c>
      <c r="D89" s="336">
        <v>11</v>
      </c>
      <c r="E89" s="337">
        <v>2.1</v>
      </c>
      <c r="F89" s="337">
        <v>11</v>
      </c>
      <c r="G89" s="337">
        <v>1.6</v>
      </c>
      <c r="H89" s="337" t="s">
        <v>139</v>
      </c>
      <c r="I89" s="337" t="s">
        <v>19</v>
      </c>
      <c r="J89" s="337" t="s">
        <v>19</v>
      </c>
      <c r="K89" s="338">
        <v>5</v>
      </c>
      <c r="L89" s="339">
        <v>6.9999999999999923E-2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60" x14ac:dyDescent="0.35">
      <c r="A90" s="682"/>
      <c r="B90" s="334" t="s">
        <v>515</v>
      </c>
      <c r="C90" s="334" t="s">
        <v>579</v>
      </c>
      <c r="D90" s="336">
        <v>11.65</v>
      </c>
      <c r="E90" s="337">
        <v>2.0699999999999998</v>
      </c>
      <c r="F90" s="337">
        <v>10.88</v>
      </c>
      <c r="G90" s="337">
        <v>1.48</v>
      </c>
      <c r="H90" s="337" t="s">
        <v>139</v>
      </c>
      <c r="I90" s="337" t="s">
        <v>19</v>
      </c>
      <c r="J90" s="337" t="s">
        <v>19</v>
      </c>
      <c r="K90" s="338">
        <v>4.88</v>
      </c>
      <c r="L90" s="339">
        <v>9.631147540983602E-2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60" x14ac:dyDescent="0.35">
      <c r="A91" s="682"/>
      <c r="B91" s="334" t="s">
        <v>554</v>
      </c>
      <c r="C91" s="334" t="s">
        <v>580</v>
      </c>
      <c r="D91" s="336">
        <v>10</v>
      </c>
      <c r="E91" s="337">
        <v>2.0299999999999998</v>
      </c>
      <c r="F91" s="337">
        <v>10.5</v>
      </c>
      <c r="G91" s="337">
        <v>1.59</v>
      </c>
      <c r="H91" s="337" t="s">
        <v>139</v>
      </c>
      <c r="I91" s="337" t="s">
        <v>19</v>
      </c>
      <c r="J91" s="337" t="s">
        <v>19</v>
      </c>
      <c r="K91" s="338">
        <v>4.8549999999999995</v>
      </c>
      <c r="L91" s="339">
        <v>0.10195674562306903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60" ht="15" x14ac:dyDescent="0.35">
      <c r="A92" s="682"/>
      <c r="B92" s="334" t="s">
        <v>161</v>
      </c>
      <c r="C92" s="334" t="s">
        <v>581</v>
      </c>
      <c r="D92" s="336">
        <v>10.84</v>
      </c>
      <c r="E92" s="337">
        <v>2.04</v>
      </c>
      <c r="F92" s="337">
        <v>9.42</v>
      </c>
      <c r="G92" s="337">
        <v>1.43</v>
      </c>
      <c r="H92" s="337" t="s">
        <v>141</v>
      </c>
      <c r="I92" s="333" t="s">
        <v>19</v>
      </c>
      <c r="J92" s="333" t="s">
        <v>19</v>
      </c>
      <c r="K92" s="348">
        <v>4.7949999999999999</v>
      </c>
      <c r="L92" s="339">
        <v>0.11574556830031277</v>
      </c>
      <c r="M92" s="129"/>
      <c r="N92" s="130"/>
      <c r="O92" s="130"/>
      <c r="P92" s="130"/>
      <c r="Q92" s="130"/>
      <c r="R92" s="130"/>
      <c r="S92" s="130"/>
      <c r="T92" s="130"/>
      <c r="U92" s="131"/>
      <c r="V92" s="13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x14ac:dyDescent="0.35">
      <c r="A93" s="682"/>
      <c r="B93" s="260" t="s">
        <v>440</v>
      </c>
      <c r="C93" s="260" t="s">
        <v>582</v>
      </c>
      <c r="D93" s="336">
        <v>10.71</v>
      </c>
      <c r="E93" s="337">
        <v>2.02</v>
      </c>
      <c r="F93" s="337">
        <v>11.25</v>
      </c>
      <c r="G93" s="337">
        <v>1.51</v>
      </c>
      <c r="H93" s="337" t="s">
        <v>139</v>
      </c>
      <c r="I93" s="337" t="s">
        <v>19</v>
      </c>
      <c r="J93" s="337" t="s">
        <v>19</v>
      </c>
      <c r="K93" s="338">
        <v>4.7949999999999999</v>
      </c>
      <c r="L93" s="339">
        <v>0.11574556830031277</v>
      </c>
      <c r="M93" s="118"/>
      <c r="N93" s="119"/>
      <c r="O93" s="119"/>
      <c r="P93" s="119"/>
      <c r="Q93" s="119"/>
      <c r="R93" s="119"/>
      <c r="S93" s="119"/>
      <c r="T93" s="119"/>
      <c r="U93" s="120"/>
      <c r="V93" s="121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x14ac:dyDescent="0.35">
      <c r="A94" s="682"/>
      <c r="B94" s="334" t="s">
        <v>440</v>
      </c>
      <c r="C94" s="334" t="s">
        <v>583</v>
      </c>
      <c r="D94" s="336">
        <v>11.91</v>
      </c>
      <c r="E94" s="337">
        <v>2.02</v>
      </c>
      <c r="F94" s="337">
        <v>11.65</v>
      </c>
      <c r="G94" s="337">
        <v>1.51</v>
      </c>
      <c r="H94" s="337" t="s">
        <v>139</v>
      </c>
      <c r="I94" s="337" t="s">
        <v>19</v>
      </c>
      <c r="J94" s="337" t="s">
        <v>19</v>
      </c>
      <c r="K94" s="338">
        <v>4.7949999999999999</v>
      </c>
      <c r="L94" s="339">
        <v>0.11574556830031277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60" ht="15" x14ac:dyDescent="0.35">
      <c r="A95" s="682"/>
      <c r="B95" s="334" t="s">
        <v>584</v>
      </c>
      <c r="C95" s="335" t="s">
        <v>585</v>
      </c>
      <c r="D95" s="336">
        <v>11.6</v>
      </c>
      <c r="E95" s="337">
        <v>1.9870000000000001</v>
      </c>
      <c r="F95" s="337">
        <v>10.6</v>
      </c>
      <c r="G95" s="337">
        <v>1.46</v>
      </c>
      <c r="H95" s="337" t="s">
        <v>141</v>
      </c>
      <c r="I95" s="333" t="s">
        <v>19</v>
      </c>
      <c r="J95" s="333" t="s">
        <v>19</v>
      </c>
      <c r="K95" s="338">
        <v>4.7040000000000006</v>
      </c>
      <c r="L95" s="339">
        <v>0.13732993197278889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60" x14ac:dyDescent="0.35">
      <c r="A96" s="682"/>
      <c r="B96" s="334" t="s">
        <v>586</v>
      </c>
      <c r="C96" s="334" t="s">
        <v>587</v>
      </c>
      <c r="D96" s="336">
        <v>10.5</v>
      </c>
      <c r="E96" s="337">
        <v>1.9710000000000001</v>
      </c>
      <c r="F96" s="337">
        <v>10.5</v>
      </c>
      <c r="G96" s="337">
        <v>1.52</v>
      </c>
      <c r="H96" s="337" t="s">
        <v>139</v>
      </c>
      <c r="I96" s="337" t="s">
        <v>19</v>
      </c>
      <c r="J96" s="337" t="s">
        <v>19</v>
      </c>
      <c r="K96" s="338">
        <v>4.7020000000000008</v>
      </c>
      <c r="L96" s="339">
        <v>0.13781369629944676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105" ht="14.5" customHeight="1" x14ac:dyDescent="0.35">
      <c r="A97" s="682"/>
      <c r="B97" s="334" t="s">
        <v>588</v>
      </c>
      <c r="C97" s="334" t="s">
        <v>589</v>
      </c>
      <c r="D97" s="336">
        <v>11</v>
      </c>
      <c r="E97" s="337">
        <v>1.9710000000000001</v>
      </c>
      <c r="F97" s="337">
        <v>11</v>
      </c>
      <c r="G97" s="337">
        <v>1.52</v>
      </c>
      <c r="H97" s="337" t="s">
        <v>139</v>
      </c>
      <c r="I97" s="337" t="s">
        <v>19</v>
      </c>
      <c r="J97" s="337" t="s">
        <v>19</v>
      </c>
      <c r="K97" s="338">
        <v>4.7020000000000008</v>
      </c>
      <c r="L97" s="339">
        <v>0.13781369629944676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105" ht="14.5" customHeight="1" x14ac:dyDescent="0.35">
      <c r="A98" s="682"/>
      <c r="B98" s="260" t="s">
        <v>524</v>
      </c>
      <c r="C98" s="262" t="s">
        <v>590</v>
      </c>
      <c r="D98" s="336">
        <v>11.66</v>
      </c>
      <c r="E98" s="337">
        <v>1.95</v>
      </c>
      <c r="F98" s="337">
        <v>11.5</v>
      </c>
      <c r="G98" s="337">
        <v>1.57</v>
      </c>
      <c r="H98" s="337" t="s">
        <v>139</v>
      </c>
      <c r="I98" s="337" t="s">
        <v>19</v>
      </c>
      <c r="J98" s="337" t="s">
        <v>19</v>
      </c>
      <c r="K98" s="338">
        <v>4.6850000000000005</v>
      </c>
      <c r="L98" s="339">
        <v>0.14194236926360707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105" x14ac:dyDescent="0.35">
      <c r="A99" s="682"/>
      <c r="B99" s="334" t="s">
        <v>538</v>
      </c>
      <c r="C99" s="334" t="s">
        <v>591</v>
      </c>
      <c r="D99" s="336">
        <v>12</v>
      </c>
      <c r="E99" s="337">
        <v>1.95</v>
      </c>
      <c r="F99" s="337">
        <v>10</v>
      </c>
      <c r="G99" s="337">
        <v>1.4</v>
      </c>
      <c r="H99" s="337" t="s">
        <v>143</v>
      </c>
      <c r="I99" s="337" t="s">
        <v>19</v>
      </c>
      <c r="J99" s="337" t="s">
        <v>19</v>
      </c>
      <c r="K99" s="338">
        <v>4.6000000000000005</v>
      </c>
      <c r="L99" s="339">
        <v>0.16304347826086935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105" s="2" customFormat="1" x14ac:dyDescent="0.35">
      <c r="A100" s="682"/>
      <c r="B100" s="334" t="s">
        <v>539</v>
      </c>
      <c r="C100" s="335" t="s">
        <v>592</v>
      </c>
      <c r="D100" s="336">
        <v>12.13</v>
      </c>
      <c r="E100" s="337">
        <v>1.94</v>
      </c>
      <c r="F100" s="337">
        <v>10</v>
      </c>
      <c r="G100" s="337">
        <v>1.4</v>
      </c>
      <c r="H100" s="337" t="s">
        <v>143</v>
      </c>
      <c r="I100" s="337" t="s">
        <v>19</v>
      </c>
      <c r="J100" s="337" t="s">
        <v>19</v>
      </c>
      <c r="K100" s="338">
        <v>4.58</v>
      </c>
      <c r="L100" s="339">
        <v>0.16812227074235797</v>
      </c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</row>
    <row r="101" spans="1:105" s="2" customFormat="1" ht="15.5" x14ac:dyDescent="0.35">
      <c r="A101" s="682"/>
      <c r="B101" s="334" t="s">
        <v>271</v>
      </c>
      <c r="C101" s="332"/>
      <c r="D101" s="333"/>
      <c r="E101" s="333"/>
      <c r="F101" s="333"/>
      <c r="G101" s="333"/>
      <c r="H101" s="333"/>
      <c r="I101" s="337"/>
      <c r="J101" s="337"/>
      <c r="K101" s="348">
        <v>0</v>
      </c>
      <c r="L101" s="339" t="s">
        <v>81</v>
      </c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</row>
    <row r="102" spans="1:105" s="2" customFormat="1" x14ac:dyDescent="0.35">
      <c r="A102" s="682"/>
      <c r="B102" s="266" t="s">
        <v>272</v>
      </c>
      <c r="C102" s="266"/>
      <c r="D102" s="340"/>
      <c r="E102" s="340"/>
      <c r="F102" s="340"/>
      <c r="G102" s="340"/>
      <c r="H102" s="341"/>
      <c r="I102" s="341"/>
      <c r="J102" s="341"/>
      <c r="K102" s="521">
        <v>0</v>
      </c>
      <c r="L102" s="264" t="s">
        <v>81</v>
      </c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</row>
    <row r="103" spans="1:105" s="2" customFormat="1" x14ac:dyDescent="0.35">
      <c r="A103" s="682"/>
      <c r="B103" s="266" t="s">
        <v>273</v>
      </c>
      <c r="C103" s="266"/>
      <c r="D103" s="342"/>
      <c r="E103" s="342"/>
      <c r="F103" s="342"/>
      <c r="G103" s="342"/>
      <c r="H103" s="343"/>
      <c r="I103" s="343"/>
      <c r="J103" s="343"/>
      <c r="K103" s="261">
        <v>0</v>
      </c>
      <c r="L103" s="265" t="s">
        <v>81</v>
      </c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</row>
    <row r="104" spans="1:105" s="2" customFormat="1" ht="15" customHeight="1" x14ac:dyDescent="0.35">
      <c r="B104" s="118"/>
      <c r="C104" s="118"/>
      <c r="D104" s="119"/>
      <c r="E104" s="119"/>
      <c r="F104" s="119"/>
      <c r="G104" s="119"/>
      <c r="H104" s="119"/>
      <c r="I104" s="119"/>
      <c r="J104" s="119"/>
      <c r="K104" s="120"/>
      <c r="L104" s="121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</row>
    <row r="105" spans="1:105" s="2" customFormat="1" x14ac:dyDescent="0.35">
      <c r="B105" s="129"/>
      <c r="C105" s="129"/>
      <c r="D105" s="130"/>
      <c r="E105" s="130"/>
      <c r="F105" s="130"/>
      <c r="G105" s="130"/>
      <c r="H105" s="130"/>
      <c r="I105" s="130"/>
      <c r="J105" s="130"/>
      <c r="K105" s="131"/>
      <c r="L105" s="132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</row>
    <row r="106" spans="1:105" s="2" customFormat="1" x14ac:dyDescent="0.35">
      <c r="A106" s="682" t="s">
        <v>289</v>
      </c>
      <c r="B106" s="139" t="s">
        <v>253</v>
      </c>
      <c r="C106" s="140" t="s">
        <v>184</v>
      </c>
      <c r="D106" s="141" t="s">
        <v>187</v>
      </c>
      <c r="E106" s="142" t="s">
        <v>185</v>
      </c>
      <c r="F106" s="141" t="s">
        <v>186</v>
      </c>
      <c r="G106" s="142" t="s">
        <v>188</v>
      </c>
      <c r="H106" s="143" t="s">
        <v>189</v>
      </c>
      <c r="I106" s="141" t="s">
        <v>191</v>
      </c>
      <c r="J106" s="144" t="s">
        <v>192</v>
      </c>
      <c r="K106" s="117" t="s">
        <v>312</v>
      </c>
      <c r="L106" s="263" t="s">
        <v>190</v>
      </c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</row>
    <row r="107" spans="1:105" s="2" customFormat="1" x14ac:dyDescent="0.35">
      <c r="A107" s="682"/>
      <c r="B107" s="523" t="s">
        <v>170</v>
      </c>
      <c r="C107" s="523" t="s">
        <v>9</v>
      </c>
      <c r="D107" s="524">
        <v>12</v>
      </c>
      <c r="E107" s="525">
        <v>2.4089999999999998</v>
      </c>
      <c r="F107" s="524">
        <v>12</v>
      </c>
      <c r="G107" s="525">
        <v>1.7969999999999999</v>
      </c>
      <c r="H107" s="526" t="s">
        <v>139</v>
      </c>
      <c r="I107" s="526" t="s">
        <v>19</v>
      </c>
      <c r="J107" s="526" t="s">
        <v>19</v>
      </c>
      <c r="K107" s="348">
        <v>5.7164999999999999</v>
      </c>
      <c r="L107" s="339">
        <v>8.7466106883534134E-5</v>
      </c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</row>
    <row r="108" spans="1:105" s="2" customFormat="1" x14ac:dyDescent="0.35">
      <c r="A108" s="682"/>
      <c r="B108" s="523" t="s">
        <v>543</v>
      </c>
      <c r="C108" s="523" t="s">
        <v>177</v>
      </c>
      <c r="D108" s="524">
        <v>12.21</v>
      </c>
      <c r="E108" s="525">
        <v>2.33</v>
      </c>
      <c r="F108" s="524">
        <v>13.94</v>
      </c>
      <c r="G108" s="525">
        <v>1.72</v>
      </c>
      <c r="H108" s="526" t="s">
        <v>139</v>
      </c>
      <c r="I108" s="526" t="s">
        <v>19</v>
      </c>
      <c r="J108" s="526" t="s">
        <v>19</v>
      </c>
      <c r="K108" s="348">
        <v>5.5200000000000005</v>
      </c>
      <c r="L108" s="339">
        <v>3.5688405797101294E-2</v>
      </c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</row>
    <row r="109" spans="1:105" s="2" customFormat="1" x14ac:dyDescent="0.35">
      <c r="A109" s="682"/>
      <c r="B109" s="523" t="s">
        <v>517</v>
      </c>
      <c r="C109" s="523" t="s">
        <v>398</v>
      </c>
      <c r="D109" s="524">
        <v>13.6</v>
      </c>
      <c r="E109" s="525">
        <v>2.2290000000000001</v>
      </c>
      <c r="F109" s="524">
        <v>12.4</v>
      </c>
      <c r="G109" s="525">
        <v>1.536</v>
      </c>
      <c r="H109" s="526" t="s">
        <v>141</v>
      </c>
      <c r="I109" s="526" t="s">
        <v>19</v>
      </c>
      <c r="J109" s="526" t="s">
        <v>518</v>
      </c>
      <c r="K109" s="348">
        <v>5.2260000000000009</v>
      </c>
      <c r="L109" s="339">
        <v>9.3953310371220566E-2</v>
      </c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</row>
    <row r="110" spans="1:105" s="2" customFormat="1" x14ac:dyDescent="0.35">
      <c r="A110" s="682"/>
      <c r="B110" s="523" t="s">
        <v>515</v>
      </c>
      <c r="C110" s="523" t="s">
        <v>593</v>
      </c>
      <c r="D110" s="524">
        <v>12.41</v>
      </c>
      <c r="E110" s="525">
        <v>2.15</v>
      </c>
      <c r="F110" s="524">
        <v>11.59</v>
      </c>
      <c r="G110" s="525">
        <v>1.59</v>
      </c>
      <c r="H110" s="526" t="s">
        <v>139</v>
      </c>
      <c r="I110" s="526" t="s">
        <v>19</v>
      </c>
      <c r="J110" s="526" t="s">
        <v>19</v>
      </c>
      <c r="K110" s="348">
        <v>5.0950000000000006</v>
      </c>
      <c r="L110" s="339">
        <v>0.12208047105004885</v>
      </c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</row>
    <row r="111" spans="1:105" s="2" customFormat="1" x14ac:dyDescent="0.35">
      <c r="A111" s="682"/>
      <c r="B111" s="523" t="s">
        <v>179</v>
      </c>
      <c r="C111" s="523" t="s">
        <v>594</v>
      </c>
      <c r="D111" s="524">
        <v>10.28</v>
      </c>
      <c r="E111" s="525">
        <v>2.11</v>
      </c>
      <c r="F111" s="524">
        <v>13.98</v>
      </c>
      <c r="G111" s="525">
        <v>1.58</v>
      </c>
      <c r="H111" s="526" t="s">
        <v>139</v>
      </c>
      <c r="I111" s="526" t="s">
        <v>19</v>
      </c>
      <c r="J111" s="526" t="s">
        <v>19</v>
      </c>
      <c r="K111" s="348">
        <v>5.01</v>
      </c>
      <c r="L111" s="339">
        <v>0.14111776447105787</v>
      </c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</row>
    <row r="112" spans="1:105" s="2" customFormat="1" ht="16" customHeight="1" x14ac:dyDescent="0.35">
      <c r="A112" s="682"/>
      <c r="B112" s="523" t="s">
        <v>461</v>
      </c>
      <c r="C112" s="523" t="s">
        <v>595</v>
      </c>
      <c r="D112" s="524">
        <v>13</v>
      </c>
      <c r="E112" s="525">
        <v>2.0699999999999998</v>
      </c>
      <c r="F112" s="524">
        <v>12</v>
      </c>
      <c r="G112" s="525">
        <v>1.59</v>
      </c>
      <c r="H112" s="526" t="s">
        <v>139</v>
      </c>
      <c r="I112" s="526" t="s">
        <v>19</v>
      </c>
      <c r="J112" s="526" t="s">
        <v>19</v>
      </c>
      <c r="K112" s="348">
        <v>4.9349999999999996</v>
      </c>
      <c r="L112" s="339">
        <v>0.1584599797365755</v>
      </c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</row>
    <row r="113" spans="1:106" s="2" customFormat="1" x14ac:dyDescent="0.35">
      <c r="A113" s="682"/>
      <c r="B113" s="523" t="s">
        <v>537</v>
      </c>
      <c r="C113" s="523" t="s">
        <v>167</v>
      </c>
      <c r="D113" s="524">
        <v>14</v>
      </c>
      <c r="E113" s="525">
        <v>2.0699999999999998</v>
      </c>
      <c r="F113" s="524">
        <v>11</v>
      </c>
      <c r="G113" s="525">
        <v>1.57</v>
      </c>
      <c r="H113" s="526" t="s">
        <v>143</v>
      </c>
      <c r="I113" s="526" t="s">
        <v>19</v>
      </c>
      <c r="J113" s="526" t="s">
        <v>19</v>
      </c>
      <c r="K113" s="348">
        <v>4.9249999999999998</v>
      </c>
      <c r="L113" s="339">
        <v>0.16081218274111672</v>
      </c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</row>
    <row r="114" spans="1:106" s="2" customFormat="1" x14ac:dyDescent="0.35">
      <c r="A114" s="682"/>
      <c r="B114" s="523" t="s">
        <v>550</v>
      </c>
      <c r="C114" s="523" t="s">
        <v>166</v>
      </c>
      <c r="D114" s="524">
        <v>13.8</v>
      </c>
      <c r="E114" s="525">
        <v>2.06</v>
      </c>
      <c r="F114" s="524">
        <v>12.4</v>
      </c>
      <c r="G114" s="525">
        <v>1.52</v>
      </c>
      <c r="H114" s="526" t="s">
        <v>143</v>
      </c>
      <c r="I114" s="526" t="s">
        <v>19</v>
      </c>
      <c r="J114" s="526" t="s">
        <v>19</v>
      </c>
      <c r="K114" s="348">
        <v>4.8800000000000008</v>
      </c>
      <c r="L114" s="339">
        <v>0.17151639344262268</v>
      </c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</row>
    <row r="115" spans="1:106" s="2" customFormat="1" x14ac:dyDescent="0.35">
      <c r="A115" s="682"/>
      <c r="B115" s="523" t="s">
        <v>161</v>
      </c>
      <c r="C115" s="523" t="s">
        <v>162</v>
      </c>
      <c r="D115" s="524">
        <v>12.63</v>
      </c>
      <c r="E115" s="525">
        <v>2.06</v>
      </c>
      <c r="F115" s="524">
        <v>12.58</v>
      </c>
      <c r="G115" s="525">
        <v>1.5</v>
      </c>
      <c r="H115" s="526" t="s">
        <v>143</v>
      </c>
      <c r="I115" s="526" t="s">
        <v>19</v>
      </c>
      <c r="J115" s="526" t="s">
        <v>19</v>
      </c>
      <c r="K115" s="348">
        <v>4.87</v>
      </c>
      <c r="L115" s="339">
        <v>0.17392197125256664</v>
      </c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</row>
    <row r="116" spans="1:106" s="2" customFormat="1" x14ac:dyDescent="0.35">
      <c r="A116" s="682"/>
      <c r="B116" s="523" t="s">
        <v>571</v>
      </c>
      <c r="C116" s="523" t="s">
        <v>596</v>
      </c>
      <c r="D116" s="524">
        <v>12.42</v>
      </c>
      <c r="E116" s="525">
        <v>2.008</v>
      </c>
      <c r="F116" s="524">
        <v>12.1</v>
      </c>
      <c r="G116" s="525">
        <v>1.62</v>
      </c>
      <c r="H116" s="526" t="s">
        <v>139</v>
      </c>
      <c r="I116" s="526" t="s">
        <v>19</v>
      </c>
      <c r="J116" s="526" t="s">
        <v>19</v>
      </c>
      <c r="K116" s="348">
        <v>4.8260000000000005</v>
      </c>
      <c r="L116" s="339">
        <v>0.1846249481972646</v>
      </c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</row>
    <row r="117" spans="1:106" s="2" customFormat="1" x14ac:dyDescent="0.35">
      <c r="A117" s="682"/>
      <c r="B117" s="523" t="s">
        <v>171</v>
      </c>
      <c r="C117" s="523" t="s">
        <v>597</v>
      </c>
      <c r="D117" s="524">
        <v>12</v>
      </c>
      <c r="E117" s="525">
        <v>2.0099999999999998</v>
      </c>
      <c r="F117" s="524">
        <v>12</v>
      </c>
      <c r="G117" s="525">
        <v>1.54</v>
      </c>
      <c r="H117" s="526" t="s">
        <v>139</v>
      </c>
      <c r="I117" s="526" t="s">
        <v>19</v>
      </c>
      <c r="J117" s="526" t="s">
        <v>19</v>
      </c>
      <c r="K117" s="348">
        <v>4.79</v>
      </c>
      <c r="L117" s="339">
        <v>0.19352818371607508</v>
      </c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</row>
    <row r="118" spans="1:106" s="2" customFormat="1" x14ac:dyDescent="0.35">
      <c r="A118" s="682"/>
      <c r="B118" s="523" t="s">
        <v>554</v>
      </c>
      <c r="C118" s="523" t="s">
        <v>598</v>
      </c>
      <c r="D118" s="524">
        <v>12</v>
      </c>
      <c r="E118" s="525">
        <v>1.95</v>
      </c>
      <c r="F118" s="524">
        <v>14</v>
      </c>
      <c r="G118" s="525">
        <v>1.5</v>
      </c>
      <c r="H118" s="526" t="s">
        <v>139</v>
      </c>
      <c r="I118" s="526" t="s">
        <v>19</v>
      </c>
      <c r="J118" s="526" t="s">
        <v>19</v>
      </c>
      <c r="K118" s="348">
        <v>4.6500000000000004</v>
      </c>
      <c r="L118" s="339">
        <v>0.22946236559139768</v>
      </c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</row>
    <row r="119" spans="1:106" s="2" customFormat="1" x14ac:dyDescent="0.35">
      <c r="A119" s="682"/>
      <c r="B119" s="523" t="s">
        <v>418</v>
      </c>
      <c r="C119" s="523" t="s">
        <v>599</v>
      </c>
      <c r="D119" s="524">
        <v>12.1</v>
      </c>
      <c r="E119" s="525">
        <v>1.95</v>
      </c>
      <c r="F119" s="524">
        <v>12.1</v>
      </c>
      <c r="G119" s="525">
        <v>1.4</v>
      </c>
      <c r="H119" s="526" t="s">
        <v>141</v>
      </c>
      <c r="I119" s="526" t="s">
        <v>19</v>
      </c>
      <c r="J119" s="526" t="s">
        <v>19</v>
      </c>
      <c r="K119" s="348">
        <v>4.6000000000000005</v>
      </c>
      <c r="L119" s="339">
        <v>0.24282608695652153</v>
      </c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</row>
    <row r="120" spans="1:106" s="2" customFormat="1" ht="15" customHeight="1" x14ac:dyDescent="0.35">
      <c r="A120" s="682"/>
      <c r="B120" s="523" t="s">
        <v>417</v>
      </c>
      <c r="C120" s="523" t="s">
        <v>600</v>
      </c>
      <c r="D120" s="524">
        <v>12.6</v>
      </c>
      <c r="E120" s="525">
        <v>1.93</v>
      </c>
      <c r="F120" s="524">
        <v>12.6</v>
      </c>
      <c r="G120" s="525">
        <v>1.48</v>
      </c>
      <c r="H120" s="526" t="s">
        <v>141</v>
      </c>
      <c r="I120" s="526" t="s">
        <v>19</v>
      </c>
      <c r="J120" s="526" t="s">
        <v>19</v>
      </c>
      <c r="K120" s="348">
        <v>4.6000000000000005</v>
      </c>
      <c r="L120" s="339">
        <v>0.24282608695652153</v>
      </c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</row>
    <row r="121" spans="1:106" s="2" customFormat="1" x14ac:dyDescent="0.35">
      <c r="A121" s="682"/>
      <c r="B121" s="523" t="s">
        <v>440</v>
      </c>
      <c r="C121" s="523" t="s">
        <v>442</v>
      </c>
      <c r="D121" s="524">
        <v>12.73</v>
      </c>
      <c r="E121" s="525">
        <v>1.93</v>
      </c>
      <c r="F121" s="524">
        <v>11.81</v>
      </c>
      <c r="G121" s="525">
        <v>1.46</v>
      </c>
      <c r="H121" s="526" t="s">
        <v>139</v>
      </c>
      <c r="I121" s="526" t="s">
        <v>19</v>
      </c>
      <c r="J121" s="526" t="s">
        <v>19</v>
      </c>
      <c r="K121" s="348">
        <v>4.59</v>
      </c>
      <c r="L121" s="339">
        <v>0.24553376906318078</v>
      </c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</row>
    <row r="122" spans="1:106" s="2" customFormat="1" ht="14.5" customHeight="1" x14ac:dyDescent="0.35">
      <c r="A122" s="682"/>
      <c r="B122" s="523" t="s">
        <v>584</v>
      </c>
      <c r="C122" s="523" t="s">
        <v>601</v>
      </c>
      <c r="D122" s="524">
        <v>12</v>
      </c>
      <c r="E122" s="525">
        <v>1.93</v>
      </c>
      <c r="F122" s="524">
        <v>12</v>
      </c>
      <c r="G122" s="525">
        <v>1.43</v>
      </c>
      <c r="H122" s="526" t="s">
        <v>139</v>
      </c>
      <c r="I122" s="526" t="s">
        <v>19</v>
      </c>
      <c r="J122" s="526" t="s">
        <v>19</v>
      </c>
      <c r="K122" s="348">
        <v>4.5750000000000002</v>
      </c>
      <c r="L122" s="339">
        <v>0.24961748633879768</v>
      </c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</row>
    <row r="123" spans="1:106" s="2" customFormat="1" ht="15" customHeight="1" x14ac:dyDescent="0.35">
      <c r="A123" s="682"/>
      <c r="B123" s="523" t="s">
        <v>183</v>
      </c>
      <c r="C123" s="523" t="s">
        <v>602</v>
      </c>
      <c r="D123" s="524">
        <v>13</v>
      </c>
      <c r="E123" s="525">
        <v>1.89</v>
      </c>
      <c r="F123" s="524">
        <v>14</v>
      </c>
      <c r="G123" s="525">
        <v>1.41</v>
      </c>
      <c r="H123" s="526" t="s">
        <v>143</v>
      </c>
      <c r="I123" s="526" t="s">
        <v>19</v>
      </c>
      <c r="J123" s="526" t="s">
        <v>19</v>
      </c>
      <c r="K123" s="348">
        <v>4.4850000000000003</v>
      </c>
      <c r="L123" s="339">
        <v>0.27469342251950929</v>
      </c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</row>
    <row r="124" spans="1:106" s="2" customFormat="1" x14ac:dyDescent="0.35">
      <c r="A124" s="682"/>
      <c r="B124" s="523" t="s">
        <v>539</v>
      </c>
      <c r="C124" s="523" t="s">
        <v>603</v>
      </c>
      <c r="D124" s="524">
        <v>12.2</v>
      </c>
      <c r="E124" s="525">
        <v>1.84</v>
      </c>
      <c r="F124" s="524">
        <v>12</v>
      </c>
      <c r="G124" s="525">
        <v>1.37</v>
      </c>
      <c r="H124" s="526" t="s">
        <v>139</v>
      </c>
      <c r="I124" s="526" t="s">
        <v>19</v>
      </c>
      <c r="J124" s="526" t="s">
        <v>19</v>
      </c>
      <c r="K124" s="553">
        <v>4.3650000000000002</v>
      </c>
      <c r="L124" s="264">
        <v>0.30973654066437556</v>
      </c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</row>
    <row r="125" spans="1:106" s="2" customFormat="1" x14ac:dyDescent="0.35">
      <c r="A125" s="682"/>
      <c r="B125" s="523" t="s">
        <v>538</v>
      </c>
      <c r="C125" s="523" t="s">
        <v>604</v>
      </c>
      <c r="D125" s="524">
        <v>12.2</v>
      </c>
      <c r="E125" s="525">
        <v>1.84</v>
      </c>
      <c r="F125" s="524">
        <v>12</v>
      </c>
      <c r="G125" s="525">
        <v>1.37</v>
      </c>
      <c r="H125" s="526" t="s">
        <v>139</v>
      </c>
      <c r="I125" s="526" t="s">
        <v>19</v>
      </c>
      <c r="J125" s="526" t="s">
        <v>19</v>
      </c>
      <c r="K125" s="554">
        <v>4.3650000000000002</v>
      </c>
      <c r="L125" s="265">
        <v>0.30973654066437556</v>
      </c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</row>
    <row r="126" spans="1:106" s="2" customFormat="1" x14ac:dyDescent="0.35">
      <c r="A126" s="682"/>
      <c r="B126" s="557" t="s">
        <v>271</v>
      </c>
      <c r="C126" s="555"/>
      <c r="D126" s="556"/>
      <c r="E126" s="556"/>
      <c r="F126" s="556"/>
      <c r="G126" s="556"/>
      <c r="H126" s="556"/>
      <c r="I126" s="556"/>
      <c r="J126" s="556"/>
      <c r="K126" s="546">
        <v>0</v>
      </c>
      <c r="L126" s="548" t="s">
        <v>81</v>
      </c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</row>
    <row r="127" spans="1:106" s="2" customFormat="1" x14ac:dyDescent="0.35">
      <c r="A127" s="682"/>
      <c r="B127" s="532" t="s">
        <v>272</v>
      </c>
      <c r="C127" s="532"/>
      <c r="D127" s="533"/>
      <c r="E127" s="533"/>
      <c r="F127" s="533"/>
      <c r="G127" s="533"/>
      <c r="H127" s="534"/>
      <c r="I127" s="534"/>
      <c r="J127" s="534"/>
      <c r="K127" s="546">
        <v>0</v>
      </c>
      <c r="L127" s="548" t="s">
        <v>81</v>
      </c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</row>
    <row r="128" spans="1:106" s="2" customFormat="1" x14ac:dyDescent="0.35">
      <c r="A128" s="682"/>
      <c r="B128" s="532" t="s">
        <v>273</v>
      </c>
      <c r="C128" s="532"/>
      <c r="D128" s="533"/>
      <c r="E128" s="533"/>
      <c r="F128" s="533"/>
      <c r="G128" s="533"/>
      <c r="H128" s="534"/>
      <c r="I128" s="534"/>
      <c r="J128" s="534"/>
      <c r="K128" s="546">
        <v>0</v>
      </c>
      <c r="L128" s="548" t="s">
        <v>81</v>
      </c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</row>
    <row r="129" spans="1:106" s="2" customFormat="1" x14ac:dyDescent="0.35">
      <c r="B129" s="118"/>
      <c r="C129" s="118"/>
      <c r="D129" s="119"/>
      <c r="E129" s="119"/>
      <c r="F129" s="119"/>
      <c r="G129" s="119"/>
      <c r="H129" s="119"/>
      <c r="I129" s="119"/>
      <c r="J129" s="119"/>
      <c r="K129" s="120"/>
      <c r="L129" s="121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</row>
    <row r="130" spans="1:106" s="2" customFormat="1" x14ac:dyDescent="0.35">
      <c r="B130" s="129"/>
      <c r="C130" s="129"/>
      <c r="D130" s="130"/>
      <c r="E130" s="130"/>
      <c r="F130" s="130"/>
      <c r="G130" s="130"/>
      <c r="H130" s="130"/>
      <c r="I130" s="130"/>
      <c r="J130" s="130"/>
      <c r="K130" s="131"/>
      <c r="L130" s="132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</row>
    <row r="131" spans="1:106" s="2" customFormat="1" ht="15" customHeight="1" x14ac:dyDescent="0.35">
      <c r="A131" s="682" t="s">
        <v>333</v>
      </c>
      <c r="B131" s="145" t="s">
        <v>253</v>
      </c>
      <c r="C131" s="146" t="s">
        <v>184</v>
      </c>
      <c r="D131" s="147" t="s">
        <v>187</v>
      </c>
      <c r="E131" s="148" t="s">
        <v>185</v>
      </c>
      <c r="F131" s="147" t="s">
        <v>186</v>
      </c>
      <c r="G131" s="148" t="s">
        <v>188</v>
      </c>
      <c r="H131" s="149" t="s">
        <v>189</v>
      </c>
      <c r="I131" s="147" t="s">
        <v>191</v>
      </c>
      <c r="J131" s="150" t="s">
        <v>192</v>
      </c>
      <c r="K131" s="117" t="s">
        <v>312</v>
      </c>
      <c r="L131" s="263" t="s">
        <v>190</v>
      </c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</row>
    <row r="132" spans="1:106" s="2" customFormat="1" ht="15" customHeight="1" x14ac:dyDescent="0.35">
      <c r="A132" s="682"/>
      <c r="B132" s="558" t="s">
        <v>543</v>
      </c>
      <c r="C132" s="558" t="s">
        <v>290</v>
      </c>
      <c r="D132" s="559">
        <v>15.32</v>
      </c>
      <c r="E132" s="560">
        <v>2.34</v>
      </c>
      <c r="F132" s="559">
        <v>18.75</v>
      </c>
      <c r="G132" s="560">
        <v>1.71</v>
      </c>
      <c r="H132" s="349" t="s">
        <v>139</v>
      </c>
      <c r="I132" s="349" t="s">
        <v>19</v>
      </c>
      <c r="J132" s="349" t="s">
        <v>19</v>
      </c>
      <c r="K132" s="348">
        <v>5.5350000000000001</v>
      </c>
      <c r="L132" s="339">
        <v>0</v>
      </c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</row>
    <row r="133" spans="1:106" s="2" customFormat="1" ht="15" customHeight="1" x14ac:dyDescent="0.35">
      <c r="A133" s="682"/>
      <c r="B133" s="558" t="s">
        <v>170</v>
      </c>
      <c r="C133" s="558" t="s">
        <v>10</v>
      </c>
      <c r="D133" s="559">
        <v>15</v>
      </c>
      <c r="E133" s="560">
        <v>2.2599999999999998</v>
      </c>
      <c r="F133" s="559">
        <v>15</v>
      </c>
      <c r="G133" s="560">
        <v>1.76</v>
      </c>
      <c r="H133" s="349" t="s">
        <v>139</v>
      </c>
      <c r="I133" s="349" t="s">
        <v>19</v>
      </c>
      <c r="J133" s="349" t="s">
        <v>19</v>
      </c>
      <c r="K133" s="348">
        <v>5.3999999999999995</v>
      </c>
      <c r="L133" s="339">
        <v>2.5000000000000126E-2</v>
      </c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</row>
    <row r="134" spans="1:106" s="2" customFormat="1" ht="15" customHeight="1" x14ac:dyDescent="0.35">
      <c r="A134" s="682"/>
      <c r="B134" s="558" t="s">
        <v>540</v>
      </c>
      <c r="C134" s="558" t="s">
        <v>137</v>
      </c>
      <c r="D134" s="559">
        <v>15</v>
      </c>
      <c r="E134" s="560">
        <v>2.2589999999999999</v>
      </c>
      <c r="F134" s="559">
        <v>15</v>
      </c>
      <c r="G134" s="560">
        <v>1.6619999999999999</v>
      </c>
      <c r="H134" s="349" t="s">
        <v>139</v>
      </c>
      <c r="I134" s="349" t="s">
        <v>19</v>
      </c>
      <c r="J134" s="349" t="s">
        <v>19</v>
      </c>
      <c r="K134" s="348">
        <v>5.3489999999999993</v>
      </c>
      <c r="L134" s="339">
        <v>3.4772854739203753E-2</v>
      </c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</row>
    <row r="135" spans="1:106" s="2" customFormat="1" ht="15" customHeight="1" x14ac:dyDescent="0.35">
      <c r="A135" s="682"/>
      <c r="B135" s="558" t="s">
        <v>179</v>
      </c>
      <c r="C135" s="558" t="s">
        <v>180</v>
      </c>
      <c r="D135" s="559">
        <v>14</v>
      </c>
      <c r="E135" s="560">
        <v>2.1779999999999999</v>
      </c>
      <c r="F135" s="559">
        <v>14</v>
      </c>
      <c r="G135" s="560">
        <v>1.6890000000000001</v>
      </c>
      <c r="H135" s="349" t="s">
        <v>139</v>
      </c>
      <c r="I135" s="349" t="s">
        <v>19</v>
      </c>
      <c r="J135" s="349" t="s">
        <v>19</v>
      </c>
      <c r="K135" s="348">
        <v>5.2004999999999999</v>
      </c>
      <c r="L135" s="339">
        <v>6.4320738390539423E-2</v>
      </c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</row>
    <row r="136" spans="1:106" s="2" customFormat="1" ht="15" customHeight="1" x14ac:dyDescent="0.35">
      <c r="A136" s="682"/>
      <c r="B136" s="558" t="s">
        <v>517</v>
      </c>
      <c r="C136" s="558" t="s">
        <v>317</v>
      </c>
      <c r="D136" s="559">
        <v>18.02</v>
      </c>
      <c r="E136" s="560">
        <v>2.214</v>
      </c>
      <c r="F136" s="559">
        <v>16.29</v>
      </c>
      <c r="G136" s="560">
        <v>1.506</v>
      </c>
      <c r="H136" s="349" t="s">
        <v>141</v>
      </c>
      <c r="I136" s="349" t="s">
        <v>19</v>
      </c>
      <c r="J136" s="349" t="s">
        <v>518</v>
      </c>
      <c r="K136" s="348">
        <v>5.181</v>
      </c>
      <c r="L136" s="339">
        <v>6.8326577880718026E-2</v>
      </c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</row>
    <row r="137" spans="1:106" s="2" customFormat="1" ht="15" customHeight="1" x14ac:dyDescent="0.35">
      <c r="A137" s="682"/>
      <c r="B137" s="558" t="s">
        <v>168</v>
      </c>
      <c r="C137" s="558" t="s">
        <v>399</v>
      </c>
      <c r="D137" s="559">
        <v>15.21</v>
      </c>
      <c r="E137" s="560">
        <v>2.1659999999999999</v>
      </c>
      <c r="F137" s="559">
        <v>16.2</v>
      </c>
      <c r="G137" s="560">
        <v>1.6220000000000001</v>
      </c>
      <c r="H137" s="349" t="s">
        <v>139</v>
      </c>
      <c r="I137" s="349" t="s">
        <v>19</v>
      </c>
      <c r="J137" s="349" t="s">
        <v>19</v>
      </c>
      <c r="K137" s="348">
        <v>5.1429999999999998</v>
      </c>
      <c r="L137" s="339">
        <v>7.6220104997083482E-2</v>
      </c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</row>
    <row r="138" spans="1:106" s="2" customFormat="1" ht="15" customHeight="1" x14ac:dyDescent="0.35">
      <c r="A138" s="682"/>
      <c r="B138" s="558" t="s">
        <v>521</v>
      </c>
      <c r="C138" s="558" t="s">
        <v>605</v>
      </c>
      <c r="D138" s="559">
        <v>15.5</v>
      </c>
      <c r="E138" s="560">
        <v>2.17</v>
      </c>
      <c r="F138" s="559">
        <v>16</v>
      </c>
      <c r="G138" s="560">
        <v>1.58</v>
      </c>
      <c r="H138" s="349" t="s">
        <v>139</v>
      </c>
      <c r="I138" s="349" t="s">
        <v>19</v>
      </c>
      <c r="J138" s="349" t="s">
        <v>19</v>
      </c>
      <c r="K138" s="348">
        <v>5.13</v>
      </c>
      <c r="L138" s="339">
        <v>7.8947368421052683E-2</v>
      </c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</row>
    <row r="139" spans="1:106" s="2" customFormat="1" ht="15" customHeight="1" x14ac:dyDescent="0.35">
      <c r="A139" s="682"/>
      <c r="B139" s="558" t="s">
        <v>161</v>
      </c>
      <c r="C139" s="558" t="s">
        <v>400</v>
      </c>
      <c r="D139" s="559">
        <v>14</v>
      </c>
      <c r="E139" s="560">
        <v>2.15</v>
      </c>
      <c r="F139" s="559">
        <v>15</v>
      </c>
      <c r="G139" s="560">
        <v>1.54</v>
      </c>
      <c r="H139" s="349" t="s">
        <v>139</v>
      </c>
      <c r="I139" s="349" t="s">
        <v>19</v>
      </c>
      <c r="J139" s="349" t="s">
        <v>19</v>
      </c>
      <c r="K139" s="348">
        <v>5.07</v>
      </c>
      <c r="L139" s="339">
        <v>9.1715976331360916E-2</v>
      </c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</row>
    <row r="140" spans="1:106" s="2" customFormat="1" ht="15" customHeight="1" x14ac:dyDescent="0.35">
      <c r="A140" s="682"/>
      <c r="B140" s="558" t="s">
        <v>573</v>
      </c>
      <c r="C140" s="558" t="s">
        <v>385</v>
      </c>
      <c r="D140" s="559">
        <v>14</v>
      </c>
      <c r="E140" s="560">
        <v>2.15</v>
      </c>
      <c r="F140" s="559">
        <v>15</v>
      </c>
      <c r="G140" s="560">
        <v>1.536</v>
      </c>
      <c r="H140" s="349" t="s">
        <v>139</v>
      </c>
      <c r="I140" s="349" t="s">
        <v>19</v>
      </c>
      <c r="J140" s="349" t="s">
        <v>19</v>
      </c>
      <c r="K140" s="348">
        <v>5.0680000000000005</v>
      </c>
      <c r="L140" s="339">
        <v>9.2146803472770239E-2</v>
      </c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</row>
    <row r="141" spans="1:106" s="2" customFormat="1" ht="15" customHeight="1" x14ac:dyDescent="0.35">
      <c r="A141" s="682"/>
      <c r="B141" s="558" t="s">
        <v>515</v>
      </c>
      <c r="C141" s="558" t="s">
        <v>318</v>
      </c>
      <c r="D141" s="559">
        <v>15</v>
      </c>
      <c r="E141" s="560">
        <v>2.12</v>
      </c>
      <c r="F141" s="559">
        <v>14.32</v>
      </c>
      <c r="G141" s="560">
        <v>1.64</v>
      </c>
      <c r="H141" s="349" t="s">
        <v>139</v>
      </c>
      <c r="I141" s="349" t="s">
        <v>19</v>
      </c>
      <c r="J141" s="349" t="s">
        <v>19</v>
      </c>
      <c r="K141" s="348">
        <v>5.0600000000000005</v>
      </c>
      <c r="L141" s="339">
        <v>9.3873517786561181E-2</v>
      </c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</row>
    <row r="142" spans="1:106" s="2" customFormat="1" ht="15" customHeight="1" x14ac:dyDescent="0.35">
      <c r="A142" s="682"/>
      <c r="B142" s="558" t="s">
        <v>173</v>
      </c>
      <c r="C142" s="558" t="s">
        <v>456</v>
      </c>
      <c r="D142" s="559">
        <v>16</v>
      </c>
      <c r="E142" s="560">
        <v>2.0339999999999998</v>
      </c>
      <c r="F142" s="559">
        <v>15.4</v>
      </c>
      <c r="G142" s="560">
        <v>1.546</v>
      </c>
      <c r="H142" s="349" t="s">
        <v>139</v>
      </c>
      <c r="I142" s="349" t="s">
        <v>19</v>
      </c>
      <c r="J142" s="349" t="s">
        <v>518</v>
      </c>
      <c r="K142" s="348">
        <v>4.8409999999999993</v>
      </c>
      <c r="L142" s="339">
        <v>0.1433588101631896</v>
      </c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</row>
    <row r="143" spans="1:106" s="2" customFormat="1" ht="15" customHeight="1" x14ac:dyDescent="0.35">
      <c r="A143" s="682"/>
      <c r="B143" s="558" t="s">
        <v>537</v>
      </c>
      <c r="C143" s="558" t="s">
        <v>606</v>
      </c>
      <c r="D143" s="559">
        <v>16.600000000000001</v>
      </c>
      <c r="E143" s="560">
        <v>1.98</v>
      </c>
      <c r="F143" s="559">
        <v>15.1</v>
      </c>
      <c r="G143" s="560">
        <v>1.58</v>
      </c>
      <c r="H143" s="349" t="s">
        <v>143</v>
      </c>
      <c r="I143" s="349" t="s">
        <v>19</v>
      </c>
      <c r="J143" s="349" t="s">
        <v>19</v>
      </c>
      <c r="K143" s="348">
        <v>4.75</v>
      </c>
      <c r="L143" s="339">
        <v>0.16526315789473686</v>
      </c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</row>
    <row r="144" spans="1:106" s="2" customFormat="1" ht="15" customHeight="1" x14ac:dyDescent="0.35">
      <c r="A144" s="682"/>
      <c r="B144" s="558" t="s">
        <v>584</v>
      </c>
      <c r="C144" s="558" t="s">
        <v>460</v>
      </c>
      <c r="D144" s="559">
        <v>17</v>
      </c>
      <c r="E144" s="560">
        <v>1.986</v>
      </c>
      <c r="F144" s="559">
        <v>15</v>
      </c>
      <c r="G144" s="560">
        <v>1.4319999999999999</v>
      </c>
      <c r="H144" s="349" t="s">
        <v>141</v>
      </c>
      <c r="I144" s="349" t="s">
        <v>19</v>
      </c>
      <c r="J144" s="349" t="s">
        <v>19</v>
      </c>
      <c r="K144" s="348">
        <v>4.6879999999999997</v>
      </c>
      <c r="L144" s="339">
        <v>0.18067406143344719</v>
      </c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</row>
    <row r="145" spans="1:106" s="2" customFormat="1" ht="15" customHeight="1" x14ac:dyDescent="0.35">
      <c r="A145" s="682"/>
      <c r="B145" s="558" t="s">
        <v>586</v>
      </c>
      <c r="C145" s="558" t="s">
        <v>458</v>
      </c>
      <c r="D145" s="559">
        <v>15.6</v>
      </c>
      <c r="E145" s="560">
        <v>1.952</v>
      </c>
      <c r="F145" s="559">
        <v>15.25</v>
      </c>
      <c r="G145" s="560">
        <v>1.528</v>
      </c>
      <c r="H145" s="349" t="s">
        <v>139</v>
      </c>
      <c r="I145" s="349" t="s">
        <v>19</v>
      </c>
      <c r="J145" s="349" t="s">
        <v>19</v>
      </c>
      <c r="K145" s="348">
        <v>4.6680000000000001</v>
      </c>
      <c r="L145" s="339">
        <v>0.18573264781491003</v>
      </c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</row>
    <row r="146" spans="1:106" s="2" customFormat="1" ht="15" customHeight="1" x14ac:dyDescent="0.35">
      <c r="A146" s="682"/>
      <c r="B146" s="558" t="s">
        <v>586</v>
      </c>
      <c r="C146" s="558" t="s">
        <v>457</v>
      </c>
      <c r="D146" s="559">
        <v>15.6</v>
      </c>
      <c r="E146" s="560">
        <v>1.952</v>
      </c>
      <c r="F146" s="559">
        <v>15.25</v>
      </c>
      <c r="G146" s="560">
        <v>1.528</v>
      </c>
      <c r="H146" s="349" t="s">
        <v>139</v>
      </c>
      <c r="I146" s="349" t="s">
        <v>19</v>
      </c>
      <c r="J146" s="349" t="s">
        <v>19</v>
      </c>
      <c r="K146" s="348">
        <v>4.6680000000000001</v>
      </c>
      <c r="L146" s="339">
        <v>0.18573264781491003</v>
      </c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</row>
    <row r="147" spans="1:106" s="2" customFormat="1" ht="15" customHeight="1" x14ac:dyDescent="0.35">
      <c r="A147" s="682"/>
      <c r="B147" s="558" t="s">
        <v>588</v>
      </c>
      <c r="C147" s="558" t="s">
        <v>607</v>
      </c>
      <c r="D147" s="559">
        <v>15.6</v>
      </c>
      <c r="E147" s="560">
        <v>1.952</v>
      </c>
      <c r="F147" s="559">
        <v>15.3</v>
      </c>
      <c r="G147" s="560">
        <v>1.528</v>
      </c>
      <c r="H147" s="349" t="s">
        <v>139</v>
      </c>
      <c r="I147" s="349" t="s">
        <v>19</v>
      </c>
      <c r="J147" s="349" t="s">
        <v>19</v>
      </c>
      <c r="K147" s="348">
        <v>4.6680000000000001</v>
      </c>
      <c r="L147" s="339">
        <v>0.18573264781491003</v>
      </c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</row>
    <row r="148" spans="1:106" s="2" customFormat="1" ht="15" customHeight="1" x14ac:dyDescent="0.35">
      <c r="A148" s="682"/>
      <c r="B148" s="558" t="s">
        <v>524</v>
      </c>
      <c r="C148" s="558" t="s">
        <v>608</v>
      </c>
      <c r="D148" s="559">
        <v>14.58</v>
      </c>
      <c r="E148" s="560">
        <v>1.93</v>
      </c>
      <c r="F148" s="559">
        <v>14.84</v>
      </c>
      <c r="G148" s="560">
        <v>1.57</v>
      </c>
      <c r="H148" s="349" t="s">
        <v>139</v>
      </c>
      <c r="I148" s="349" t="s">
        <v>19</v>
      </c>
      <c r="J148" s="349" t="s">
        <v>19</v>
      </c>
      <c r="K148" s="348">
        <v>4.6450000000000005</v>
      </c>
      <c r="L148" s="339">
        <v>0.19160387513455321</v>
      </c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</row>
    <row r="149" spans="1:106" s="2" customFormat="1" ht="15" customHeight="1" x14ac:dyDescent="0.35">
      <c r="A149" s="682"/>
      <c r="B149" s="558" t="s">
        <v>417</v>
      </c>
      <c r="C149" s="558" t="s">
        <v>609</v>
      </c>
      <c r="D149" s="559">
        <v>15.5</v>
      </c>
      <c r="E149" s="560">
        <v>1.93</v>
      </c>
      <c r="F149" s="559">
        <v>14.5</v>
      </c>
      <c r="G149" s="560">
        <v>1.43</v>
      </c>
      <c r="H149" s="349" t="s">
        <v>139</v>
      </c>
      <c r="I149" s="349" t="s">
        <v>19</v>
      </c>
      <c r="J149" s="349" t="s">
        <v>19</v>
      </c>
      <c r="K149" s="348">
        <v>4.5750000000000002</v>
      </c>
      <c r="L149" s="339">
        <v>0.20983606557377046</v>
      </c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</row>
    <row r="150" spans="1:106" s="2" customFormat="1" ht="15" customHeight="1" x14ac:dyDescent="0.35">
      <c r="A150" s="682"/>
      <c r="B150" s="558" t="s">
        <v>461</v>
      </c>
      <c r="C150" s="558" t="s">
        <v>610</v>
      </c>
      <c r="D150" s="559">
        <v>15</v>
      </c>
      <c r="E150" s="560">
        <v>1.87</v>
      </c>
      <c r="F150" s="559">
        <v>15</v>
      </c>
      <c r="G150" s="560">
        <v>1.44</v>
      </c>
      <c r="H150" s="349" t="s">
        <v>143</v>
      </c>
      <c r="I150" s="349" t="s">
        <v>19</v>
      </c>
      <c r="J150" s="349" t="s">
        <v>19</v>
      </c>
      <c r="K150" s="348">
        <v>4.4600000000000009</v>
      </c>
      <c r="L150" s="339">
        <v>0.24103139013452896</v>
      </c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</row>
    <row r="151" spans="1:106" s="2" customFormat="1" ht="15" customHeight="1" x14ac:dyDescent="0.35">
      <c r="A151" s="682"/>
      <c r="B151" s="558" t="s">
        <v>611</v>
      </c>
      <c r="C151" s="558" t="s">
        <v>462</v>
      </c>
      <c r="D151" s="559">
        <v>16</v>
      </c>
      <c r="E151" s="560">
        <v>1.86</v>
      </c>
      <c r="F151" s="559">
        <v>17</v>
      </c>
      <c r="G151" s="560">
        <v>1.48</v>
      </c>
      <c r="H151" s="349" t="s">
        <v>143</v>
      </c>
      <c r="I151" s="349" t="s">
        <v>19</v>
      </c>
      <c r="J151" s="349" t="s">
        <v>19</v>
      </c>
      <c r="K151" s="348">
        <v>4.4600000000000009</v>
      </c>
      <c r="L151" s="339">
        <v>0.24103139013452896</v>
      </c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</row>
    <row r="152" spans="1:106" s="2" customFormat="1" ht="15" customHeight="1" x14ac:dyDescent="0.35">
      <c r="A152" s="682"/>
      <c r="B152" s="557" t="s">
        <v>271</v>
      </c>
      <c r="C152" s="555"/>
      <c r="D152" s="556"/>
      <c r="E152" s="556"/>
      <c r="F152" s="556"/>
      <c r="G152" s="556"/>
      <c r="H152" s="556"/>
      <c r="I152" s="556"/>
      <c r="J152" s="556"/>
      <c r="K152" s="546">
        <v>0</v>
      </c>
      <c r="L152" s="548" t="s">
        <v>81</v>
      </c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</row>
    <row r="153" spans="1:106" s="2" customFormat="1" ht="15" customHeight="1" x14ac:dyDescent="0.35">
      <c r="A153" s="682"/>
      <c r="B153" s="532" t="s">
        <v>272</v>
      </c>
      <c r="C153" s="532"/>
      <c r="D153" s="533"/>
      <c r="E153" s="533"/>
      <c r="F153" s="533"/>
      <c r="G153" s="533"/>
      <c r="H153" s="534"/>
      <c r="I153" s="534"/>
      <c r="J153" s="534"/>
      <c r="K153" s="546">
        <v>0</v>
      </c>
      <c r="L153" s="548" t="s">
        <v>81</v>
      </c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</row>
    <row r="154" spans="1:106" s="2" customFormat="1" ht="15" customHeight="1" x14ac:dyDescent="0.35">
      <c r="A154" s="682"/>
      <c r="B154" s="532" t="s">
        <v>273</v>
      </c>
      <c r="C154" s="532"/>
      <c r="D154" s="533"/>
      <c r="E154" s="533"/>
      <c r="F154" s="533"/>
      <c r="G154" s="533"/>
      <c r="H154" s="534"/>
      <c r="I154" s="534"/>
      <c r="J154" s="534"/>
      <c r="K154" s="546">
        <v>0</v>
      </c>
      <c r="L154" s="548" t="s">
        <v>81</v>
      </c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</row>
    <row r="155" spans="1:106" s="2" customFormat="1" x14ac:dyDescent="0.35">
      <c r="B155" s="129"/>
      <c r="C155" s="129"/>
      <c r="D155" s="130"/>
      <c r="E155" s="130"/>
      <c r="F155" s="130"/>
      <c r="G155" s="130"/>
      <c r="H155" s="130"/>
      <c r="I155" s="130"/>
      <c r="J155" s="130"/>
      <c r="K155" s="131"/>
      <c r="L155" s="132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</row>
    <row r="156" spans="1:106" s="2" customFormat="1" x14ac:dyDescent="0.35">
      <c r="B156" s="118"/>
      <c r="C156" s="118"/>
      <c r="D156" s="119"/>
      <c r="E156" s="119"/>
      <c r="F156" s="119"/>
      <c r="G156" s="119"/>
      <c r="H156" s="119"/>
      <c r="I156" s="119"/>
      <c r="J156" s="119"/>
      <c r="K156" s="120"/>
      <c r="L156" s="121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</row>
    <row r="157" spans="1:106" s="2" customFormat="1" ht="15" customHeight="1" x14ac:dyDescent="0.35">
      <c r="A157" s="682" t="s">
        <v>291</v>
      </c>
      <c r="B157" s="145" t="s">
        <v>253</v>
      </c>
      <c r="C157" s="146" t="s">
        <v>184</v>
      </c>
      <c r="D157" s="147" t="s">
        <v>187</v>
      </c>
      <c r="E157" s="148" t="s">
        <v>185</v>
      </c>
      <c r="F157" s="147" t="s">
        <v>186</v>
      </c>
      <c r="G157" s="148" t="s">
        <v>188</v>
      </c>
      <c r="H157" s="149" t="s">
        <v>189</v>
      </c>
      <c r="I157" s="147" t="s">
        <v>191</v>
      </c>
      <c r="J157" s="150" t="s">
        <v>192</v>
      </c>
      <c r="K157" s="151" t="s">
        <v>5</v>
      </c>
      <c r="L157" s="152" t="s">
        <v>190</v>
      </c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</row>
    <row r="158" spans="1:106" s="2" customFormat="1" ht="15" customHeight="1" x14ac:dyDescent="0.35">
      <c r="A158" s="682"/>
      <c r="B158" s="523" t="s">
        <v>170</v>
      </c>
      <c r="C158" s="523" t="s">
        <v>612</v>
      </c>
      <c r="D158" s="524">
        <v>20</v>
      </c>
      <c r="E158" s="525">
        <v>2.2400000000000002</v>
      </c>
      <c r="F158" s="524">
        <v>20</v>
      </c>
      <c r="G158" s="525">
        <v>1.76</v>
      </c>
      <c r="H158" s="526" t="s">
        <v>139</v>
      </c>
      <c r="I158" s="526" t="s">
        <v>19</v>
      </c>
      <c r="J158" s="526" t="s">
        <v>19</v>
      </c>
      <c r="K158" s="348">
        <f>IFERROR((Tabelle_L6[[#This Row],[ETA35]]*0.8+Tabelle_L6[[#This Row],[ETA55]]*0.2)*2.5,"n.a.")</f>
        <v>5.36</v>
      </c>
      <c r="L158" s="339">
        <f>IFERROR((5.36-Tabelle_L6[[#This Row],[SCOP]])/Tabelle_L6[[#This Row],[SCOP]],"n.a.")</f>
        <v>0</v>
      </c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</row>
    <row r="159" spans="1:106" s="2" customFormat="1" x14ac:dyDescent="0.35">
      <c r="A159" s="682"/>
      <c r="B159" s="523" t="s">
        <v>550</v>
      </c>
      <c r="C159" s="523" t="s">
        <v>401</v>
      </c>
      <c r="D159" s="524">
        <v>21</v>
      </c>
      <c r="E159" s="525">
        <v>2.25</v>
      </c>
      <c r="F159" s="524">
        <v>19</v>
      </c>
      <c r="G159" s="525">
        <v>1.65</v>
      </c>
      <c r="H159" s="526" t="s">
        <v>139</v>
      </c>
      <c r="I159" s="526" t="s">
        <v>19</v>
      </c>
      <c r="J159" s="526" t="s">
        <v>19</v>
      </c>
      <c r="K159" s="348">
        <f>IFERROR((Tabelle_L6[[#This Row],[ETA35]]*0.8+Tabelle_L6[[#This Row],[ETA55]]*0.2)*2.5,"n.a.")</f>
        <v>5.3249999999999993</v>
      </c>
      <c r="L159" s="339">
        <f>IFERROR((5.36-Tabelle_L6[[#This Row],[SCOP]])/Tabelle_L6[[#This Row],[SCOP]],"n.a.")</f>
        <v>6.572769953051838E-3</v>
      </c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</row>
    <row r="160" spans="1:106" s="2" customFormat="1" x14ac:dyDescent="0.35">
      <c r="A160" s="682"/>
      <c r="B160" s="523" t="s">
        <v>537</v>
      </c>
      <c r="C160" s="523" t="s">
        <v>402</v>
      </c>
      <c r="D160" s="524">
        <v>21</v>
      </c>
      <c r="E160" s="525">
        <v>2.25</v>
      </c>
      <c r="F160" s="524">
        <v>19</v>
      </c>
      <c r="G160" s="525">
        <v>1.65</v>
      </c>
      <c r="H160" s="526" t="s">
        <v>139</v>
      </c>
      <c r="I160" s="526" t="s">
        <v>19</v>
      </c>
      <c r="J160" s="526" t="s">
        <v>19</v>
      </c>
      <c r="K160" s="348">
        <f>IFERROR((Tabelle_L6[[#This Row],[ETA35]]*0.8+Tabelle_L6[[#This Row],[ETA55]]*0.2)*2.5,"n.a.")</f>
        <v>5.3249999999999993</v>
      </c>
      <c r="L160" s="339">
        <f>IFERROR((5.36-Tabelle_L6[[#This Row],[SCOP]])/Tabelle_L6[[#This Row],[SCOP]],"n.a.")</f>
        <v>6.572769953051838E-3</v>
      </c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</row>
    <row r="161" spans="1:106" s="2" customFormat="1" x14ac:dyDescent="0.35">
      <c r="A161" s="682"/>
      <c r="B161" s="523" t="s">
        <v>540</v>
      </c>
      <c r="C161" s="523" t="s">
        <v>403</v>
      </c>
      <c r="D161" s="524">
        <v>18</v>
      </c>
      <c r="E161" s="525">
        <v>2.2240000000000002</v>
      </c>
      <c r="F161" s="524">
        <v>18</v>
      </c>
      <c r="G161" s="525">
        <v>1.6990000000000001</v>
      </c>
      <c r="H161" s="526" t="s">
        <v>139</v>
      </c>
      <c r="I161" s="526" t="s">
        <v>19</v>
      </c>
      <c r="J161" s="526" t="s">
        <v>19</v>
      </c>
      <c r="K161" s="348">
        <f>IFERROR((Tabelle_L6[[#This Row],[ETA35]]*0.8+Tabelle_L6[[#This Row],[ETA55]]*0.2)*2.5,"n.a.")</f>
        <v>5.2975000000000003</v>
      </c>
      <c r="L161" s="339">
        <f>IFERROR((5.36-Tabelle_L6[[#This Row],[SCOP]])/Tabelle_L6[[#This Row],[SCOP]],"n.a.")</f>
        <v>1.1798017932987258E-2</v>
      </c>
      <c r="M161" s="82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</row>
    <row r="162" spans="1:106" s="2" customFormat="1" x14ac:dyDescent="0.35">
      <c r="A162" s="682"/>
      <c r="B162" s="523" t="s">
        <v>179</v>
      </c>
      <c r="C162" s="523" t="s">
        <v>383</v>
      </c>
      <c r="D162" s="524">
        <v>20</v>
      </c>
      <c r="E162" s="525">
        <v>2.2000000000000002</v>
      </c>
      <c r="F162" s="524">
        <v>18.5</v>
      </c>
      <c r="G162" s="525">
        <v>1.73</v>
      </c>
      <c r="H162" s="526" t="s">
        <v>139</v>
      </c>
      <c r="I162" s="526" t="s">
        <v>19</v>
      </c>
      <c r="J162" s="526" t="s">
        <v>19</v>
      </c>
      <c r="K162" s="348">
        <f>IFERROR((Tabelle_L6[[#This Row],[ETA35]]*0.8+Tabelle_L6[[#This Row],[ETA55]]*0.2)*2.5,"n.a.")</f>
        <v>5.2650000000000006</v>
      </c>
      <c r="L162" s="339">
        <f>IFERROR((5.36-Tabelle_L6[[#This Row],[SCOP]])/Tabelle_L6[[#This Row],[SCOP]],"n.a.")</f>
        <v>1.8043684710351327E-2</v>
      </c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</row>
    <row r="163" spans="1:106" s="2" customFormat="1" x14ac:dyDescent="0.35">
      <c r="A163" s="682"/>
      <c r="B163" s="523" t="s">
        <v>173</v>
      </c>
      <c r="C163" s="523" t="s">
        <v>405</v>
      </c>
      <c r="D163" s="524">
        <v>19.399999999999999</v>
      </c>
      <c r="E163" s="525">
        <v>2.16</v>
      </c>
      <c r="F163" s="524">
        <v>18.399999999999999</v>
      </c>
      <c r="G163" s="525">
        <v>1.64</v>
      </c>
      <c r="H163" s="526" t="s">
        <v>143</v>
      </c>
      <c r="I163" s="526" t="s">
        <v>19</v>
      </c>
      <c r="J163" s="526" t="s">
        <v>19</v>
      </c>
      <c r="K163" s="348">
        <f>IFERROR((Tabelle_L6[[#This Row],[ETA35]]*0.8+Tabelle_L6[[#This Row],[ETA55]]*0.2)*2.5,"n.a.")</f>
        <v>5.1400000000000006</v>
      </c>
      <c r="L163" s="339">
        <f>IFERROR((5.36-Tabelle_L6[[#This Row],[SCOP]])/Tabelle_L6[[#This Row],[SCOP]],"n.a.")</f>
        <v>4.2801556420233408E-2</v>
      </c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</row>
    <row r="164" spans="1:106" s="2" customFormat="1" x14ac:dyDescent="0.35">
      <c r="A164" s="682"/>
      <c r="B164" s="523" t="s">
        <v>584</v>
      </c>
      <c r="C164" s="523" t="s">
        <v>613</v>
      </c>
      <c r="D164" s="524">
        <v>20</v>
      </c>
      <c r="E164" s="525">
        <v>2.0939999999999999</v>
      </c>
      <c r="F164" s="524">
        <v>20</v>
      </c>
      <c r="G164" s="525">
        <v>1.6020000000000001</v>
      </c>
      <c r="H164" s="526" t="s">
        <v>139</v>
      </c>
      <c r="I164" s="526" t="s">
        <v>19</v>
      </c>
      <c r="J164" s="526" t="s">
        <v>19</v>
      </c>
      <c r="K164" s="348">
        <f>IFERROR((Tabelle_L6[[#This Row],[ETA35]]*0.8+Tabelle_L6[[#This Row],[ETA55]]*0.2)*2.5,"n.a.")</f>
        <v>4.9889999999999999</v>
      </c>
      <c r="L164" s="339">
        <f>IFERROR((5.36-Tabelle_L6[[#This Row],[SCOP]])/Tabelle_L6[[#This Row],[SCOP]],"n.a.")</f>
        <v>7.4363599919823706E-2</v>
      </c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</row>
    <row r="165" spans="1:106" s="2" customFormat="1" x14ac:dyDescent="0.35">
      <c r="A165" s="682"/>
      <c r="B165" s="523" t="s">
        <v>515</v>
      </c>
      <c r="C165" s="523" t="s">
        <v>406</v>
      </c>
      <c r="D165" s="524">
        <v>18.559999999999999</v>
      </c>
      <c r="E165" s="525">
        <v>2.0699999999999998</v>
      </c>
      <c r="F165" s="524">
        <v>17.649999999999999</v>
      </c>
      <c r="G165" s="525">
        <v>1.62</v>
      </c>
      <c r="H165" s="526" t="s">
        <v>139</v>
      </c>
      <c r="I165" s="526" t="s">
        <v>19</v>
      </c>
      <c r="J165" s="526" t="s">
        <v>19</v>
      </c>
      <c r="K165" s="348">
        <f>IFERROR((Tabelle_L6[[#This Row],[ETA35]]*0.8+Tabelle_L6[[#This Row],[ETA55]]*0.2)*2.5,"n.a.")</f>
        <v>4.95</v>
      </c>
      <c r="L165" s="339">
        <f>IFERROR((5.36-Tabelle_L6[[#This Row],[SCOP]])/Tabelle_L6[[#This Row],[SCOP]],"n.a.")</f>
        <v>8.2828282828282848E-2</v>
      </c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</row>
    <row r="166" spans="1:106" s="2" customFormat="1" ht="15" customHeight="1" x14ac:dyDescent="0.35">
      <c r="A166" s="682"/>
      <c r="B166" s="523" t="s">
        <v>517</v>
      </c>
      <c r="C166" s="523" t="s">
        <v>614</v>
      </c>
      <c r="D166" s="524">
        <v>20.100000000000001</v>
      </c>
      <c r="E166" s="525">
        <v>2.06</v>
      </c>
      <c r="F166" s="524">
        <v>18.760000000000002</v>
      </c>
      <c r="G166" s="525">
        <v>1.58</v>
      </c>
      <c r="H166" s="526" t="s">
        <v>139</v>
      </c>
      <c r="I166" s="526" t="s">
        <v>19</v>
      </c>
      <c r="J166" s="526" t="s">
        <v>518</v>
      </c>
      <c r="K166" s="348">
        <f>IFERROR((Tabelle_L6[[#This Row],[ETA35]]*0.8+Tabelle_L6[[#This Row],[ETA55]]*0.2)*2.5,"n.a.")</f>
        <v>4.91</v>
      </c>
      <c r="L166" s="339">
        <f>IFERROR((5.36-Tabelle_L6[[#This Row],[SCOP]])/Tabelle_L6[[#This Row],[SCOP]],"n.a.")</f>
        <v>9.1649694501018369E-2</v>
      </c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</row>
    <row r="167" spans="1:106" s="2" customFormat="1" ht="16" customHeight="1" x14ac:dyDescent="0.35">
      <c r="A167" s="682"/>
      <c r="B167" s="523" t="s">
        <v>161</v>
      </c>
      <c r="C167" s="523" t="s">
        <v>407</v>
      </c>
      <c r="D167" s="524">
        <v>18</v>
      </c>
      <c r="E167" s="525">
        <v>2.0699999999999998</v>
      </c>
      <c r="F167" s="524">
        <v>18</v>
      </c>
      <c r="G167" s="525">
        <v>1.53</v>
      </c>
      <c r="H167" s="526" t="s">
        <v>139</v>
      </c>
      <c r="I167" s="526" t="s">
        <v>19</v>
      </c>
      <c r="J167" s="526" t="s">
        <v>19</v>
      </c>
      <c r="K167" s="348">
        <f>IFERROR((Tabelle_L6[[#This Row],[ETA35]]*0.8+Tabelle_L6[[#This Row],[ETA55]]*0.2)*2.5,"n.a.")</f>
        <v>4.9050000000000002</v>
      </c>
      <c r="L167" s="339">
        <f>IFERROR((5.36-Tabelle_L6[[#This Row],[SCOP]])/Tabelle_L6[[#This Row],[SCOP]],"n.a.")</f>
        <v>9.2762487257900109E-2</v>
      </c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</row>
    <row r="168" spans="1:106" s="2" customFormat="1" ht="16" customHeight="1" x14ac:dyDescent="0.35">
      <c r="A168" s="682"/>
      <c r="B168" s="523" t="s">
        <v>611</v>
      </c>
      <c r="C168" s="523" t="s">
        <v>615</v>
      </c>
      <c r="D168" s="524">
        <v>19.7</v>
      </c>
      <c r="E168" s="525">
        <v>2.0499999999999998</v>
      </c>
      <c r="F168" s="524">
        <v>19.8</v>
      </c>
      <c r="G168" s="525">
        <v>1.55</v>
      </c>
      <c r="H168" s="526" t="s">
        <v>139</v>
      </c>
      <c r="I168" s="526" t="s">
        <v>19</v>
      </c>
      <c r="J168" s="526" t="s">
        <v>19</v>
      </c>
      <c r="K168" s="348">
        <f>IFERROR((Tabelle_L6[[#This Row],[ETA35]]*0.8+Tabelle_L6[[#This Row],[ETA55]]*0.2)*2.5,"n.a.")</f>
        <v>4.875</v>
      </c>
      <c r="L168" s="339">
        <f>IFERROR((5.36-Tabelle_L6[[#This Row],[SCOP]])/Tabelle_L6[[#This Row],[SCOP]],"n.a.")</f>
        <v>9.9487179487179556E-2</v>
      </c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</row>
    <row r="169" spans="1:106" s="2" customFormat="1" ht="16" customHeight="1" x14ac:dyDescent="0.35">
      <c r="A169" s="682"/>
      <c r="B169" s="523" t="s">
        <v>521</v>
      </c>
      <c r="C169" s="523" t="s">
        <v>616</v>
      </c>
      <c r="D169" s="524">
        <v>18.8</v>
      </c>
      <c r="E169" s="525">
        <v>2</v>
      </c>
      <c r="F169" s="524">
        <v>18</v>
      </c>
      <c r="G169" s="525">
        <v>1.58</v>
      </c>
      <c r="H169" s="526" t="s">
        <v>139</v>
      </c>
      <c r="I169" s="526" t="s">
        <v>19</v>
      </c>
      <c r="J169" s="526" t="s">
        <v>19</v>
      </c>
      <c r="K169" s="348">
        <f>IFERROR((Tabelle_L6[[#This Row],[ETA35]]*0.8+Tabelle_L6[[#This Row],[ETA55]]*0.2)*2.5,"n.a.")</f>
        <v>4.79</v>
      </c>
      <c r="L169" s="339">
        <f>IFERROR((5.36-Tabelle_L6[[#This Row],[SCOP]])/Tabelle_L6[[#This Row],[SCOP]],"n.a.")</f>
        <v>0.11899791231732783</v>
      </c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</row>
    <row r="170" spans="1:106" s="2" customFormat="1" ht="16" customHeight="1" x14ac:dyDescent="0.35">
      <c r="A170" s="682"/>
      <c r="B170" s="523" t="s">
        <v>461</v>
      </c>
      <c r="C170" s="523" t="s">
        <v>617</v>
      </c>
      <c r="D170" s="524">
        <v>19</v>
      </c>
      <c r="E170" s="525">
        <v>2.0009999999999999</v>
      </c>
      <c r="F170" s="524">
        <v>19</v>
      </c>
      <c r="G170" s="525">
        <v>1.5349999999999999</v>
      </c>
      <c r="H170" s="526" t="s">
        <v>139</v>
      </c>
      <c r="I170" s="526" t="s">
        <v>19</v>
      </c>
      <c r="J170" s="526" t="s">
        <v>19</v>
      </c>
      <c r="K170" s="348">
        <f>IFERROR((Tabelle_L6[[#This Row],[ETA35]]*0.8+Tabelle_L6[[#This Row],[ETA55]]*0.2)*2.5,"n.a.")</f>
        <v>4.7694999999999999</v>
      </c>
      <c r="L170" s="339">
        <f>IFERROR((5.36-Tabelle_L6[[#This Row],[SCOP]])/Tabelle_L6[[#This Row],[SCOP]],"n.a.")</f>
        <v>0.12380752699444396</v>
      </c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</row>
    <row r="171" spans="1:106" s="2" customFormat="1" x14ac:dyDescent="0.35">
      <c r="A171" s="682"/>
      <c r="B171" s="384" t="s">
        <v>271</v>
      </c>
      <c r="C171" s="561"/>
      <c r="D171" s="562"/>
      <c r="E171" s="562"/>
      <c r="F171" s="562"/>
      <c r="G171" s="562"/>
      <c r="H171" s="563"/>
      <c r="I171" s="563"/>
      <c r="J171" s="563"/>
      <c r="K171" s="564">
        <f>IFERROR((Tabelle_L6[[#This Row],[ETA35]]*0.8+Tabelle_L6[[#This Row],[ETA55]]*0.2)*2.5,"n.a.")</f>
        <v>0</v>
      </c>
      <c r="L171" s="373" t="str">
        <f>IFERROR((5.36-Tabelle_L6[[#This Row],[SCOP]])/Tabelle_L6[[#This Row],[SCOP]],"n.a.")</f>
        <v>n.a.</v>
      </c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</row>
    <row r="172" spans="1:106" s="2" customFormat="1" x14ac:dyDescent="0.35">
      <c r="A172" s="682"/>
      <c r="B172" s="532" t="s">
        <v>272</v>
      </c>
      <c r="C172" s="561"/>
      <c r="D172" s="562"/>
      <c r="E172" s="562"/>
      <c r="F172" s="562"/>
      <c r="G172" s="562"/>
      <c r="H172" s="563"/>
      <c r="I172" s="563"/>
      <c r="J172" s="563"/>
      <c r="K172" s="565">
        <f>IFERROR((Tabelle_L6[[#This Row],[ETA35]]*0.8+Tabelle_L6[[#This Row],[ETA55]]*0.2)*2.5,"n.a.")</f>
        <v>0</v>
      </c>
      <c r="L172" s="374" t="str">
        <f>IFERROR((5.36-Tabelle_L6[[#This Row],[SCOP]])/Tabelle_L6[[#This Row],[SCOP]],"n.a.")</f>
        <v>n.a.</v>
      </c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</row>
    <row r="173" spans="1:106" s="2" customFormat="1" x14ac:dyDescent="0.35">
      <c r="A173" s="682"/>
      <c r="B173" s="532" t="s">
        <v>273</v>
      </c>
      <c r="C173" s="561"/>
      <c r="D173" s="562"/>
      <c r="E173" s="562"/>
      <c r="F173" s="562"/>
      <c r="G173" s="562"/>
      <c r="H173" s="563"/>
      <c r="I173" s="563"/>
      <c r="J173" s="563"/>
      <c r="K173" s="564">
        <f>IFERROR((Tabelle_L6[[#This Row],[ETA35]]*0.8+Tabelle_L6[[#This Row],[ETA55]]*0.2)*2.5,"n.a.")</f>
        <v>0</v>
      </c>
      <c r="L173" s="373" t="str">
        <f>IFERROR((5.36-Tabelle_L6[[#This Row],[SCOP]])/Tabelle_L6[[#This Row],[SCOP]],"n.a.")</f>
        <v>n.a.</v>
      </c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</row>
    <row r="174" spans="1:106" s="2" customFormat="1" x14ac:dyDescent="0.35"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</row>
    <row r="175" spans="1:106" s="2" customFormat="1" x14ac:dyDescent="0.35"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</row>
    <row r="176" spans="1:106" s="2" customFormat="1" ht="15" customHeight="1" x14ac:dyDescent="0.35">
      <c r="A176" s="682" t="s">
        <v>371</v>
      </c>
      <c r="B176" s="302" t="s">
        <v>253</v>
      </c>
      <c r="C176" s="303" t="s">
        <v>184</v>
      </c>
      <c r="D176" s="304" t="s">
        <v>187</v>
      </c>
      <c r="E176" s="305" t="s">
        <v>185</v>
      </c>
      <c r="F176" s="304" t="s">
        <v>186</v>
      </c>
      <c r="G176" s="305" t="s">
        <v>188</v>
      </c>
      <c r="H176" s="306" t="s">
        <v>189</v>
      </c>
      <c r="I176" s="304" t="s">
        <v>191</v>
      </c>
      <c r="J176" s="307" t="s">
        <v>192</v>
      </c>
      <c r="K176" s="308" t="s">
        <v>5</v>
      </c>
      <c r="L176" s="309" t="s">
        <v>190</v>
      </c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</row>
    <row r="177" spans="1:106" s="2" customFormat="1" ht="15" customHeight="1" x14ac:dyDescent="0.35">
      <c r="A177" s="682"/>
      <c r="B177" s="334" t="s">
        <v>170</v>
      </c>
      <c r="C177" s="334" t="s">
        <v>618</v>
      </c>
      <c r="D177" s="336">
        <v>32</v>
      </c>
      <c r="E177" s="337">
        <v>2.39</v>
      </c>
      <c r="F177" s="337">
        <v>32</v>
      </c>
      <c r="G177" s="337">
        <v>1.79</v>
      </c>
      <c r="H177" s="337" t="s">
        <v>139</v>
      </c>
      <c r="I177" s="337" t="s">
        <v>19</v>
      </c>
      <c r="J177" s="337" t="s">
        <v>19</v>
      </c>
      <c r="K177" s="338">
        <v>5.6749999999999998</v>
      </c>
      <c r="L177" s="339">
        <v>3.52422907488948E-4</v>
      </c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</row>
    <row r="178" spans="1:106" s="2" customFormat="1" ht="15" customHeight="1" x14ac:dyDescent="0.35">
      <c r="A178" s="682"/>
      <c r="B178" s="334" t="s">
        <v>619</v>
      </c>
      <c r="C178" s="335" t="s">
        <v>620</v>
      </c>
      <c r="D178" s="336">
        <v>26.5</v>
      </c>
      <c r="E178" s="337">
        <v>2.2999999999999998</v>
      </c>
      <c r="F178" s="337">
        <v>26.5</v>
      </c>
      <c r="G178" s="337">
        <v>1.71</v>
      </c>
      <c r="H178" s="337" t="s">
        <v>139</v>
      </c>
      <c r="I178" s="337" t="s">
        <v>19</v>
      </c>
      <c r="J178" s="337" t="s">
        <v>19</v>
      </c>
      <c r="K178" s="338">
        <v>5.4550000000000001</v>
      </c>
      <c r="L178" s="339">
        <v>4.0696608615948586E-2</v>
      </c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</row>
    <row r="179" spans="1:106" s="2" customFormat="1" ht="15" customHeight="1" x14ac:dyDescent="0.35">
      <c r="A179" s="682"/>
      <c r="B179" s="334" t="s">
        <v>515</v>
      </c>
      <c r="C179" s="335" t="s">
        <v>408</v>
      </c>
      <c r="D179" s="336">
        <v>29</v>
      </c>
      <c r="E179" s="337">
        <v>2.2599999999999998</v>
      </c>
      <c r="F179" s="337">
        <v>27.73</v>
      </c>
      <c r="G179" s="337">
        <v>1.64</v>
      </c>
      <c r="H179" s="337" t="s">
        <v>139</v>
      </c>
      <c r="I179" s="337" t="s">
        <v>19</v>
      </c>
      <c r="J179" s="337" t="s">
        <v>19</v>
      </c>
      <c r="K179" s="338">
        <v>5.339999999999999</v>
      </c>
      <c r="L179" s="339">
        <v>6.310861423220987E-2</v>
      </c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</row>
    <row r="180" spans="1:106" s="2" customFormat="1" ht="15" customHeight="1" x14ac:dyDescent="0.35">
      <c r="A180" s="682"/>
      <c r="B180" s="334" t="s">
        <v>517</v>
      </c>
      <c r="C180" s="334" t="s">
        <v>404</v>
      </c>
      <c r="D180" s="336">
        <v>27.2</v>
      </c>
      <c r="E180" s="337">
        <v>2.2290000000000001</v>
      </c>
      <c r="F180" s="337">
        <v>24.8</v>
      </c>
      <c r="G180" s="337">
        <v>1.536</v>
      </c>
      <c r="H180" s="349" t="s">
        <v>141</v>
      </c>
      <c r="I180" s="337" t="s">
        <v>19</v>
      </c>
      <c r="J180" s="337" t="s">
        <v>518</v>
      </c>
      <c r="K180" s="338">
        <v>5.2260000000000009</v>
      </c>
      <c r="L180" s="339">
        <v>8.6299272866436794E-2</v>
      </c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</row>
    <row r="181" spans="1:106" s="2" customFormat="1" ht="15" customHeight="1" x14ac:dyDescent="0.35">
      <c r="A181" s="682"/>
      <c r="B181" s="334" t="s">
        <v>573</v>
      </c>
      <c r="C181" s="335" t="s">
        <v>621</v>
      </c>
      <c r="D181" s="336">
        <v>24.03</v>
      </c>
      <c r="E181" s="337">
        <v>2.0499999999999998</v>
      </c>
      <c r="F181" s="337">
        <v>24.7</v>
      </c>
      <c r="G181" s="337">
        <v>1.52</v>
      </c>
      <c r="H181" s="337" t="s">
        <v>139</v>
      </c>
      <c r="I181" s="337" t="s">
        <v>19</v>
      </c>
      <c r="J181" s="337" t="s">
        <v>19</v>
      </c>
      <c r="K181" s="338">
        <v>4.8599999999999994</v>
      </c>
      <c r="L181" s="339">
        <v>0.16810699588477371</v>
      </c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</row>
    <row r="182" spans="1:106" s="2" customFormat="1" ht="15" customHeight="1" x14ac:dyDescent="0.35">
      <c r="A182" s="682"/>
      <c r="B182" s="334" t="s">
        <v>531</v>
      </c>
      <c r="C182" s="335" t="s">
        <v>334</v>
      </c>
      <c r="D182" s="336">
        <v>30</v>
      </c>
      <c r="E182" s="337">
        <v>2.04</v>
      </c>
      <c r="F182" s="337">
        <v>30</v>
      </c>
      <c r="G182" s="337">
        <v>1.55</v>
      </c>
      <c r="H182" s="337" t="s">
        <v>139</v>
      </c>
      <c r="I182" s="337" t="s">
        <v>518</v>
      </c>
      <c r="J182" s="337" t="s">
        <v>518</v>
      </c>
      <c r="K182" s="338">
        <v>4.8550000000000004</v>
      </c>
      <c r="L182" s="339">
        <v>0.16930998970133865</v>
      </c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</row>
    <row r="183" spans="1:106" s="2" customFormat="1" ht="15" customHeight="1" x14ac:dyDescent="0.35">
      <c r="A183" s="682"/>
      <c r="B183" s="334" t="s">
        <v>173</v>
      </c>
      <c r="C183" s="334" t="s">
        <v>174</v>
      </c>
      <c r="D183" s="336">
        <v>27</v>
      </c>
      <c r="E183" s="337">
        <v>2.0350000000000001</v>
      </c>
      <c r="F183" s="337">
        <v>26.9</v>
      </c>
      <c r="G183" s="337">
        <v>1.5329999999999999</v>
      </c>
      <c r="H183" s="337" t="s">
        <v>143</v>
      </c>
      <c r="I183" s="337" t="s">
        <v>19</v>
      </c>
      <c r="J183" s="337" t="s">
        <v>19</v>
      </c>
      <c r="K183" s="338">
        <v>4.8365</v>
      </c>
      <c r="L183" s="339">
        <v>0.17378269409697086</v>
      </c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</row>
    <row r="184" spans="1:106" s="2" customFormat="1" ht="15" customHeight="1" x14ac:dyDescent="0.35">
      <c r="A184" s="682"/>
      <c r="B184" s="334" t="s">
        <v>550</v>
      </c>
      <c r="C184" s="334" t="s">
        <v>622</v>
      </c>
      <c r="D184" s="336">
        <v>32.5</v>
      </c>
      <c r="E184" s="337">
        <v>2.02</v>
      </c>
      <c r="F184" s="337">
        <v>31</v>
      </c>
      <c r="G184" s="337">
        <v>1.55</v>
      </c>
      <c r="H184" s="337" t="s">
        <v>139</v>
      </c>
      <c r="I184" s="337" t="s">
        <v>19</v>
      </c>
      <c r="J184" s="337" t="s">
        <v>19</v>
      </c>
      <c r="K184" s="338">
        <v>4.8150000000000004</v>
      </c>
      <c r="L184" s="339">
        <v>0.17902388369678071</v>
      </c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</row>
    <row r="185" spans="1:106" s="2" customFormat="1" ht="15" customHeight="1" x14ac:dyDescent="0.35">
      <c r="A185" s="682"/>
      <c r="B185" s="334" t="s">
        <v>540</v>
      </c>
      <c r="C185" s="334" t="s">
        <v>163</v>
      </c>
      <c r="D185" s="336">
        <v>28</v>
      </c>
      <c r="E185" s="337">
        <v>2.0299999999999998</v>
      </c>
      <c r="F185" s="337">
        <v>24</v>
      </c>
      <c r="G185" s="337">
        <v>1.35</v>
      </c>
      <c r="H185" s="337" t="s">
        <v>143</v>
      </c>
      <c r="I185" s="337" t="s">
        <v>19</v>
      </c>
      <c r="J185" s="337" t="s">
        <v>19</v>
      </c>
      <c r="K185" s="338">
        <v>4.7349999999999994</v>
      </c>
      <c r="L185" s="339">
        <v>0.19894403379091874</v>
      </c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</row>
    <row r="186" spans="1:106" s="2" customFormat="1" ht="15" customHeight="1" x14ac:dyDescent="0.35">
      <c r="A186" s="682"/>
      <c r="B186" s="334" t="s">
        <v>537</v>
      </c>
      <c r="C186" s="334" t="s">
        <v>292</v>
      </c>
      <c r="D186" s="336">
        <v>21.8</v>
      </c>
      <c r="E186" s="337">
        <v>1.96</v>
      </c>
      <c r="F186" s="337">
        <v>20.6</v>
      </c>
      <c r="G186" s="337">
        <v>1.57</v>
      </c>
      <c r="H186" s="337" t="s">
        <v>143</v>
      </c>
      <c r="I186" s="337" t="s">
        <v>19</v>
      </c>
      <c r="J186" s="337" t="s">
        <v>19</v>
      </c>
      <c r="K186" s="338">
        <v>4.7050000000000001</v>
      </c>
      <c r="L186" s="339">
        <v>0.20658873538788514</v>
      </c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</row>
    <row r="187" spans="1:106" s="2" customFormat="1" ht="15" customHeight="1" x14ac:dyDescent="0.35">
      <c r="A187" s="682"/>
      <c r="B187" s="334" t="s">
        <v>521</v>
      </c>
      <c r="C187" s="334" t="s">
        <v>623</v>
      </c>
      <c r="D187" s="336">
        <v>21</v>
      </c>
      <c r="E187" s="337">
        <v>1.95</v>
      </c>
      <c r="F187" s="337">
        <v>22</v>
      </c>
      <c r="G187" s="337">
        <v>1.42</v>
      </c>
      <c r="H187" s="337" t="s">
        <v>139</v>
      </c>
      <c r="I187" s="337" t="s">
        <v>19</v>
      </c>
      <c r="J187" s="337" t="s">
        <v>19</v>
      </c>
      <c r="K187" s="338">
        <v>4.6100000000000003</v>
      </c>
      <c r="L187" s="339">
        <v>0.23145336225596513</v>
      </c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</row>
    <row r="188" spans="1:106" s="2" customFormat="1" ht="15" customHeight="1" x14ac:dyDescent="0.35">
      <c r="A188" s="682"/>
      <c r="B188" s="334" t="s">
        <v>161</v>
      </c>
      <c r="C188" s="334" t="s">
        <v>463</v>
      </c>
      <c r="D188" s="336">
        <v>22</v>
      </c>
      <c r="E188" s="337">
        <v>1.9</v>
      </c>
      <c r="F188" s="337">
        <v>22</v>
      </c>
      <c r="G188" s="337">
        <v>1.56</v>
      </c>
      <c r="H188" s="337" t="s">
        <v>141</v>
      </c>
      <c r="I188" s="337" t="s">
        <v>19</v>
      </c>
      <c r="J188" s="337" t="s">
        <v>19</v>
      </c>
      <c r="K188" s="338">
        <v>4.58</v>
      </c>
      <c r="L188" s="339">
        <v>0.23951965065502173</v>
      </c>
      <c r="AA188" s="202"/>
      <c r="AB188" s="203" t="s">
        <v>111</v>
      </c>
      <c r="AC188" s="204" t="s">
        <v>112</v>
      </c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</row>
    <row r="189" spans="1:106" s="2" customFormat="1" ht="15" customHeight="1" x14ac:dyDescent="0.35">
      <c r="A189" s="682"/>
      <c r="B189" s="334" t="s">
        <v>571</v>
      </c>
      <c r="C189" s="334" t="s">
        <v>624</v>
      </c>
      <c r="D189" s="336">
        <v>24.8</v>
      </c>
      <c r="E189" s="337">
        <v>1.91</v>
      </c>
      <c r="F189" s="337">
        <v>25.6</v>
      </c>
      <c r="G189" s="337">
        <v>1.51</v>
      </c>
      <c r="H189" s="337" t="s">
        <v>139</v>
      </c>
      <c r="I189" s="337" t="s">
        <v>19</v>
      </c>
      <c r="J189" s="337" t="s">
        <v>19</v>
      </c>
      <c r="K189" s="338">
        <v>4.5750000000000002</v>
      </c>
      <c r="L189" s="339">
        <v>0.24087431693989059</v>
      </c>
      <c r="AA189" s="202"/>
      <c r="AB189" s="205" t="s">
        <v>386</v>
      </c>
      <c r="AC189" s="206" t="s">
        <v>210</v>
      </c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196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</row>
    <row r="190" spans="1:106" s="2" customFormat="1" ht="15" customHeight="1" x14ac:dyDescent="0.35">
      <c r="A190" s="682"/>
      <c r="B190" s="334" t="s">
        <v>183</v>
      </c>
      <c r="C190" s="334" t="s">
        <v>625</v>
      </c>
      <c r="D190" s="336">
        <v>36</v>
      </c>
      <c r="E190" s="337">
        <v>1.92</v>
      </c>
      <c r="F190" s="337">
        <v>28</v>
      </c>
      <c r="G190" s="337">
        <v>1.29</v>
      </c>
      <c r="H190" s="337" t="s">
        <v>143</v>
      </c>
      <c r="I190" s="337" t="s">
        <v>19</v>
      </c>
      <c r="J190" s="337" t="s">
        <v>19</v>
      </c>
      <c r="K190" s="338">
        <v>4.4850000000000003</v>
      </c>
      <c r="L190" s="339">
        <v>0.26577480490523953</v>
      </c>
      <c r="AA190" s="202"/>
      <c r="AB190" s="205" t="s">
        <v>387</v>
      </c>
      <c r="AC190" s="206" t="s">
        <v>211</v>
      </c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196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</row>
    <row r="191" spans="1:106" s="2" customFormat="1" ht="15" customHeight="1" x14ac:dyDescent="0.35">
      <c r="A191" s="682"/>
      <c r="B191" s="347" t="s">
        <v>524</v>
      </c>
      <c r="C191" s="347" t="s">
        <v>626</v>
      </c>
      <c r="D191" s="336">
        <v>29</v>
      </c>
      <c r="E191" s="337">
        <v>1.74</v>
      </c>
      <c r="F191" s="337">
        <v>25</v>
      </c>
      <c r="G191" s="337">
        <v>1.4</v>
      </c>
      <c r="H191" s="337" t="s">
        <v>153</v>
      </c>
      <c r="I191" s="337" t="s">
        <v>19</v>
      </c>
      <c r="J191" s="337" t="s">
        <v>19</v>
      </c>
      <c r="K191" s="338">
        <v>4.1800000000000006</v>
      </c>
      <c r="L191" s="339">
        <v>0.35813397129186575</v>
      </c>
      <c r="AA191" s="202"/>
      <c r="AB191" s="205" t="s">
        <v>388</v>
      </c>
      <c r="AC191" s="206" t="s">
        <v>297</v>
      </c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196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</row>
    <row r="192" spans="1:106" s="2" customFormat="1" ht="15" customHeight="1" x14ac:dyDescent="0.35">
      <c r="A192" s="682"/>
      <c r="B192" s="334" t="s">
        <v>271</v>
      </c>
      <c r="C192" s="375"/>
      <c r="D192" s="376"/>
      <c r="E192" s="376"/>
      <c r="F192" s="376"/>
      <c r="G192" s="376"/>
      <c r="H192" s="377"/>
      <c r="I192" s="377"/>
      <c r="J192" s="378"/>
      <c r="K192" s="371">
        <v>0</v>
      </c>
      <c r="L192" s="373" t="s">
        <v>81</v>
      </c>
      <c r="AA192" s="202"/>
      <c r="AB192" s="205" t="s">
        <v>389</v>
      </c>
      <c r="AC192" s="206" t="s">
        <v>212</v>
      </c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196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</row>
    <row r="193" spans="1:106" s="2" customFormat="1" ht="15" customHeight="1" x14ac:dyDescent="0.35">
      <c r="A193" s="682"/>
      <c r="B193" s="266" t="s">
        <v>272</v>
      </c>
      <c r="C193" s="379"/>
      <c r="D193" s="380"/>
      <c r="E193" s="380"/>
      <c r="F193" s="380"/>
      <c r="G193" s="380"/>
      <c r="H193" s="381"/>
      <c r="I193" s="381"/>
      <c r="J193" s="382"/>
      <c r="K193" s="372">
        <v>0</v>
      </c>
      <c r="L193" s="374" t="s">
        <v>81</v>
      </c>
      <c r="AA193" s="202"/>
      <c r="AB193" s="205" t="s">
        <v>390</v>
      </c>
      <c r="AC193" s="206" t="s">
        <v>213</v>
      </c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196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</row>
    <row r="194" spans="1:106" s="2" customFormat="1" ht="15" customHeight="1" x14ac:dyDescent="0.35">
      <c r="A194" s="682"/>
      <c r="B194" s="266" t="s">
        <v>273</v>
      </c>
      <c r="C194" s="375"/>
      <c r="D194" s="376"/>
      <c r="E194" s="376"/>
      <c r="F194" s="376"/>
      <c r="G194" s="376"/>
      <c r="H194" s="377"/>
      <c r="I194" s="377"/>
      <c r="J194" s="378"/>
      <c r="K194" s="371">
        <v>0</v>
      </c>
      <c r="L194" s="373" t="s">
        <v>81</v>
      </c>
      <c r="AA194" s="202"/>
      <c r="AB194" s="205" t="s">
        <v>391</v>
      </c>
      <c r="AC194" s="206" t="s">
        <v>209</v>
      </c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196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</row>
    <row r="195" spans="1:106" s="2" customFormat="1" ht="15" customHeight="1" x14ac:dyDescent="0.35">
      <c r="AA195" s="202"/>
      <c r="AB195" s="205" t="s">
        <v>392</v>
      </c>
      <c r="AC195" s="206" t="s">
        <v>214</v>
      </c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196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</row>
    <row r="196" spans="1:106" s="2" customFormat="1" ht="15" customHeight="1" x14ac:dyDescent="0.35">
      <c r="AA196" s="202"/>
      <c r="AB196" s="207" t="s">
        <v>393</v>
      </c>
      <c r="AC196" s="206" t="s">
        <v>215</v>
      </c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</row>
    <row r="197" spans="1:106" s="2" customFormat="1" ht="15" customHeight="1" x14ac:dyDescent="0.35">
      <c r="AA197" s="202"/>
      <c r="AB197" s="205" t="s">
        <v>372</v>
      </c>
      <c r="AC197" s="206" t="s">
        <v>217</v>
      </c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196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</row>
    <row r="198" spans="1:106" s="2" customFormat="1" ht="15" customHeight="1" x14ac:dyDescent="0.35">
      <c r="AA198" s="202"/>
      <c r="AB198" s="205" t="s">
        <v>373</v>
      </c>
      <c r="AC198" s="206" t="s">
        <v>218</v>
      </c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196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</row>
    <row r="199" spans="1:106" s="2" customFormat="1" ht="15" customHeight="1" x14ac:dyDescent="0.35">
      <c r="A199" s="683" t="s">
        <v>354</v>
      </c>
      <c r="B199" s="153" t="s">
        <v>254</v>
      </c>
      <c r="C199" s="154" t="s">
        <v>184</v>
      </c>
      <c r="D199" s="155" t="s">
        <v>187</v>
      </c>
      <c r="E199" s="156" t="s">
        <v>185</v>
      </c>
      <c r="F199" s="155" t="s">
        <v>186</v>
      </c>
      <c r="G199" s="156" t="s">
        <v>188</v>
      </c>
      <c r="H199" s="157" t="s">
        <v>189</v>
      </c>
      <c r="I199" s="155" t="s">
        <v>191</v>
      </c>
      <c r="J199" s="158" t="s">
        <v>192</v>
      </c>
      <c r="K199" s="158" t="s">
        <v>5</v>
      </c>
      <c r="L199" s="158" t="s">
        <v>190</v>
      </c>
      <c r="AA199" s="202"/>
      <c r="AB199" s="205" t="s">
        <v>374</v>
      </c>
      <c r="AC199" s="206" t="s">
        <v>219</v>
      </c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196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</row>
    <row r="200" spans="1:106" s="2" customFormat="1" ht="15" customHeight="1" x14ac:dyDescent="0.35">
      <c r="A200" s="683"/>
      <c r="B200" s="383" t="s">
        <v>160</v>
      </c>
      <c r="C200" s="384" t="s">
        <v>198</v>
      </c>
      <c r="D200" s="385" t="s">
        <v>145</v>
      </c>
      <c r="E200" s="385" t="s">
        <v>199</v>
      </c>
      <c r="F200" s="385" t="s">
        <v>145</v>
      </c>
      <c r="G200" s="385" t="s">
        <v>152</v>
      </c>
      <c r="H200" s="385" t="s">
        <v>141</v>
      </c>
      <c r="I200" s="385" t="s">
        <v>84</v>
      </c>
      <c r="J200" s="385" t="s">
        <v>84</v>
      </c>
      <c r="K200" s="386">
        <f>IFERROR((Tabelle_S1[[#This Row],[ETA35]]*0.8+Tabelle_S1[[#This Row],[ETA55]]*0.2)*0.025,"n.a.")</f>
        <v>5.9900000000000011</v>
      </c>
      <c r="L200" s="387">
        <f>IFERROR((5.99-Tabelle_S1[[#This Row],[SCOP]])/Tabelle_S1[[#This Row],[SCOP]],"n.a.")</f>
        <v>-1.4827686472456178E-16</v>
      </c>
      <c r="AA200" s="202"/>
      <c r="AB200" s="205" t="s">
        <v>375</v>
      </c>
      <c r="AC200" s="206" t="s">
        <v>220</v>
      </c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196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</row>
    <row r="201" spans="1:106" s="2" customFormat="1" ht="15" customHeight="1" x14ac:dyDescent="0.35">
      <c r="A201" s="683"/>
      <c r="B201" s="383" t="s">
        <v>348</v>
      </c>
      <c r="C201" s="384" t="s">
        <v>349</v>
      </c>
      <c r="D201" s="385" t="s">
        <v>311</v>
      </c>
      <c r="E201" s="385" t="s">
        <v>151</v>
      </c>
      <c r="F201" s="385" t="s">
        <v>350</v>
      </c>
      <c r="G201" s="385" t="s">
        <v>154</v>
      </c>
      <c r="H201" s="385" t="s">
        <v>139</v>
      </c>
      <c r="I201" s="385" t="s">
        <v>84</v>
      </c>
      <c r="J201" s="385" t="s">
        <v>83</v>
      </c>
      <c r="K201" s="386">
        <f>IFERROR((Tabelle_S1[[#This Row],[ETA35]]*0.8+Tabelle_S1[[#This Row],[ETA55]]*0.2)*0.025,"n.a.")</f>
        <v>5.66</v>
      </c>
      <c r="L201" s="387">
        <f>IFERROR((5.99-Tabelle_S1[[#This Row],[SCOP]])/Tabelle_S1[[#This Row],[SCOP]],"n.a.")</f>
        <v>5.8303886925795065E-2</v>
      </c>
      <c r="AA201" s="202"/>
      <c r="AB201" s="205" t="s">
        <v>379</v>
      </c>
      <c r="AC201" s="206" t="s">
        <v>221</v>
      </c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196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</row>
    <row r="202" spans="1:106" s="2" customFormat="1" ht="15" customHeight="1" x14ac:dyDescent="0.35">
      <c r="A202" s="683"/>
      <c r="B202" s="383" t="s">
        <v>158</v>
      </c>
      <c r="C202" s="384" t="s">
        <v>194</v>
      </c>
      <c r="D202" s="385" t="s">
        <v>145</v>
      </c>
      <c r="E202" s="385" t="s">
        <v>172</v>
      </c>
      <c r="F202" s="385" t="s">
        <v>146</v>
      </c>
      <c r="G202" s="385" t="s">
        <v>149</v>
      </c>
      <c r="H202" s="385" t="s">
        <v>143</v>
      </c>
      <c r="I202" s="385" t="s">
        <v>84</v>
      </c>
      <c r="J202" s="385" t="s">
        <v>84</v>
      </c>
      <c r="K202" s="386">
        <f>IFERROR((Tabelle_S1[[#This Row],[ETA35]]*0.8+Tabelle_S1[[#This Row],[ETA55]]*0.2)*0.025,"n.a.")</f>
        <v>4.955000000000001</v>
      </c>
      <c r="L202" s="387">
        <f>IFERROR((5.99-Tabelle_S1[[#This Row],[SCOP]])/Tabelle_S1[[#This Row],[SCOP]],"n.a.")</f>
        <v>0.20887991927346095</v>
      </c>
      <c r="AA202" s="202"/>
      <c r="AB202" s="205" t="s">
        <v>380</v>
      </c>
      <c r="AC202" s="206" t="s">
        <v>222</v>
      </c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196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</row>
    <row r="203" spans="1:106" s="2" customFormat="1" ht="15" customHeight="1" x14ac:dyDescent="0.35">
      <c r="A203" s="683"/>
      <c r="B203" s="383" t="s">
        <v>183</v>
      </c>
      <c r="C203" s="384" t="s">
        <v>351</v>
      </c>
      <c r="D203" s="385" t="s">
        <v>155</v>
      </c>
      <c r="E203" s="385" t="s">
        <v>172</v>
      </c>
      <c r="F203" s="385" t="s">
        <v>155</v>
      </c>
      <c r="G203" s="385" t="s">
        <v>352</v>
      </c>
      <c r="H203" s="385" t="s">
        <v>143</v>
      </c>
      <c r="I203" s="385" t="s">
        <v>84</v>
      </c>
      <c r="J203" s="385" t="s">
        <v>84</v>
      </c>
      <c r="K203" s="386">
        <f>IFERROR((Tabelle_S1[[#This Row],[ETA35]]*0.8+Tabelle_S1[[#This Row],[ETA55]]*0.2)*0.025,"n.a.")</f>
        <v>4.9250000000000007</v>
      </c>
      <c r="L203" s="387">
        <f>IFERROR((5.99-Tabelle_S1[[#This Row],[SCOP]])/Tabelle_S1[[#This Row],[SCOP]],"n.a.")</f>
        <v>0.2162436548223349</v>
      </c>
      <c r="AA203" s="202"/>
      <c r="AB203" s="207" t="s">
        <v>376</v>
      </c>
      <c r="AC203" s="206" t="s">
        <v>223</v>
      </c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196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</row>
    <row r="204" spans="1:106" s="2" customFormat="1" ht="15" customHeight="1" x14ac:dyDescent="0.35">
      <c r="A204" s="683"/>
      <c r="B204" s="383" t="s">
        <v>178</v>
      </c>
      <c r="C204" s="384" t="s">
        <v>409</v>
      </c>
      <c r="D204" s="385" t="s">
        <v>145</v>
      </c>
      <c r="E204" s="385" t="s">
        <v>147</v>
      </c>
      <c r="F204" s="385" t="s">
        <v>145</v>
      </c>
      <c r="G204" s="385" t="s">
        <v>142</v>
      </c>
      <c r="H204" s="385" t="s">
        <v>153</v>
      </c>
      <c r="I204" s="385" t="s">
        <v>84</v>
      </c>
      <c r="J204" s="385" t="s">
        <v>84</v>
      </c>
      <c r="K204" s="386">
        <f>IFERROR((Tabelle_S1[[#This Row],[ETA35]]*0.8+Tabelle_S1[[#This Row],[ETA55]]*0.2)*0.025,"n.a.")</f>
        <v>4.8250000000000002</v>
      </c>
      <c r="L204" s="387">
        <f>IFERROR((5.99-Tabelle_S1[[#This Row],[SCOP]])/Tabelle_S1[[#This Row],[SCOP]],"n.a.")</f>
        <v>0.24145077720207253</v>
      </c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202"/>
      <c r="AB204" s="207" t="s">
        <v>377</v>
      </c>
      <c r="AC204" s="319" t="s">
        <v>378</v>
      </c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196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</row>
    <row r="205" spans="1:106" s="2" customFormat="1" ht="15" customHeight="1" x14ac:dyDescent="0.35">
      <c r="A205" s="683"/>
      <c r="B205" s="383" t="s">
        <v>182</v>
      </c>
      <c r="C205" s="384" t="s">
        <v>353</v>
      </c>
      <c r="D205" s="385" t="s">
        <v>145</v>
      </c>
      <c r="E205" s="385" t="s">
        <v>157</v>
      </c>
      <c r="F205" s="385" t="s">
        <v>145</v>
      </c>
      <c r="G205" s="385" t="s">
        <v>293</v>
      </c>
      <c r="H205" s="385" t="s">
        <v>143</v>
      </c>
      <c r="I205" s="385" t="s">
        <v>84</v>
      </c>
      <c r="J205" s="385" t="s">
        <v>84</v>
      </c>
      <c r="K205" s="386">
        <f>IFERROR((Tabelle_S1[[#This Row],[ETA35]]*0.8+Tabelle_S1[[#This Row],[ETA55]]*0.2)*0.025,"n.a.")</f>
        <v>4.7950000000000008</v>
      </c>
      <c r="L205" s="387">
        <f>IFERROR((5.99-Tabelle_S1[[#This Row],[SCOP]])/Tabelle_S1[[#This Row],[SCOP]],"n.a.")</f>
        <v>0.24921793534932205</v>
      </c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 t="str">
        <f>_xlfn.XLOOKUP(Eingabe!I51,Zugriff[Spalte1],Zugriff[Spalte2])</f>
        <v>Tabelle_S7</v>
      </c>
      <c r="AN205" s="196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</row>
    <row r="206" spans="1:106" s="2" customFormat="1" ht="15" customHeight="1" x14ac:dyDescent="0.35">
      <c r="A206" s="683"/>
      <c r="B206" s="383" t="s">
        <v>181</v>
      </c>
      <c r="C206" s="384" t="s">
        <v>355</v>
      </c>
      <c r="D206" s="385" t="s">
        <v>155</v>
      </c>
      <c r="E206" s="385" t="s">
        <v>356</v>
      </c>
      <c r="F206" s="385" t="s">
        <v>155</v>
      </c>
      <c r="G206" s="385" t="s">
        <v>150</v>
      </c>
      <c r="H206" s="385" t="s">
        <v>82</v>
      </c>
      <c r="I206" s="385" t="s">
        <v>84</v>
      </c>
      <c r="J206" s="385" t="s">
        <v>84</v>
      </c>
      <c r="K206" s="386">
        <f>IFERROR((Tabelle_S1[[#This Row],[ETA35]]*0.8+Tabelle_S1[[#This Row],[ETA55]]*0.2)*0.025,"n.a.")</f>
        <v>4.7650000000000006</v>
      </c>
      <c r="L206" s="387">
        <f>IFERROR((5.99-Tabelle_S1[[#This Row],[SCOP]])/Tabelle_S1[[#This Row],[SCOP]],"n.a.")</f>
        <v>0.2570828961175235</v>
      </c>
      <c r="AA206" s="202"/>
      <c r="AB206" s="202" t="str" cm="1">
        <f t="array" aca="1" ref="AB206:AL220" ca="1">INDIRECT(AM205)</f>
        <v>iDM Energiesysteme GmbH</v>
      </c>
      <c r="AC206" s="202" t="str">
        <f ca="1"/>
        <v>TERRA SW 26 Twin (Sole / Wasser)</v>
      </c>
      <c r="AD206" s="202">
        <f ca="1"/>
        <v>26.1</v>
      </c>
      <c r="AE206" s="202">
        <f ca="1"/>
        <v>2.21</v>
      </c>
      <c r="AF206" s="202">
        <f ca="1"/>
        <v>24</v>
      </c>
      <c r="AG206" s="202">
        <f ca="1"/>
        <v>1.69</v>
      </c>
      <c r="AH206" s="202" t="str">
        <f ca="1"/>
        <v>R410A</v>
      </c>
      <c r="AI206" s="202" t="str">
        <f ca="1"/>
        <v>Ja</v>
      </c>
      <c r="AJ206" s="202" t="str">
        <f ca="1"/>
        <v>Ja</v>
      </c>
      <c r="AK206" s="202">
        <f ca="1"/>
        <v>5.2649999999999997</v>
      </c>
      <c r="AL206" s="202">
        <f ca="1"/>
        <v>3.7986704653384008E-4</v>
      </c>
      <c r="AM206" s="202"/>
      <c r="AN206" s="19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</row>
    <row r="207" spans="1:106" s="2" customFormat="1" ht="15" customHeight="1" x14ac:dyDescent="0.35">
      <c r="A207" s="683"/>
      <c r="B207" s="383" t="s">
        <v>410</v>
      </c>
      <c r="C207" s="384" t="s">
        <v>357</v>
      </c>
      <c r="D207" s="385" t="s">
        <v>155</v>
      </c>
      <c r="E207" s="385" t="s">
        <v>356</v>
      </c>
      <c r="F207" s="385" t="s">
        <v>155</v>
      </c>
      <c r="G207" s="385" t="s">
        <v>150</v>
      </c>
      <c r="H207" s="385" t="s">
        <v>82</v>
      </c>
      <c r="I207" s="385" t="s">
        <v>84</v>
      </c>
      <c r="J207" s="385" t="s">
        <v>84</v>
      </c>
      <c r="K207" s="386">
        <f>IFERROR((Tabelle_S1[[#This Row],[ETA35]]*0.8+Tabelle_S1[[#This Row],[ETA55]]*0.2)*0.025,"n.a.")</f>
        <v>4.7650000000000006</v>
      </c>
      <c r="L207" s="387">
        <f>IFERROR((5.99-Tabelle_S1[[#This Row],[SCOP]])/Tabelle_S1[[#This Row],[SCOP]],"n.a.")</f>
        <v>0.2570828961175235</v>
      </c>
      <c r="AA207" s="202"/>
      <c r="AB207" s="202" t="str">
        <f ca="1"/>
        <v>Bosch Thermotechnik GmbH</v>
      </c>
      <c r="AC207" s="202" t="str">
        <f ca="1"/>
        <v>Supraeco T 220-2 (Sole / Wasser)</v>
      </c>
      <c r="AD207" s="202">
        <f ca="1"/>
        <v>21</v>
      </c>
      <c r="AE207" s="202">
        <f ca="1"/>
        <v>2.0699999999999998</v>
      </c>
      <c r="AF207" s="202">
        <f ca="1"/>
        <v>21</v>
      </c>
      <c r="AG207" s="202">
        <f ca="1"/>
        <v>1.59</v>
      </c>
      <c r="AH207" s="202" t="str">
        <f ca="1"/>
        <v>R410A</v>
      </c>
      <c r="AI207" s="202" t="str">
        <f ca="1"/>
        <v>Ja</v>
      </c>
      <c r="AJ207" s="202" t="str">
        <f ca="1"/>
        <v>Ja</v>
      </c>
      <c r="AK207" s="202">
        <f ca="1"/>
        <v>4.9349999999999996</v>
      </c>
      <c r="AL207" s="202">
        <f ca="1"/>
        <v>6.7274569402229131E-2</v>
      </c>
      <c r="AM207" s="202"/>
      <c r="AN207" s="196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</row>
    <row r="208" spans="1:106" s="2" customFormat="1" x14ac:dyDescent="0.35">
      <c r="A208" s="683"/>
      <c r="B208" s="383" t="s">
        <v>159</v>
      </c>
      <c r="C208" s="384" t="s">
        <v>411</v>
      </c>
      <c r="D208" s="385" t="s">
        <v>145</v>
      </c>
      <c r="E208" s="385" t="s">
        <v>148</v>
      </c>
      <c r="F208" s="385" t="s">
        <v>146</v>
      </c>
      <c r="G208" s="385" t="s">
        <v>140</v>
      </c>
      <c r="H208" s="385" t="s">
        <v>143</v>
      </c>
      <c r="I208" s="385" t="s">
        <v>84</v>
      </c>
      <c r="J208" s="385" t="s">
        <v>84</v>
      </c>
      <c r="K208" s="386">
        <f>IFERROR((Tabelle_S1[[#This Row],[ETA35]]*0.8+Tabelle_S1[[#This Row],[ETA55]]*0.2)*0.025,"n.a.")</f>
        <v>4.75</v>
      </c>
      <c r="L208" s="387">
        <f>IFERROR((5.99-Tabelle_S1[[#This Row],[SCOP]])/Tabelle_S1[[#This Row],[SCOP]],"n.a.")</f>
        <v>0.26105263157894742</v>
      </c>
      <c r="AA208" s="202"/>
      <c r="AB208" s="202" t="str">
        <f ca="1"/>
        <v>Buderus</v>
      </c>
      <c r="AC208" s="202" t="str">
        <f ca="1"/>
        <v>Logatherm WPS 22.2 HT</v>
      </c>
      <c r="AD208" s="202">
        <f ca="1"/>
        <v>21</v>
      </c>
      <c r="AE208" s="202">
        <f ca="1"/>
        <v>2.0699999999999998</v>
      </c>
      <c r="AF208" s="202">
        <f ca="1"/>
        <v>21</v>
      </c>
      <c r="AG208" s="202">
        <f ca="1"/>
        <v>1.59</v>
      </c>
      <c r="AH208" s="202" t="str">
        <f ca="1"/>
        <v>R410A</v>
      </c>
      <c r="AI208" s="202" t="str">
        <f ca="1"/>
        <v>Ja</v>
      </c>
      <c r="AJ208" s="202" t="str">
        <f ca="1"/>
        <v>Ja</v>
      </c>
      <c r="AK208" s="202">
        <f ca="1"/>
        <v>4.9349999999999996</v>
      </c>
      <c r="AL208" s="202">
        <f ca="1"/>
        <v>6.7274569402229131E-2</v>
      </c>
      <c r="AM208" s="202"/>
      <c r="AN208" s="196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</row>
    <row r="209" spans="1:106" s="2" customFormat="1" x14ac:dyDescent="0.35">
      <c r="A209" s="683"/>
      <c r="B209" s="383" t="s">
        <v>175</v>
      </c>
      <c r="C209" s="384" t="s">
        <v>464</v>
      </c>
      <c r="D209" s="385" t="s">
        <v>145</v>
      </c>
      <c r="E209" s="385" t="s">
        <v>439</v>
      </c>
      <c r="F209" s="385" t="s">
        <v>145</v>
      </c>
      <c r="G209" s="385" t="s">
        <v>144</v>
      </c>
      <c r="H209" s="385" t="s">
        <v>153</v>
      </c>
      <c r="I209" s="385" t="s">
        <v>84</v>
      </c>
      <c r="J209" s="385" t="s">
        <v>84</v>
      </c>
      <c r="K209" s="386">
        <f>IFERROR((Tabelle_S1[[#This Row],[ETA35]]*0.8+Tabelle_S1[[#This Row],[ETA55]]*0.2)*0.025,"n.a.")</f>
        <v>4.75</v>
      </c>
      <c r="L209" s="387">
        <f>IFERROR((5.99-Tabelle_S1[[#This Row],[SCOP]])/Tabelle_S1[[#This Row],[SCOP]],"n.a.")</f>
        <v>0.26105263157894742</v>
      </c>
      <c r="AA209" s="202"/>
      <c r="AB209" s="202" t="str">
        <f ca="1"/>
        <v>WATERKOTTE GmbH</v>
      </c>
      <c r="AC209" s="202" t="str">
        <f ca="1"/>
        <v>EcoTouch DS 5034.5T (Sole / Wasser)</v>
      </c>
      <c r="AD209" s="202">
        <f ca="1"/>
        <v>25.73</v>
      </c>
      <c r="AE209" s="202">
        <f ca="1"/>
        <v>2.06</v>
      </c>
      <c r="AF209" s="202">
        <f ca="1"/>
        <v>24.21</v>
      </c>
      <c r="AG209" s="202">
        <f ca="1"/>
        <v>1.55</v>
      </c>
      <c r="AH209" s="202" t="str">
        <f ca="1"/>
        <v>R410A</v>
      </c>
      <c r="AI209" s="202" t="str">
        <f ca="1"/>
        <v>Ja</v>
      </c>
      <c r="AJ209" s="202" t="str">
        <f ca="1"/>
        <v>Ja</v>
      </c>
      <c r="AK209" s="202">
        <f ca="1"/>
        <v>4.8950000000000005</v>
      </c>
      <c r="AL209" s="202">
        <f ca="1"/>
        <v>7.599591419816136E-2</v>
      </c>
      <c r="AM209" s="202"/>
      <c r="AN209" s="196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</row>
    <row r="210" spans="1:106" s="2" customFormat="1" x14ac:dyDescent="0.35">
      <c r="A210" s="683"/>
      <c r="B210" s="388" t="s">
        <v>271</v>
      </c>
      <c r="C210" s="389"/>
      <c r="D210" s="350"/>
      <c r="E210" s="350"/>
      <c r="F210" s="350"/>
      <c r="G210" s="350"/>
      <c r="H210" s="351"/>
      <c r="I210" s="351"/>
      <c r="J210" s="352"/>
      <c r="K210" s="352">
        <f>IFERROR((Tabelle_S1[[#This Row],[ETA35]]*0.8+Tabelle_S1[[#This Row],[ETA55]]*0.2)*0.025,"n.a.")</f>
        <v>0</v>
      </c>
      <c r="L210" s="353" t="str">
        <f>IFERROR((5.99-Tabelle_S1[[#This Row],[SCOP]])/Tabelle_S1[[#This Row],[SCOP]],"n.a.")</f>
        <v>n.a.</v>
      </c>
      <c r="AA210" s="202"/>
      <c r="AB210" s="202" t="str">
        <f ca="1"/>
        <v>ait-deutschland GmbH</v>
      </c>
      <c r="AC210" s="202" t="str">
        <f ca="1"/>
        <v>SI/W 232 H3</v>
      </c>
      <c r="AD210" s="202">
        <f ca="1"/>
        <v>22</v>
      </c>
      <c r="AE210" s="202">
        <f ca="1"/>
        <v>2.06</v>
      </c>
      <c r="AF210" s="202">
        <f ca="1"/>
        <v>20</v>
      </c>
      <c r="AG210" s="202">
        <f ca="1"/>
        <v>1.43</v>
      </c>
      <c r="AH210" s="202" t="str">
        <f ca="1"/>
        <v>R410A</v>
      </c>
      <c r="AI210" s="202" t="str">
        <f ca="1"/>
        <v>Ja</v>
      </c>
      <c r="AJ210" s="202" t="str">
        <f ca="1"/>
        <v>Ja</v>
      </c>
      <c r="AK210" s="202">
        <f ca="1"/>
        <v>4.8350000000000009</v>
      </c>
      <c r="AL210" s="202">
        <f ca="1"/>
        <v>8.9348500517062959E-2</v>
      </c>
      <c r="AM210" s="202"/>
      <c r="AN210" s="196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</row>
    <row r="211" spans="1:106" s="2" customFormat="1" x14ac:dyDescent="0.35">
      <c r="A211" s="683"/>
      <c r="B211" s="390" t="s">
        <v>272</v>
      </c>
      <c r="C211" s="391"/>
      <c r="D211" s="392"/>
      <c r="E211" s="392"/>
      <c r="F211" s="392"/>
      <c r="G211" s="392"/>
      <c r="H211" s="393"/>
      <c r="I211" s="393"/>
      <c r="J211" s="394"/>
      <c r="K211" s="394">
        <f>IFERROR((Tabelle_S1[[#This Row],[ETA35]]*0.8+Tabelle_S1[[#This Row],[ETA55]]*0.2)*0.025,"n.a.")</f>
        <v>0</v>
      </c>
      <c r="L211" s="395" t="str">
        <f>IFERROR((5.99-Tabelle_S1[[#This Row],[SCOP]])/Tabelle_S1[[#This Row],[SCOP]],"n.a.")</f>
        <v>n.a.</v>
      </c>
      <c r="AA211" s="202"/>
      <c r="AB211" s="202" t="str">
        <f ca="1"/>
        <v>Herz Energietechnik GmbH</v>
      </c>
      <c r="AC211" s="202" t="str">
        <f ca="1"/>
        <v>commotherm SWP 30</v>
      </c>
      <c r="AD211" s="202">
        <f ca="1"/>
        <v>26</v>
      </c>
      <c r="AE211" s="202">
        <f ca="1"/>
        <v>2.02</v>
      </c>
      <c r="AF211" s="202">
        <f ca="1"/>
        <v>23</v>
      </c>
      <c r="AG211" s="202">
        <f ca="1"/>
        <v>1.56</v>
      </c>
      <c r="AH211" s="202" t="str">
        <f ca="1"/>
        <v>R290</v>
      </c>
      <c r="AI211" s="202" t="str">
        <f ca="1"/>
        <v>Ja</v>
      </c>
      <c r="AJ211" s="202" t="str">
        <f ca="1"/>
        <v>Ja</v>
      </c>
      <c r="AK211" s="202">
        <f ca="1"/>
        <v>4.82</v>
      </c>
      <c r="AL211" s="202">
        <f ca="1"/>
        <v>9.2738589211618261E-2</v>
      </c>
      <c r="AM211" s="202"/>
      <c r="AN211" s="196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</row>
    <row r="212" spans="1:106" s="2" customFormat="1" x14ac:dyDescent="0.35">
      <c r="A212" s="683"/>
      <c r="B212" s="390" t="s">
        <v>273</v>
      </c>
      <c r="C212" s="391"/>
      <c r="D212" s="392"/>
      <c r="E212" s="392"/>
      <c r="F212" s="392"/>
      <c r="G212" s="392"/>
      <c r="H212" s="393"/>
      <c r="I212" s="393"/>
      <c r="J212" s="394"/>
      <c r="K212" s="394">
        <f>IFERROR((Tabelle_S1[[#This Row],[ETA35]]*0.8+Tabelle_S1[[#This Row],[ETA55]]*0.2)*0.025,"n.a.")</f>
        <v>0</v>
      </c>
      <c r="L212" s="395" t="str">
        <f>IFERROR((5.99-Tabelle_S1[[#This Row],[SCOP]])/Tabelle_S1[[#This Row],[SCOP]],"n.a.")</f>
        <v>n.a.</v>
      </c>
      <c r="M212" s="317"/>
      <c r="AA212" s="202"/>
      <c r="AB212" s="202" t="str">
        <f ca="1"/>
        <v>Kermi GmbH</v>
      </c>
      <c r="AC212" s="202" t="str">
        <f ca="1"/>
        <v>x-change dynamic terra (pc) 18 BW I</v>
      </c>
      <c r="AD212" s="202">
        <f ca="1"/>
        <v>22</v>
      </c>
      <c r="AE212" s="202">
        <f ca="1"/>
        <v>2.032</v>
      </c>
      <c r="AF212" s="202">
        <f ca="1"/>
        <v>22</v>
      </c>
      <c r="AG212" s="202">
        <f ca="1"/>
        <v>1.4810000000000001</v>
      </c>
      <c r="AH212" s="202" t="str">
        <f ca="1"/>
        <v>R410A</v>
      </c>
      <c r="AI212" s="202" t="str">
        <f ca="1"/>
        <v>Ja</v>
      </c>
      <c r="AJ212" s="202" t="str">
        <f ca="1"/>
        <v>Ja</v>
      </c>
      <c r="AK212" s="202">
        <f ca="1"/>
        <v>4.8045000000000009</v>
      </c>
      <c r="AL212" s="202">
        <f ca="1"/>
        <v>9.6263919242376816E-2</v>
      </c>
      <c r="AM212" s="202"/>
      <c r="AN212" s="196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</row>
    <row r="213" spans="1:106" s="2" customFormat="1" x14ac:dyDescent="0.35">
      <c r="M213" s="104"/>
      <c r="AA213" s="202"/>
      <c r="AB213" s="202" t="str">
        <f ca="1"/>
        <v>Arwego GmbH</v>
      </c>
      <c r="AC213" s="202" t="str">
        <f ca="1"/>
        <v>WP 22</v>
      </c>
      <c r="AD213" s="202">
        <f ca="1"/>
        <v>22.3</v>
      </c>
      <c r="AE213" s="202">
        <f ca="1"/>
        <v>2.0299999999999998</v>
      </c>
      <c r="AF213" s="202">
        <f ca="1"/>
        <v>20.7</v>
      </c>
      <c r="AG213" s="202">
        <f ca="1"/>
        <v>1.44</v>
      </c>
      <c r="AH213" s="202" t="str">
        <f ca="1"/>
        <v>R407C</v>
      </c>
      <c r="AI213" s="202" t="str">
        <f ca="1"/>
        <v>Ja</v>
      </c>
      <c r="AJ213" s="202" t="str">
        <f ca="1"/>
        <v>Ja</v>
      </c>
      <c r="AK213" s="202">
        <f ca="1"/>
        <v>4.7799999999999994</v>
      </c>
      <c r="AL213" s="202">
        <f ca="1"/>
        <v>0.10188284518828473</v>
      </c>
      <c r="AM213" s="202"/>
      <c r="AN213" s="196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</row>
    <row r="214" spans="1:106" s="2" customFormat="1" x14ac:dyDescent="0.35">
      <c r="M214" s="104"/>
      <c r="AA214" s="202"/>
      <c r="AB214" s="202" t="str">
        <f ca="1"/>
        <v>KNV Energietechnik GmbH</v>
      </c>
      <c r="AC214" s="202" t="str">
        <f ca="1"/>
        <v>Topline S1155-25</v>
      </c>
      <c r="AD214" s="202">
        <f ca="1"/>
        <v>25</v>
      </c>
      <c r="AE214" s="202">
        <f ca="1"/>
        <v>2</v>
      </c>
      <c r="AF214" s="202">
        <f ca="1"/>
        <v>25</v>
      </c>
      <c r="AG214" s="202">
        <f ca="1"/>
        <v>1.5</v>
      </c>
      <c r="AH214" s="202" t="str">
        <f ca="1"/>
        <v>R410A</v>
      </c>
      <c r="AI214" s="202" t="str">
        <f ca="1"/>
        <v>Ja</v>
      </c>
      <c r="AJ214" s="202" t="str">
        <f ca="1"/>
        <v>Ja</v>
      </c>
      <c r="AK214" s="202">
        <f ca="1"/>
        <v>4.75</v>
      </c>
      <c r="AL214" s="202">
        <f ca="1"/>
        <v>0.10884210526315796</v>
      </c>
      <c r="AM214" s="202"/>
      <c r="AN214" s="196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</row>
    <row r="215" spans="1:106" s="2" customFormat="1" x14ac:dyDescent="0.35">
      <c r="A215" s="683" t="s">
        <v>358</v>
      </c>
      <c r="B215" s="153" t="s">
        <v>254</v>
      </c>
      <c r="C215" s="154" t="s">
        <v>184</v>
      </c>
      <c r="D215" s="155" t="s">
        <v>187</v>
      </c>
      <c r="E215" s="156" t="s">
        <v>185</v>
      </c>
      <c r="F215" s="155" t="s">
        <v>186</v>
      </c>
      <c r="G215" s="156" t="s">
        <v>188</v>
      </c>
      <c r="H215" s="157" t="s">
        <v>189</v>
      </c>
      <c r="I215" s="155" t="s">
        <v>191</v>
      </c>
      <c r="J215" s="158" t="s">
        <v>192</v>
      </c>
      <c r="K215" s="159" t="s">
        <v>5</v>
      </c>
      <c r="L215" s="160" t="s">
        <v>190</v>
      </c>
      <c r="M215" s="318"/>
      <c r="AA215" s="202"/>
      <c r="AB215" s="202" t="str">
        <f ca="1"/>
        <v>NIBE Systemtechnik GmbH</v>
      </c>
      <c r="AC215" s="202" t="str">
        <f ca="1"/>
        <v>S1155-25 (Sole / Wasser)</v>
      </c>
      <c r="AD215" s="202">
        <f ca="1"/>
        <v>25</v>
      </c>
      <c r="AE215" s="202">
        <f ca="1"/>
        <v>2</v>
      </c>
      <c r="AF215" s="202">
        <f ca="1"/>
        <v>25</v>
      </c>
      <c r="AG215" s="202">
        <f ca="1"/>
        <v>1.5</v>
      </c>
      <c r="AH215" s="202" t="str">
        <f ca="1"/>
        <v>R410A</v>
      </c>
      <c r="AI215" s="202" t="str">
        <f ca="1"/>
        <v>Ja</v>
      </c>
      <c r="AJ215" s="202" t="str">
        <f ca="1"/>
        <v>Ja</v>
      </c>
      <c r="AK215" s="202">
        <f ca="1"/>
        <v>4.75</v>
      </c>
      <c r="AL215" s="202">
        <f ca="1"/>
        <v>0.10884210526315796</v>
      </c>
      <c r="AM215" s="202"/>
      <c r="AN215" s="196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</row>
    <row r="216" spans="1:106" s="2" customFormat="1" x14ac:dyDescent="0.35">
      <c r="A216" s="683"/>
      <c r="B216" s="383" t="s">
        <v>540</v>
      </c>
      <c r="C216" s="384" t="s">
        <v>627</v>
      </c>
      <c r="D216" s="385">
        <v>7</v>
      </c>
      <c r="E216" s="385">
        <v>2.37</v>
      </c>
      <c r="F216" s="385">
        <v>7</v>
      </c>
      <c r="G216" s="385">
        <v>1.71</v>
      </c>
      <c r="H216" s="385" t="s">
        <v>143</v>
      </c>
      <c r="I216" s="385" t="s">
        <v>19</v>
      </c>
      <c r="J216" s="385" t="s">
        <v>19</v>
      </c>
      <c r="K216" s="386">
        <v>5.5949999999999998</v>
      </c>
      <c r="L216" s="387">
        <v>0</v>
      </c>
      <c r="AA216" s="202"/>
      <c r="AB216" s="202" t="str">
        <f ca="1"/>
        <v>Viessmann Climate Solutions GmbH &amp; Co.KG</v>
      </c>
      <c r="AC216" s="202" t="str">
        <f ca="1"/>
        <v>Vitocal 300-G BW(S) 301.A21</v>
      </c>
      <c r="AD216" s="202">
        <f ca="1"/>
        <v>24</v>
      </c>
      <c r="AE216" s="202">
        <f ca="1"/>
        <v>2.0099999999999998</v>
      </c>
      <c r="AF216" s="202">
        <f ca="1"/>
        <v>22</v>
      </c>
      <c r="AG216" s="202">
        <f ca="1"/>
        <v>1.42</v>
      </c>
      <c r="AH216" s="202" t="str">
        <f ca="1"/>
        <v>R410A</v>
      </c>
      <c r="AI216" s="202" t="str">
        <f ca="1"/>
        <v>Ja</v>
      </c>
      <c r="AJ216" s="202" t="str">
        <f ca="1"/>
        <v>Ja</v>
      </c>
      <c r="AK216" s="202">
        <f ca="1"/>
        <v>4.7299999999999995</v>
      </c>
      <c r="AL216" s="202">
        <f ca="1"/>
        <v>0.11353065539112069</v>
      </c>
      <c r="AM216" s="202"/>
      <c r="AN216" s="19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</row>
    <row r="217" spans="1:106" s="2" customFormat="1" x14ac:dyDescent="0.35">
      <c r="A217" s="683"/>
      <c r="B217" s="383" t="s">
        <v>412</v>
      </c>
      <c r="C217" s="384" t="s">
        <v>628</v>
      </c>
      <c r="D217" s="385">
        <v>7.5</v>
      </c>
      <c r="E217" s="385">
        <v>2.19</v>
      </c>
      <c r="F217" s="385">
        <v>7.5</v>
      </c>
      <c r="G217" s="385">
        <v>1.62</v>
      </c>
      <c r="H217" s="385" t="s">
        <v>156</v>
      </c>
      <c r="I217" s="385" t="s">
        <v>19</v>
      </c>
      <c r="J217" s="385" t="s">
        <v>19</v>
      </c>
      <c r="K217" s="386">
        <v>5.19</v>
      </c>
      <c r="L217" s="387">
        <v>7.8034682080924733E-2</v>
      </c>
      <c r="AA217" s="202"/>
      <c r="AB217" s="202" t="str">
        <f ca="1"/>
        <v>Viessmann Climate Solutions GmbH &amp; Co.KG</v>
      </c>
      <c r="AC217" s="202" t="str">
        <f ca="1"/>
        <v>Vitocal 350-G BW(S) 351.B20 (Sole / Wasser)</v>
      </c>
      <c r="AD217" s="202">
        <f ca="1"/>
        <v>23</v>
      </c>
      <c r="AE217" s="202">
        <f ca="1"/>
        <v>1.96</v>
      </c>
      <c r="AF217" s="202">
        <f ca="1"/>
        <v>23</v>
      </c>
      <c r="AG217" s="202">
        <f ca="1"/>
        <v>1.54</v>
      </c>
      <c r="AH217" s="202" t="str">
        <f ca="1"/>
        <v>R410A</v>
      </c>
      <c r="AI217" s="202" t="str">
        <f ca="1"/>
        <v>Ja</v>
      </c>
      <c r="AJ217" s="202" t="str">
        <f ca="1"/>
        <v>Ja</v>
      </c>
      <c r="AK217" s="202">
        <f ca="1"/>
        <v>4.6900000000000004</v>
      </c>
      <c r="AL217" s="202">
        <f ca="1"/>
        <v>0.12302771855010659</v>
      </c>
      <c r="AM217" s="202"/>
      <c r="AN217" s="196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</row>
    <row r="218" spans="1:106" s="2" customFormat="1" x14ac:dyDescent="0.35">
      <c r="A218" s="683"/>
      <c r="B218" s="383" t="s">
        <v>175</v>
      </c>
      <c r="C218" s="384" t="s">
        <v>629</v>
      </c>
      <c r="D218" s="385">
        <v>7.5</v>
      </c>
      <c r="E218" s="385">
        <v>2.19</v>
      </c>
      <c r="F218" s="385">
        <v>7.5</v>
      </c>
      <c r="G218" s="385">
        <v>1.62</v>
      </c>
      <c r="H218" s="385" t="s">
        <v>156</v>
      </c>
      <c r="I218" s="385" t="s">
        <v>19</v>
      </c>
      <c r="J218" s="385" t="s">
        <v>19</v>
      </c>
      <c r="K218" s="386">
        <v>5.19</v>
      </c>
      <c r="L218" s="387">
        <v>7.8034682080924733E-2</v>
      </c>
      <c r="AA218" s="202"/>
      <c r="AB218" s="202" t="str">
        <f ca="1"/>
        <v>Alternative A</v>
      </c>
      <c r="AC218" s="202">
        <f ca="1"/>
        <v>0</v>
      </c>
      <c r="AD218" s="202">
        <f ca="1"/>
        <v>0</v>
      </c>
      <c r="AE218" s="202">
        <f ca="1"/>
        <v>0</v>
      </c>
      <c r="AF218" s="202">
        <f ca="1"/>
        <v>0</v>
      </c>
      <c r="AG218" s="202">
        <f ca="1"/>
        <v>0</v>
      </c>
      <c r="AH218" s="202">
        <f ca="1"/>
        <v>0</v>
      </c>
      <c r="AI218" s="202">
        <f ca="1"/>
        <v>0</v>
      </c>
      <c r="AJ218" s="202">
        <f ca="1"/>
        <v>0</v>
      </c>
      <c r="AK218" s="202">
        <f ca="1"/>
        <v>0</v>
      </c>
      <c r="AL218" s="202" t="str">
        <f ca="1"/>
        <v>n.a.</v>
      </c>
      <c r="AM218" s="202"/>
      <c r="AN218" s="196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</row>
    <row r="219" spans="1:106" s="2" customFormat="1" x14ac:dyDescent="0.35">
      <c r="A219" s="683"/>
      <c r="B219" s="383" t="s">
        <v>630</v>
      </c>
      <c r="C219" s="384" t="s">
        <v>631</v>
      </c>
      <c r="D219" s="385">
        <v>7</v>
      </c>
      <c r="E219" s="385">
        <v>2.17</v>
      </c>
      <c r="F219" s="385">
        <v>6</v>
      </c>
      <c r="G219" s="385">
        <v>1.58</v>
      </c>
      <c r="H219" s="385" t="s">
        <v>4</v>
      </c>
      <c r="I219" s="385" t="s">
        <v>19</v>
      </c>
      <c r="J219" s="385" t="s">
        <v>19</v>
      </c>
      <c r="K219" s="386">
        <v>5.13</v>
      </c>
      <c r="L219" s="387">
        <v>9.0643274853801151E-2</v>
      </c>
      <c r="AA219" s="202"/>
      <c r="AB219" s="202" t="str">
        <f ca="1"/>
        <v>Alternative B</v>
      </c>
      <c r="AC219" s="202">
        <f ca="1"/>
        <v>0</v>
      </c>
      <c r="AD219" s="202">
        <f ca="1"/>
        <v>0</v>
      </c>
      <c r="AE219" s="202">
        <f ca="1"/>
        <v>0</v>
      </c>
      <c r="AF219" s="202">
        <f ca="1"/>
        <v>0</v>
      </c>
      <c r="AG219" s="202">
        <f ca="1"/>
        <v>0</v>
      </c>
      <c r="AH219" s="202">
        <f ca="1"/>
        <v>0</v>
      </c>
      <c r="AI219" s="202">
        <f ca="1"/>
        <v>0</v>
      </c>
      <c r="AJ219" s="202">
        <f ca="1"/>
        <v>0</v>
      </c>
      <c r="AK219" s="202">
        <f ca="1"/>
        <v>0</v>
      </c>
      <c r="AL219" s="202" t="str">
        <f ca="1"/>
        <v>n.a.</v>
      </c>
      <c r="AM219" s="202"/>
      <c r="AN219" s="196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</row>
    <row r="220" spans="1:106" s="2" customFormat="1" x14ac:dyDescent="0.35">
      <c r="A220" s="683"/>
      <c r="B220" s="383" t="s">
        <v>584</v>
      </c>
      <c r="C220" s="384" t="s">
        <v>632</v>
      </c>
      <c r="D220" s="385">
        <v>7</v>
      </c>
      <c r="E220" s="385">
        <v>2.15</v>
      </c>
      <c r="F220" s="385">
        <v>6</v>
      </c>
      <c r="G220" s="385">
        <v>1.56</v>
      </c>
      <c r="H220" s="385" t="s">
        <v>4</v>
      </c>
      <c r="I220" s="385" t="s">
        <v>19</v>
      </c>
      <c r="J220" s="385" t="s">
        <v>19</v>
      </c>
      <c r="K220" s="386">
        <v>5.08</v>
      </c>
      <c r="L220" s="387">
        <v>0.10137795275590544</v>
      </c>
      <c r="AA220" s="202"/>
      <c r="AB220" s="202" t="str">
        <f ca="1"/>
        <v>Alternative C</v>
      </c>
      <c r="AC220" s="202">
        <f ca="1"/>
        <v>0</v>
      </c>
      <c r="AD220" s="202">
        <f ca="1"/>
        <v>0</v>
      </c>
      <c r="AE220" s="202">
        <f ca="1"/>
        <v>0</v>
      </c>
      <c r="AF220" s="202">
        <f ca="1"/>
        <v>0</v>
      </c>
      <c r="AG220" s="202">
        <f ca="1"/>
        <v>0</v>
      </c>
      <c r="AH220" s="202">
        <f ca="1"/>
        <v>0</v>
      </c>
      <c r="AI220" s="202">
        <f ca="1"/>
        <v>0</v>
      </c>
      <c r="AJ220" s="202">
        <f ca="1"/>
        <v>0</v>
      </c>
      <c r="AK220" s="202">
        <f ca="1"/>
        <v>0</v>
      </c>
      <c r="AL220" s="202" t="str">
        <f ca="1"/>
        <v>n.a.</v>
      </c>
      <c r="AM220" s="202"/>
      <c r="AN220" s="196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</row>
    <row r="221" spans="1:106" s="2" customFormat="1" x14ac:dyDescent="0.35">
      <c r="A221" s="683"/>
      <c r="B221" s="383" t="s">
        <v>588</v>
      </c>
      <c r="C221" s="384" t="s">
        <v>633</v>
      </c>
      <c r="D221" s="385">
        <v>7</v>
      </c>
      <c r="E221" s="385">
        <v>2.15</v>
      </c>
      <c r="F221" s="385">
        <v>5.9</v>
      </c>
      <c r="G221" s="385">
        <v>1.45</v>
      </c>
      <c r="H221" s="385" t="s">
        <v>143</v>
      </c>
      <c r="I221" s="385" t="s">
        <v>518</v>
      </c>
      <c r="J221" s="385" t="s">
        <v>19</v>
      </c>
      <c r="K221" s="386">
        <v>5.0249999999999995</v>
      </c>
      <c r="L221" s="387">
        <v>0.1134328358208956</v>
      </c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202"/>
      <c r="AK221" s="202"/>
      <c r="AL221" s="202"/>
      <c r="AM221" s="202"/>
      <c r="AN221" s="196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</row>
    <row r="222" spans="1:106" s="2" customFormat="1" x14ac:dyDescent="0.35">
      <c r="A222" s="683"/>
      <c r="B222" s="383" t="s">
        <v>634</v>
      </c>
      <c r="C222" s="384" t="s">
        <v>635</v>
      </c>
      <c r="D222" s="385">
        <v>7.48</v>
      </c>
      <c r="E222" s="385">
        <v>2.1</v>
      </c>
      <c r="F222" s="385">
        <v>8.3000000000000007</v>
      </c>
      <c r="G222" s="385">
        <v>1.5960000000000001</v>
      </c>
      <c r="H222" s="385" t="s">
        <v>156</v>
      </c>
      <c r="I222" s="385" t="s">
        <v>19</v>
      </c>
      <c r="J222" s="385" t="s">
        <v>20</v>
      </c>
      <c r="K222" s="386">
        <v>4.9980000000000002</v>
      </c>
      <c r="L222" s="387">
        <v>0.11944777911164456</v>
      </c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196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</row>
    <row r="223" spans="1:106" s="2" customFormat="1" x14ac:dyDescent="0.35">
      <c r="A223" s="683"/>
      <c r="B223" s="383" t="s">
        <v>636</v>
      </c>
      <c r="C223" s="384" t="s">
        <v>637</v>
      </c>
      <c r="D223" s="385">
        <v>7.48</v>
      </c>
      <c r="E223" s="385">
        <v>2.1</v>
      </c>
      <c r="F223" s="385">
        <v>8.3000000000000007</v>
      </c>
      <c r="G223" s="385">
        <v>1.5960000000000001</v>
      </c>
      <c r="H223" s="385" t="s">
        <v>156</v>
      </c>
      <c r="I223" s="385" t="s">
        <v>19</v>
      </c>
      <c r="J223" s="385" t="s">
        <v>19</v>
      </c>
      <c r="K223" s="386">
        <v>4.9980000000000002</v>
      </c>
      <c r="L223" s="387">
        <v>0.11944777911164456</v>
      </c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196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</row>
    <row r="224" spans="1:106" s="2" customFormat="1" x14ac:dyDescent="0.35">
      <c r="A224" s="683"/>
      <c r="B224" s="383" t="s">
        <v>638</v>
      </c>
      <c r="C224" s="384" t="s">
        <v>639</v>
      </c>
      <c r="D224" s="385">
        <v>7.48</v>
      </c>
      <c r="E224" s="385">
        <v>2.1</v>
      </c>
      <c r="F224" s="385">
        <v>8.3000000000000007</v>
      </c>
      <c r="G224" s="385">
        <v>1.5960000000000001</v>
      </c>
      <c r="H224" s="385"/>
      <c r="I224" s="385" t="s">
        <v>19</v>
      </c>
      <c r="J224" s="385" t="s">
        <v>20</v>
      </c>
      <c r="K224" s="386">
        <v>4.9980000000000002</v>
      </c>
      <c r="L224" s="387">
        <v>0.11944777911164456</v>
      </c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196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</row>
    <row r="225" spans="1:106" s="2" customFormat="1" x14ac:dyDescent="0.35">
      <c r="A225" s="683"/>
      <c r="B225" s="383" t="s">
        <v>537</v>
      </c>
      <c r="C225" s="384" t="s">
        <v>640</v>
      </c>
      <c r="D225" s="385">
        <v>8</v>
      </c>
      <c r="E225" s="385">
        <v>2.09</v>
      </c>
      <c r="F225" s="385">
        <v>7</v>
      </c>
      <c r="G225" s="385">
        <v>1.63</v>
      </c>
      <c r="H225" s="385" t="s">
        <v>143</v>
      </c>
      <c r="I225" s="385" t="s">
        <v>19</v>
      </c>
      <c r="J225" s="385" t="s">
        <v>19</v>
      </c>
      <c r="K225" s="386">
        <v>4.9950000000000001</v>
      </c>
      <c r="L225" s="387">
        <v>0.12012012012012005</v>
      </c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196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</row>
    <row r="226" spans="1:106" s="2" customFormat="1" x14ac:dyDescent="0.35">
      <c r="A226" s="683"/>
      <c r="B226" s="383" t="s">
        <v>550</v>
      </c>
      <c r="C226" s="384" t="s">
        <v>641</v>
      </c>
      <c r="D226" s="385">
        <v>7.9</v>
      </c>
      <c r="E226" s="385">
        <v>2.09</v>
      </c>
      <c r="F226" s="385">
        <v>6.3</v>
      </c>
      <c r="G226" s="385">
        <v>1.58</v>
      </c>
      <c r="H226" s="385" t="s">
        <v>143</v>
      </c>
      <c r="I226" s="385" t="s">
        <v>19</v>
      </c>
      <c r="J226" s="385" t="s">
        <v>19</v>
      </c>
      <c r="K226" s="386">
        <v>4.97</v>
      </c>
      <c r="L226" s="387">
        <v>0.12575452716297789</v>
      </c>
      <c r="M226" s="104"/>
      <c r="N226" s="104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</row>
    <row r="227" spans="1:106" s="2" customFormat="1" x14ac:dyDescent="0.35">
      <c r="A227" s="683"/>
      <c r="B227" s="383" t="s">
        <v>158</v>
      </c>
      <c r="C227" s="384" t="s">
        <v>465</v>
      </c>
      <c r="D227" s="385">
        <v>8</v>
      </c>
      <c r="E227" s="385">
        <v>2.0699999999999998</v>
      </c>
      <c r="F227" s="385">
        <v>7</v>
      </c>
      <c r="G227" s="385">
        <v>1.52</v>
      </c>
      <c r="H227" s="385" t="s">
        <v>143</v>
      </c>
      <c r="I227" s="385" t="s">
        <v>19</v>
      </c>
      <c r="J227" s="385" t="s">
        <v>19</v>
      </c>
      <c r="K227" s="386">
        <v>4.9000000000000004</v>
      </c>
      <c r="L227" s="387">
        <v>0.14183673469387742</v>
      </c>
      <c r="M227" s="104"/>
      <c r="N227" s="104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</row>
    <row r="228" spans="1:106" s="2" customFormat="1" x14ac:dyDescent="0.35">
      <c r="A228" s="683"/>
      <c r="B228" s="383" t="s">
        <v>538</v>
      </c>
      <c r="C228" s="384" t="s">
        <v>642</v>
      </c>
      <c r="D228" s="385">
        <v>8</v>
      </c>
      <c r="E228" s="385">
        <v>2.0699999999999998</v>
      </c>
      <c r="F228" s="385">
        <v>7</v>
      </c>
      <c r="G228" s="385">
        <v>1.52</v>
      </c>
      <c r="H228" s="385" t="s">
        <v>143</v>
      </c>
      <c r="I228" s="385" t="s">
        <v>19</v>
      </c>
      <c r="J228" s="385" t="s">
        <v>19</v>
      </c>
      <c r="K228" s="386">
        <v>4.9000000000000004</v>
      </c>
      <c r="L228" s="387">
        <v>0.14183673469387742</v>
      </c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</row>
    <row r="229" spans="1:106" s="2" customFormat="1" x14ac:dyDescent="0.35">
      <c r="A229" s="683"/>
      <c r="B229" s="383" t="s">
        <v>524</v>
      </c>
      <c r="C229" s="384" t="s">
        <v>643</v>
      </c>
      <c r="D229" s="385">
        <v>7</v>
      </c>
      <c r="E229" s="385">
        <v>2.04</v>
      </c>
      <c r="F229" s="385">
        <v>6</v>
      </c>
      <c r="G229" s="385">
        <v>1.63</v>
      </c>
      <c r="H229" s="385" t="s">
        <v>82</v>
      </c>
      <c r="I229" s="385" t="s">
        <v>19</v>
      </c>
      <c r="J229" s="385" t="s">
        <v>19</v>
      </c>
      <c r="K229" s="386">
        <v>4.8950000000000005</v>
      </c>
      <c r="L229" s="387">
        <v>0.1430030643513788</v>
      </c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</row>
    <row r="230" spans="1:106" s="2" customFormat="1" x14ac:dyDescent="0.35">
      <c r="A230" s="683"/>
      <c r="B230" s="383" t="s">
        <v>531</v>
      </c>
      <c r="C230" s="384" t="s">
        <v>644</v>
      </c>
      <c r="D230" s="385">
        <v>8</v>
      </c>
      <c r="E230" s="385">
        <v>2.08</v>
      </c>
      <c r="F230" s="385">
        <v>8</v>
      </c>
      <c r="G230" s="385">
        <v>1.44</v>
      </c>
      <c r="H230" s="385" t="s">
        <v>143</v>
      </c>
      <c r="I230" s="385" t="s">
        <v>518</v>
      </c>
      <c r="J230" s="385" t="s">
        <v>19</v>
      </c>
      <c r="K230" s="386">
        <v>4.8800000000000008</v>
      </c>
      <c r="L230" s="387">
        <v>0.14651639344262271</v>
      </c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</row>
    <row r="231" spans="1:106" s="2" customFormat="1" x14ac:dyDescent="0.35">
      <c r="A231" s="683"/>
      <c r="B231" s="383" t="s">
        <v>538</v>
      </c>
      <c r="C231" s="384" t="s">
        <v>645</v>
      </c>
      <c r="D231" s="385">
        <v>8</v>
      </c>
      <c r="E231" s="385">
        <v>2.0699999999999998</v>
      </c>
      <c r="F231" s="385">
        <v>5</v>
      </c>
      <c r="G231" s="385">
        <v>1.46</v>
      </c>
      <c r="H231" s="385" t="s">
        <v>143</v>
      </c>
      <c r="I231" s="385" t="s">
        <v>19</v>
      </c>
      <c r="J231" s="385" t="s">
        <v>19</v>
      </c>
      <c r="K231" s="386">
        <v>4.87</v>
      </c>
      <c r="L231" s="387">
        <v>0.14887063655030794</v>
      </c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</row>
    <row r="232" spans="1:106" s="2" customFormat="1" x14ac:dyDescent="0.35">
      <c r="A232" s="683"/>
      <c r="B232" s="383" t="s">
        <v>183</v>
      </c>
      <c r="C232" s="384" t="s">
        <v>646</v>
      </c>
      <c r="D232" s="385">
        <v>7.3</v>
      </c>
      <c r="E232" s="385">
        <v>2.0499999999999998</v>
      </c>
      <c r="F232" s="385">
        <v>6.8</v>
      </c>
      <c r="G232" s="385">
        <v>1.54</v>
      </c>
      <c r="H232" s="385" t="s">
        <v>143</v>
      </c>
      <c r="I232" s="385" t="s">
        <v>19</v>
      </c>
      <c r="J232" s="385" t="s">
        <v>19</v>
      </c>
      <c r="K232" s="386">
        <v>4.87</v>
      </c>
      <c r="L232" s="387">
        <v>0.14887063655030794</v>
      </c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</row>
    <row r="233" spans="1:106" s="2" customFormat="1" x14ac:dyDescent="0.35">
      <c r="A233" s="683"/>
      <c r="B233" s="383" t="s">
        <v>584</v>
      </c>
      <c r="C233" s="384" t="s">
        <v>647</v>
      </c>
      <c r="D233" s="385">
        <v>8</v>
      </c>
      <c r="E233" s="385">
        <v>2.08</v>
      </c>
      <c r="F233" s="385">
        <v>8</v>
      </c>
      <c r="G233" s="385">
        <v>1.42</v>
      </c>
      <c r="H233" s="385" t="s">
        <v>143</v>
      </c>
      <c r="I233" s="385" t="s">
        <v>19</v>
      </c>
      <c r="J233" s="385" t="s">
        <v>19</v>
      </c>
      <c r="K233" s="396">
        <v>4.87</v>
      </c>
      <c r="L233" s="397">
        <v>0.14887063655030794</v>
      </c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</row>
    <row r="234" spans="1:106" s="2" customFormat="1" x14ac:dyDescent="0.35">
      <c r="A234" s="683"/>
      <c r="B234" s="388" t="s">
        <v>271</v>
      </c>
      <c r="C234" s="398"/>
      <c r="D234" s="399"/>
      <c r="E234" s="399"/>
      <c r="F234" s="399"/>
      <c r="G234" s="399"/>
      <c r="H234" s="400"/>
      <c r="I234" s="400"/>
      <c r="J234" s="400"/>
      <c r="K234" s="396">
        <v>0</v>
      </c>
      <c r="L234" s="397" t="s">
        <v>81</v>
      </c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</row>
    <row r="235" spans="1:106" s="2" customFormat="1" x14ac:dyDescent="0.35">
      <c r="A235" s="683"/>
      <c r="B235" s="390" t="s">
        <v>272</v>
      </c>
      <c r="C235" s="401"/>
      <c r="D235" s="392"/>
      <c r="E235" s="392"/>
      <c r="F235" s="392"/>
      <c r="G235" s="392"/>
      <c r="H235" s="393"/>
      <c r="I235" s="393"/>
      <c r="J235" s="393"/>
      <c r="K235" s="394">
        <v>0</v>
      </c>
      <c r="L235" s="395" t="s">
        <v>81</v>
      </c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</row>
    <row r="236" spans="1:106" s="2" customFormat="1" ht="15" customHeight="1" x14ac:dyDescent="0.35">
      <c r="A236" s="683"/>
      <c r="B236" s="390" t="s">
        <v>273</v>
      </c>
      <c r="C236" s="401"/>
      <c r="D236" s="392"/>
      <c r="E236" s="392"/>
      <c r="F236" s="392"/>
      <c r="G236" s="392"/>
      <c r="H236" s="393"/>
      <c r="I236" s="393"/>
      <c r="J236" s="393"/>
      <c r="K236" s="394">
        <v>0</v>
      </c>
      <c r="L236" s="395" t="s">
        <v>81</v>
      </c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2"/>
      <c r="AM236" s="202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</row>
    <row r="237" spans="1:106" s="2" customFormat="1" x14ac:dyDescent="0.35"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  <c r="AL237" s="202"/>
      <c r="AM237" s="202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</row>
    <row r="238" spans="1:106" s="2" customFormat="1" x14ac:dyDescent="0.35">
      <c r="AA238" s="202"/>
      <c r="AB238" s="202"/>
      <c r="AC238" s="202"/>
      <c r="AD238" s="202"/>
      <c r="AE238" s="202"/>
      <c r="AF238" s="202"/>
      <c r="AG238" s="202"/>
      <c r="AH238" s="202"/>
      <c r="AI238" s="202"/>
      <c r="AJ238" s="202"/>
      <c r="AK238" s="202"/>
      <c r="AL238" s="202"/>
      <c r="AM238" s="202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</row>
    <row r="239" spans="1:106" s="2" customFormat="1" x14ac:dyDescent="0.35">
      <c r="A239" s="683" t="s">
        <v>466</v>
      </c>
      <c r="B239" s="165" t="s">
        <v>254</v>
      </c>
      <c r="C239" s="166" t="s">
        <v>184</v>
      </c>
      <c r="D239" s="167" t="s">
        <v>187</v>
      </c>
      <c r="E239" s="168" t="s">
        <v>185</v>
      </c>
      <c r="F239" s="167" t="s">
        <v>186</v>
      </c>
      <c r="G239" s="169" t="s">
        <v>188</v>
      </c>
      <c r="H239" s="170" t="s">
        <v>189</v>
      </c>
      <c r="I239" s="167" t="s">
        <v>191</v>
      </c>
      <c r="J239" s="171" t="s">
        <v>192</v>
      </c>
      <c r="K239" s="172" t="s">
        <v>5</v>
      </c>
      <c r="L239" s="173" t="s">
        <v>190</v>
      </c>
      <c r="M239" s="8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  <c r="AL239" s="202"/>
      <c r="AM239" s="202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</row>
    <row r="240" spans="1:106" s="2" customFormat="1" x14ac:dyDescent="0.35">
      <c r="A240" s="683"/>
      <c r="B240" s="383" t="s">
        <v>540</v>
      </c>
      <c r="C240" s="384" t="s">
        <v>648</v>
      </c>
      <c r="D240" s="385">
        <v>10</v>
      </c>
      <c r="E240" s="385">
        <v>2.42</v>
      </c>
      <c r="F240" s="385">
        <v>10</v>
      </c>
      <c r="G240" s="385">
        <v>1.73</v>
      </c>
      <c r="H240" s="385" t="s">
        <v>143</v>
      </c>
      <c r="I240" s="385" t="s">
        <v>19</v>
      </c>
      <c r="J240" s="385" t="s">
        <v>19</v>
      </c>
      <c r="K240" s="386">
        <v>5.7050000000000001</v>
      </c>
      <c r="L240" s="387">
        <v>0</v>
      </c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202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</row>
    <row r="241" spans="1:106" s="2" customFormat="1" x14ac:dyDescent="0.35">
      <c r="A241" s="683"/>
      <c r="B241" s="383" t="s">
        <v>540</v>
      </c>
      <c r="C241" s="384" t="s">
        <v>200</v>
      </c>
      <c r="D241" s="385">
        <v>10</v>
      </c>
      <c r="E241" s="385">
        <v>2.41</v>
      </c>
      <c r="F241" s="385">
        <v>10</v>
      </c>
      <c r="G241" s="385">
        <v>1.61</v>
      </c>
      <c r="H241" s="385" t="s">
        <v>139</v>
      </c>
      <c r="I241" s="385" t="s">
        <v>518</v>
      </c>
      <c r="J241" s="385" t="s">
        <v>19</v>
      </c>
      <c r="K241" s="386">
        <v>5.625</v>
      </c>
      <c r="L241" s="387">
        <v>1.4222222222222235E-2</v>
      </c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</row>
    <row r="242" spans="1:106" s="2" customFormat="1" x14ac:dyDescent="0.35">
      <c r="A242" s="683"/>
      <c r="B242" s="383" t="s">
        <v>630</v>
      </c>
      <c r="C242" s="384" t="s">
        <v>649</v>
      </c>
      <c r="D242" s="385">
        <v>11</v>
      </c>
      <c r="E242" s="385">
        <v>2.2200000000000002</v>
      </c>
      <c r="F242" s="385">
        <v>10</v>
      </c>
      <c r="G242" s="385">
        <v>1.62</v>
      </c>
      <c r="H242" s="385" t="s">
        <v>143</v>
      </c>
      <c r="I242" s="385" t="s">
        <v>19</v>
      </c>
      <c r="J242" s="385" t="s">
        <v>19</v>
      </c>
      <c r="K242" s="386">
        <v>5.2500000000000018</v>
      </c>
      <c r="L242" s="387">
        <v>8.6666666666666309E-2</v>
      </c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</row>
    <row r="243" spans="1:106" s="2" customFormat="1" x14ac:dyDescent="0.35">
      <c r="A243" s="683"/>
      <c r="B243" s="383" t="s">
        <v>412</v>
      </c>
      <c r="C243" s="384" t="s">
        <v>650</v>
      </c>
      <c r="D243" s="385">
        <v>10</v>
      </c>
      <c r="E243" s="385">
        <v>2.19</v>
      </c>
      <c r="F243" s="385">
        <v>7.5</v>
      </c>
      <c r="G243" s="385">
        <v>1.62</v>
      </c>
      <c r="H243" s="385" t="s">
        <v>156</v>
      </c>
      <c r="I243" s="385" t="s">
        <v>19</v>
      </c>
      <c r="J243" s="385" t="s">
        <v>19</v>
      </c>
      <c r="K243" s="386">
        <v>5.19</v>
      </c>
      <c r="L243" s="387">
        <v>9.9229287090558699E-2</v>
      </c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</row>
    <row r="244" spans="1:106" s="2" customFormat="1" x14ac:dyDescent="0.35">
      <c r="A244" s="683"/>
      <c r="B244" s="383" t="s">
        <v>584</v>
      </c>
      <c r="C244" s="384" t="s">
        <v>203</v>
      </c>
      <c r="D244" s="385">
        <v>10</v>
      </c>
      <c r="E244" s="385">
        <v>2.19</v>
      </c>
      <c r="F244" s="385">
        <v>9</v>
      </c>
      <c r="G244" s="385">
        <v>1.4</v>
      </c>
      <c r="H244" s="385" t="s">
        <v>143</v>
      </c>
      <c r="I244" s="385" t="s">
        <v>19</v>
      </c>
      <c r="J244" s="385" t="s">
        <v>19</v>
      </c>
      <c r="K244" s="386">
        <v>5.08</v>
      </c>
      <c r="L244" s="387">
        <v>0.12303149606299213</v>
      </c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</row>
    <row r="245" spans="1:106" s="2" customFormat="1" x14ac:dyDescent="0.35">
      <c r="A245" s="683"/>
      <c r="B245" s="383" t="s">
        <v>517</v>
      </c>
      <c r="C245" s="384" t="s">
        <v>651</v>
      </c>
      <c r="D245" s="385">
        <v>11</v>
      </c>
      <c r="E245" s="385">
        <v>2.0499999999999998</v>
      </c>
      <c r="F245" s="385">
        <v>9</v>
      </c>
      <c r="G245" s="385">
        <v>1.82</v>
      </c>
      <c r="H245" s="385" t="s">
        <v>143</v>
      </c>
      <c r="I245" s="385" t="s">
        <v>19</v>
      </c>
      <c r="J245" s="385" t="s">
        <v>19</v>
      </c>
      <c r="K245" s="386">
        <v>5.01</v>
      </c>
      <c r="L245" s="387">
        <v>0.13872255489021962</v>
      </c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</row>
    <row r="246" spans="1:106" s="2" customFormat="1" x14ac:dyDescent="0.35">
      <c r="A246" s="683"/>
      <c r="B246" s="383" t="s">
        <v>586</v>
      </c>
      <c r="C246" s="384" t="s">
        <v>652</v>
      </c>
      <c r="D246" s="385">
        <v>9.35</v>
      </c>
      <c r="E246" s="385">
        <v>2.14</v>
      </c>
      <c r="F246" s="385">
        <v>8.3000000000000007</v>
      </c>
      <c r="G246" s="385">
        <v>1.43</v>
      </c>
      <c r="H246" s="385" t="s">
        <v>143</v>
      </c>
      <c r="I246" s="385" t="s">
        <v>19</v>
      </c>
      <c r="J246" s="385" t="s">
        <v>19</v>
      </c>
      <c r="K246" s="386">
        <v>4.995000000000001</v>
      </c>
      <c r="L246" s="387">
        <v>0.14214214214214194</v>
      </c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</row>
    <row r="247" spans="1:106" s="2" customFormat="1" x14ac:dyDescent="0.35">
      <c r="A247" s="683"/>
      <c r="B247" s="383" t="s">
        <v>586</v>
      </c>
      <c r="C247" s="384" t="s">
        <v>653</v>
      </c>
      <c r="D247" s="385">
        <v>10.58</v>
      </c>
      <c r="E247" s="385">
        <v>2.14</v>
      </c>
      <c r="F247" s="385">
        <v>9.56</v>
      </c>
      <c r="G247" s="385">
        <v>1.43</v>
      </c>
      <c r="H247" s="385" t="s">
        <v>143</v>
      </c>
      <c r="I247" s="385" t="s">
        <v>19</v>
      </c>
      <c r="J247" s="385" t="s">
        <v>19</v>
      </c>
      <c r="K247" s="386">
        <v>4.995000000000001</v>
      </c>
      <c r="L247" s="387">
        <v>0.14214214214214194</v>
      </c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</row>
    <row r="248" spans="1:106" s="2" customFormat="1" x14ac:dyDescent="0.35">
      <c r="A248" s="683"/>
      <c r="B248" s="383" t="s">
        <v>178</v>
      </c>
      <c r="C248" s="384" t="s">
        <v>205</v>
      </c>
      <c r="D248" s="385">
        <v>10.58</v>
      </c>
      <c r="E248" s="385">
        <v>2.14</v>
      </c>
      <c r="F248" s="385">
        <v>9.56</v>
      </c>
      <c r="G248" s="385">
        <v>1.43</v>
      </c>
      <c r="H248" s="385" t="s">
        <v>143</v>
      </c>
      <c r="I248" s="385" t="s">
        <v>19</v>
      </c>
      <c r="J248" s="385" t="s">
        <v>19</v>
      </c>
      <c r="K248" s="386">
        <v>4.995000000000001</v>
      </c>
      <c r="L248" s="387">
        <v>0.14214214214214194</v>
      </c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</row>
    <row r="249" spans="1:106" s="2" customFormat="1" x14ac:dyDescent="0.35">
      <c r="A249" s="683"/>
      <c r="B249" s="383" t="s">
        <v>586</v>
      </c>
      <c r="C249" s="384" t="s">
        <v>654</v>
      </c>
      <c r="D249" s="385">
        <v>11</v>
      </c>
      <c r="E249" s="385">
        <v>2.14</v>
      </c>
      <c r="F249" s="385">
        <v>10</v>
      </c>
      <c r="G249" s="385">
        <v>1.43</v>
      </c>
      <c r="H249" s="385" t="s">
        <v>143</v>
      </c>
      <c r="I249" s="385" t="s">
        <v>19</v>
      </c>
      <c r="J249" s="385" t="s">
        <v>19</v>
      </c>
      <c r="K249" s="386">
        <v>4.995000000000001</v>
      </c>
      <c r="L249" s="387">
        <v>0.14214214214214194</v>
      </c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</row>
    <row r="250" spans="1:106" s="2" customFormat="1" x14ac:dyDescent="0.35">
      <c r="A250" s="683"/>
      <c r="B250" s="383" t="s">
        <v>586</v>
      </c>
      <c r="C250" s="384" t="s">
        <v>294</v>
      </c>
      <c r="D250" s="385">
        <v>11</v>
      </c>
      <c r="E250" s="385">
        <v>2.14</v>
      </c>
      <c r="F250" s="385">
        <v>10</v>
      </c>
      <c r="G250" s="385">
        <v>1.43</v>
      </c>
      <c r="H250" s="385" t="s">
        <v>143</v>
      </c>
      <c r="I250" s="385" t="s">
        <v>19</v>
      </c>
      <c r="J250" s="385" t="s">
        <v>19</v>
      </c>
      <c r="K250" s="386">
        <v>4.995000000000001</v>
      </c>
      <c r="L250" s="387">
        <v>0.14214214214214194</v>
      </c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</row>
    <row r="251" spans="1:106" s="2" customFormat="1" x14ac:dyDescent="0.35">
      <c r="A251" s="683"/>
      <c r="B251" s="383" t="s">
        <v>543</v>
      </c>
      <c r="C251" s="384" t="s">
        <v>204</v>
      </c>
      <c r="D251" s="385">
        <v>10.4</v>
      </c>
      <c r="E251" s="385">
        <v>2.1</v>
      </c>
      <c r="F251" s="385">
        <v>10.4</v>
      </c>
      <c r="G251" s="385">
        <v>1.55</v>
      </c>
      <c r="H251" s="385" t="s">
        <v>143</v>
      </c>
      <c r="I251" s="385" t="s">
        <v>19</v>
      </c>
      <c r="J251" s="385" t="s">
        <v>19</v>
      </c>
      <c r="K251" s="386">
        <v>4.9750000000000005</v>
      </c>
      <c r="L251" s="387">
        <v>0.14673366834170842</v>
      </c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</row>
    <row r="252" spans="1:106" s="2" customFormat="1" x14ac:dyDescent="0.35">
      <c r="A252" s="683"/>
      <c r="B252" s="383" t="s">
        <v>183</v>
      </c>
      <c r="C252" s="384" t="s">
        <v>655</v>
      </c>
      <c r="D252" s="385">
        <v>10.8</v>
      </c>
      <c r="E252" s="385">
        <v>2.09</v>
      </c>
      <c r="F252" s="385">
        <v>9.9</v>
      </c>
      <c r="G252" s="385">
        <v>1.55</v>
      </c>
      <c r="H252" s="385" t="s">
        <v>143</v>
      </c>
      <c r="I252" s="385" t="s">
        <v>19</v>
      </c>
      <c r="J252" s="385" t="s">
        <v>19</v>
      </c>
      <c r="K252" s="386">
        <v>4.9550000000000001</v>
      </c>
      <c r="L252" s="387">
        <v>0.15136226034308778</v>
      </c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</row>
    <row r="253" spans="1:106" s="2" customFormat="1" x14ac:dyDescent="0.35">
      <c r="A253" s="683"/>
      <c r="B253" s="383" t="s">
        <v>656</v>
      </c>
      <c r="C253" s="384" t="s">
        <v>657</v>
      </c>
      <c r="D253" s="385">
        <v>11</v>
      </c>
      <c r="E253" s="385">
        <v>2.06</v>
      </c>
      <c r="F253" s="385">
        <v>9</v>
      </c>
      <c r="G253" s="385">
        <v>1.55</v>
      </c>
      <c r="H253" s="385" t="s">
        <v>143</v>
      </c>
      <c r="I253" s="385" t="s">
        <v>19</v>
      </c>
      <c r="J253" s="385" t="s">
        <v>19</v>
      </c>
      <c r="K253" s="386">
        <v>4.8950000000000005</v>
      </c>
      <c r="L253" s="387">
        <v>0.16547497446373841</v>
      </c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</row>
    <row r="254" spans="1:106" s="2" customFormat="1" x14ac:dyDescent="0.35">
      <c r="A254" s="683"/>
      <c r="B254" s="383" t="s">
        <v>527</v>
      </c>
      <c r="C254" s="384" t="s">
        <v>658</v>
      </c>
      <c r="D254" s="385">
        <v>9</v>
      </c>
      <c r="E254" s="385">
        <v>2.09</v>
      </c>
      <c r="F254" s="385">
        <v>11</v>
      </c>
      <c r="G254" s="385">
        <v>1.415</v>
      </c>
      <c r="H254" s="385" t="s">
        <v>143</v>
      </c>
      <c r="I254" s="385" t="s">
        <v>19</v>
      </c>
      <c r="J254" s="385" t="s">
        <v>19</v>
      </c>
      <c r="K254" s="386">
        <v>4.8875000000000002</v>
      </c>
      <c r="L254" s="387">
        <v>0.16726342710997438</v>
      </c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</row>
    <row r="255" spans="1:106" s="2" customFormat="1" x14ac:dyDescent="0.35">
      <c r="A255" s="683"/>
      <c r="B255" s="383" t="s">
        <v>173</v>
      </c>
      <c r="C255" s="384" t="s">
        <v>202</v>
      </c>
      <c r="D255" s="385">
        <v>10.64</v>
      </c>
      <c r="E255" s="385">
        <v>2.0619999999999998</v>
      </c>
      <c r="F255" s="385">
        <v>9</v>
      </c>
      <c r="G255" s="385">
        <v>1.52</v>
      </c>
      <c r="H255" s="385" t="s">
        <v>143</v>
      </c>
      <c r="I255" s="385" t="s">
        <v>19</v>
      </c>
      <c r="J255" s="385" t="s">
        <v>19</v>
      </c>
      <c r="K255" s="386">
        <v>4.8840000000000003</v>
      </c>
      <c r="L255" s="387">
        <v>0.16809991809991803</v>
      </c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</row>
    <row r="256" spans="1:106" s="2" customFormat="1" x14ac:dyDescent="0.35">
      <c r="A256" s="683"/>
      <c r="B256" s="383" t="s">
        <v>173</v>
      </c>
      <c r="C256" s="384" t="s">
        <v>659</v>
      </c>
      <c r="D256" s="385">
        <v>11</v>
      </c>
      <c r="E256" s="385">
        <v>2.06</v>
      </c>
      <c r="F256" s="385">
        <v>9</v>
      </c>
      <c r="G256" s="385">
        <v>1.52</v>
      </c>
      <c r="H256" s="385" t="s">
        <v>143</v>
      </c>
      <c r="I256" s="385" t="s">
        <v>19</v>
      </c>
      <c r="J256" s="385" t="s">
        <v>518</v>
      </c>
      <c r="K256" s="386">
        <v>4.8800000000000008</v>
      </c>
      <c r="L256" s="387">
        <v>0.16905737704918017</v>
      </c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2"/>
      <c r="AM256" s="202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</row>
    <row r="257" spans="1:106" s="2" customFormat="1" x14ac:dyDescent="0.35">
      <c r="A257" s="683"/>
      <c r="B257" s="383" t="s">
        <v>660</v>
      </c>
      <c r="C257" s="384" t="s">
        <v>661</v>
      </c>
      <c r="D257" s="385">
        <v>11</v>
      </c>
      <c r="E257" s="385">
        <v>2.06</v>
      </c>
      <c r="F257" s="385">
        <v>9</v>
      </c>
      <c r="G257" s="385">
        <v>1.52</v>
      </c>
      <c r="H257" s="385" t="s">
        <v>143</v>
      </c>
      <c r="I257" s="385" t="s">
        <v>19</v>
      </c>
      <c r="J257" s="385" t="s">
        <v>518</v>
      </c>
      <c r="K257" s="386">
        <v>4.8800000000000008</v>
      </c>
      <c r="L257" s="387">
        <v>0.16905737704918017</v>
      </c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  <c r="AL257" s="202"/>
      <c r="AM257" s="202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</row>
    <row r="258" spans="1:106" s="2" customFormat="1" x14ac:dyDescent="0.35">
      <c r="A258" s="683"/>
      <c r="B258" s="383" t="s">
        <v>662</v>
      </c>
      <c r="C258" s="384" t="s">
        <v>663</v>
      </c>
      <c r="D258" s="385">
        <v>11</v>
      </c>
      <c r="E258" s="385">
        <v>2.08</v>
      </c>
      <c r="F258" s="385">
        <v>10</v>
      </c>
      <c r="G258" s="385">
        <v>1.44</v>
      </c>
      <c r="H258" s="385" t="s">
        <v>143</v>
      </c>
      <c r="I258" s="385" t="s">
        <v>19</v>
      </c>
      <c r="J258" s="385" t="s">
        <v>19</v>
      </c>
      <c r="K258" s="386">
        <v>4.8800000000000008</v>
      </c>
      <c r="L258" s="387">
        <v>0.16905737704918017</v>
      </c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</row>
    <row r="259" spans="1:106" s="2" customFormat="1" x14ac:dyDescent="0.35">
      <c r="A259" s="683"/>
      <c r="B259" s="383" t="s">
        <v>527</v>
      </c>
      <c r="C259" s="384" t="s">
        <v>664</v>
      </c>
      <c r="D259" s="385">
        <v>9</v>
      </c>
      <c r="E259" s="385">
        <v>2.0699999999999998</v>
      </c>
      <c r="F259" s="385">
        <v>9</v>
      </c>
      <c r="G259" s="385">
        <v>1.425</v>
      </c>
      <c r="H259" s="385" t="s">
        <v>143</v>
      </c>
      <c r="I259" s="385" t="s">
        <v>19</v>
      </c>
      <c r="J259" s="385" t="s">
        <v>19</v>
      </c>
      <c r="K259" s="386">
        <v>4.8524999999999991</v>
      </c>
      <c r="L259" s="387">
        <v>0.17568263781555921</v>
      </c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</row>
    <row r="260" spans="1:106" s="2" customFormat="1" x14ac:dyDescent="0.35">
      <c r="A260" s="683"/>
      <c r="B260" s="388" t="s">
        <v>271</v>
      </c>
      <c r="C260" s="354"/>
      <c r="D260" s="350"/>
      <c r="E260" s="350"/>
      <c r="F260" s="350"/>
      <c r="G260" s="350"/>
      <c r="H260" s="351"/>
      <c r="I260" s="351"/>
      <c r="J260" s="351"/>
      <c r="K260" s="352">
        <v>0</v>
      </c>
      <c r="L260" s="353" t="s">
        <v>81</v>
      </c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</row>
    <row r="261" spans="1:106" s="2" customFormat="1" x14ac:dyDescent="0.35">
      <c r="A261" s="683"/>
      <c r="B261" s="390" t="s">
        <v>272</v>
      </c>
      <c r="C261" s="401"/>
      <c r="D261" s="392"/>
      <c r="E261" s="392"/>
      <c r="F261" s="392"/>
      <c r="G261" s="392"/>
      <c r="H261" s="393"/>
      <c r="I261" s="393"/>
      <c r="J261" s="393"/>
      <c r="K261" s="394">
        <v>0</v>
      </c>
      <c r="L261" s="395" t="s">
        <v>81</v>
      </c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</row>
    <row r="262" spans="1:106" s="2" customFormat="1" x14ac:dyDescent="0.35">
      <c r="A262" s="683"/>
      <c r="B262" s="388" t="s">
        <v>273</v>
      </c>
      <c r="C262" s="354"/>
      <c r="D262" s="350"/>
      <c r="E262" s="350"/>
      <c r="F262" s="350"/>
      <c r="G262" s="350"/>
      <c r="H262" s="351"/>
      <c r="I262" s="351"/>
      <c r="J262" s="351"/>
      <c r="K262" s="352">
        <v>0</v>
      </c>
      <c r="L262" s="353" t="s">
        <v>81</v>
      </c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</row>
    <row r="263" spans="1:106" s="2" customFormat="1" ht="15" customHeight="1" x14ac:dyDescent="0.35">
      <c r="A263" s="683"/>
      <c r="B263" s="390" t="s">
        <v>274</v>
      </c>
      <c r="C263" s="401"/>
      <c r="D263" s="392"/>
      <c r="E263" s="392"/>
      <c r="F263" s="392"/>
      <c r="G263" s="392"/>
      <c r="H263" s="393"/>
      <c r="I263" s="393"/>
      <c r="J263" s="393"/>
      <c r="K263" s="394">
        <v>0</v>
      </c>
      <c r="L263" s="395" t="s">
        <v>81</v>
      </c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</row>
    <row r="264" spans="1:106" s="2" customFormat="1" x14ac:dyDescent="0.35"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</row>
    <row r="265" spans="1:106" s="2" customFormat="1" x14ac:dyDescent="0.35"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</row>
    <row r="266" spans="1:106" s="2" customFormat="1" x14ac:dyDescent="0.35">
      <c r="A266" s="683" t="s">
        <v>359</v>
      </c>
      <c r="B266" s="165" t="s">
        <v>254</v>
      </c>
      <c r="C266" s="166" t="s">
        <v>184</v>
      </c>
      <c r="D266" s="167" t="s">
        <v>187</v>
      </c>
      <c r="E266" s="168" t="s">
        <v>185</v>
      </c>
      <c r="F266" s="167" t="s">
        <v>186</v>
      </c>
      <c r="G266" s="168" t="s">
        <v>188</v>
      </c>
      <c r="H266" s="170" t="s">
        <v>189</v>
      </c>
      <c r="I266" s="167" t="s">
        <v>191</v>
      </c>
      <c r="J266" s="171" t="s">
        <v>192</v>
      </c>
      <c r="K266" s="172" t="s">
        <v>5</v>
      </c>
      <c r="L266" s="173" t="s">
        <v>190</v>
      </c>
      <c r="M266" s="8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</row>
    <row r="267" spans="1:106" s="2" customFormat="1" x14ac:dyDescent="0.35">
      <c r="A267" s="683"/>
      <c r="B267" s="383" t="s">
        <v>636</v>
      </c>
      <c r="C267" s="384" t="s">
        <v>665</v>
      </c>
      <c r="D267" s="385">
        <v>10.37</v>
      </c>
      <c r="E267" s="385">
        <v>2.8479999999999999</v>
      </c>
      <c r="F267" s="385">
        <v>11.53</v>
      </c>
      <c r="G267" s="385">
        <v>1.6080000000000001</v>
      </c>
      <c r="H267" s="385" t="s">
        <v>156</v>
      </c>
      <c r="I267" s="385" t="s">
        <v>19</v>
      </c>
      <c r="J267" s="385" t="s">
        <v>19</v>
      </c>
      <c r="K267" s="386">
        <v>6.5</v>
      </c>
      <c r="L267" s="387">
        <v>0</v>
      </c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</row>
    <row r="268" spans="1:106" s="2" customFormat="1" x14ac:dyDescent="0.35">
      <c r="A268" s="683"/>
      <c r="B268" s="383" t="s">
        <v>412</v>
      </c>
      <c r="C268" s="384" t="s">
        <v>666</v>
      </c>
      <c r="D268" s="385">
        <v>11</v>
      </c>
      <c r="E268" s="385">
        <v>2.27</v>
      </c>
      <c r="F268" s="385">
        <v>11</v>
      </c>
      <c r="G268" s="385">
        <v>1.63</v>
      </c>
      <c r="H268" s="385" t="s">
        <v>156</v>
      </c>
      <c r="I268" s="385" t="s">
        <v>19</v>
      </c>
      <c r="J268" s="385" t="s">
        <v>19</v>
      </c>
      <c r="K268" s="386">
        <v>5.3549999999999995</v>
      </c>
      <c r="L268" s="387">
        <v>0.21381886087768451</v>
      </c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  <c r="AL268" s="202"/>
      <c r="AM268" s="202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</row>
    <row r="269" spans="1:106" s="2" customFormat="1" x14ac:dyDescent="0.35">
      <c r="A269" s="683"/>
      <c r="B269" s="383" t="s">
        <v>175</v>
      </c>
      <c r="C269" s="384" t="s">
        <v>667</v>
      </c>
      <c r="D269" s="385">
        <v>11</v>
      </c>
      <c r="E269" s="385">
        <v>2.27</v>
      </c>
      <c r="F269" s="385">
        <v>11</v>
      </c>
      <c r="G269" s="385">
        <v>1.63</v>
      </c>
      <c r="H269" s="385" t="s">
        <v>156</v>
      </c>
      <c r="I269" s="385" t="s">
        <v>19</v>
      </c>
      <c r="J269" s="385" t="s">
        <v>19</v>
      </c>
      <c r="K269" s="386">
        <v>5.3549999999999995</v>
      </c>
      <c r="L269" s="387">
        <v>0.21381886087768451</v>
      </c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</row>
    <row r="270" spans="1:106" s="2" customFormat="1" x14ac:dyDescent="0.35">
      <c r="A270" s="683"/>
      <c r="B270" s="383" t="s">
        <v>524</v>
      </c>
      <c r="C270" s="384" t="s">
        <v>668</v>
      </c>
      <c r="D270" s="385">
        <v>12</v>
      </c>
      <c r="E270" s="385">
        <v>2.2000000000000002</v>
      </c>
      <c r="F270" s="385">
        <v>12</v>
      </c>
      <c r="G270" s="385">
        <v>1.73</v>
      </c>
      <c r="H270" s="385" t="s">
        <v>82</v>
      </c>
      <c r="I270" s="385" t="s">
        <v>19</v>
      </c>
      <c r="J270" s="385" t="s">
        <v>19</v>
      </c>
      <c r="K270" s="386">
        <v>5.2650000000000006</v>
      </c>
      <c r="L270" s="387">
        <v>0.23456790123456778</v>
      </c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  <c r="AL270" s="202"/>
      <c r="AM270" s="202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</row>
    <row r="271" spans="1:106" s="2" customFormat="1" x14ac:dyDescent="0.35">
      <c r="A271" s="683"/>
      <c r="B271" s="383" t="s">
        <v>630</v>
      </c>
      <c r="C271" s="384" t="s">
        <v>669</v>
      </c>
      <c r="D271" s="385">
        <v>12</v>
      </c>
      <c r="E271" s="385">
        <v>2.21</v>
      </c>
      <c r="F271" s="385">
        <v>11</v>
      </c>
      <c r="G271" s="385">
        <v>1.64</v>
      </c>
      <c r="H271" s="385" t="s">
        <v>4</v>
      </c>
      <c r="I271" s="385" t="s">
        <v>19</v>
      </c>
      <c r="J271" s="385" t="s">
        <v>19</v>
      </c>
      <c r="K271" s="386">
        <v>5.24</v>
      </c>
      <c r="L271" s="387">
        <v>0.24045801526717553</v>
      </c>
      <c r="AA271" s="202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  <c r="AL271" s="202"/>
      <c r="AM271" s="202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</row>
    <row r="272" spans="1:106" s="2" customFormat="1" x14ac:dyDescent="0.35">
      <c r="A272" s="683"/>
      <c r="B272" s="383" t="s">
        <v>584</v>
      </c>
      <c r="C272" s="384" t="s">
        <v>670</v>
      </c>
      <c r="D272" s="385">
        <v>12</v>
      </c>
      <c r="E272" s="385">
        <v>2.19</v>
      </c>
      <c r="F272" s="385">
        <v>11</v>
      </c>
      <c r="G272" s="385">
        <v>1.62</v>
      </c>
      <c r="H272" s="385" t="s">
        <v>4</v>
      </c>
      <c r="I272" s="385" t="s">
        <v>19</v>
      </c>
      <c r="J272" s="385" t="s">
        <v>19</v>
      </c>
      <c r="K272" s="386">
        <v>5.19</v>
      </c>
      <c r="L272" s="387">
        <v>0.25240847784200376</v>
      </c>
      <c r="AA272" s="202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  <c r="AL272" s="202"/>
      <c r="AM272" s="20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</row>
    <row r="273" spans="1:106" s="2" customFormat="1" x14ac:dyDescent="0.35">
      <c r="A273" s="683"/>
      <c r="B273" s="383" t="s">
        <v>630</v>
      </c>
      <c r="C273" s="384" t="s">
        <v>671</v>
      </c>
      <c r="D273" s="385">
        <v>12</v>
      </c>
      <c r="E273" s="385">
        <v>2.19</v>
      </c>
      <c r="F273" s="385">
        <v>11</v>
      </c>
      <c r="G273" s="385">
        <v>1.62</v>
      </c>
      <c r="H273" s="385" t="s">
        <v>4</v>
      </c>
      <c r="I273" s="385" t="s">
        <v>19</v>
      </c>
      <c r="J273" s="385" t="s">
        <v>19</v>
      </c>
      <c r="K273" s="386">
        <v>5.19</v>
      </c>
      <c r="L273" s="387">
        <v>0.25240847784200376</v>
      </c>
      <c r="AA273" s="202"/>
      <c r="AB273" s="202"/>
      <c r="AC273" s="202"/>
      <c r="AD273" s="202"/>
      <c r="AE273" s="202"/>
      <c r="AF273" s="202"/>
      <c r="AG273" s="202"/>
      <c r="AH273" s="202"/>
      <c r="AI273" s="202"/>
      <c r="AJ273" s="202"/>
      <c r="AK273" s="202"/>
      <c r="AL273" s="202"/>
      <c r="AM273" s="202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</row>
    <row r="274" spans="1:106" s="2" customFormat="1" x14ac:dyDescent="0.35">
      <c r="A274" s="683"/>
      <c r="B274" s="383" t="s">
        <v>524</v>
      </c>
      <c r="C274" s="384" t="s">
        <v>206</v>
      </c>
      <c r="D274" s="385">
        <v>12.03</v>
      </c>
      <c r="E274" s="385">
        <v>2.16</v>
      </c>
      <c r="F274" s="385">
        <v>11.99</v>
      </c>
      <c r="G274" s="385">
        <v>1.69</v>
      </c>
      <c r="H274" s="385" t="s">
        <v>82</v>
      </c>
      <c r="I274" s="385" t="s">
        <v>19</v>
      </c>
      <c r="J274" s="385" t="s">
        <v>19</v>
      </c>
      <c r="K274" s="386">
        <v>5.1650000000000009</v>
      </c>
      <c r="L274" s="387">
        <v>0.25847047434656317</v>
      </c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  <c r="AL274" s="202"/>
      <c r="AM274" s="202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</row>
    <row r="275" spans="1:106" s="2" customFormat="1" x14ac:dyDescent="0.35">
      <c r="A275" s="683"/>
      <c r="B275" s="383" t="s">
        <v>630</v>
      </c>
      <c r="C275" s="384" t="s">
        <v>672</v>
      </c>
      <c r="D275" s="385">
        <v>12</v>
      </c>
      <c r="E275" s="385">
        <v>2.19</v>
      </c>
      <c r="F275" s="385">
        <v>11</v>
      </c>
      <c r="G275" s="385">
        <v>1.57</v>
      </c>
      <c r="H275" s="385" t="s">
        <v>143</v>
      </c>
      <c r="I275" s="385" t="s">
        <v>19</v>
      </c>
      <c r="J275" s="385" t="s">
        <v>19</v>
      </c>
      <c r="K275" s="386">
        <v>5.1649999999999991</v>
      </c>
      <c r="L275" s="387">
        <v>0.25847047434656362</v>
      </c>
      <c r="AA275" s="202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  <c r="AL275" s="202"/>
      <c r="AM275" s="202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</row>
    <row r="276" spans="1:106" s="2" customFormat="1" x14ac:dyDescent="0.35">
      <c r="A276" s="683"/>
      <c r="B276" s="383" t="s">
        <v>537</v>
      </c>
      <c r="C276" s="384" t="s">
        <v>673</v>
      </c>
      <c r="D276" s="385">
        <v>13</v>
      </c>
      <c r="E276" s="385">
        <v>2.13</v>
      </c>
      <c r="F276" s="385">
        <v>10</v>
      </c>
      <c r="G276" s="385">
        <v>1.66</v>
      </c>
      <c r="H276" s="385" t="s">
        <v>143</v>
      </c>
      <c r="I276" s="385" t="s">
        <v>19</v>
      </c>
      <c r="J276" s="385" t="s">
        <v>19</v>
      </c>
      <c r="K276" s="386">
        <v>5.09</v>
      </c>
      <c r="L276" s="387">
        <v>0.27701375245579574</v>
      </c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</row>
    <row r="277" spans="1:106" s="2" customFormat="1" x14ac:dyDescent="0.35">
      <c r="A277" s="683"/>
      <c r="B277" s="383" t="s">
        <v>537</v>
      </c>
      <c r="C277" s="384" t="s">
        <v>674</v>
      </c>
      <c r="D277" s="385">
        <v>13</v>
      </c>
      <c r="E277" s="385">
        <v>2.13</v>
      </c>
      <c r="F277" s="385">
        <v>10</v>
      </c>
      <c r="G277" s="385">
        <v>1.66</v>
      </c>
      <c r="H277" s="385" t="s">
        <v>143</v>
      </c>
      <c r="I277" s="385" t="s">
        <v>19</v>
      </c>
      <c r="J277" s="385" t="s">
        <v>19</v>
      </c>
      <c r="K277" s="386">
        <v>5.09</v>
      </c>
      <c r="L277" s="387">
        <v>0.27701375245579574</v>
      </c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</row>
    <row r="278" spans="1:106" s="2" customFormat="1" x14ac:dyDescent="0.35">
      <c r="A278" s="683"/>
      <c r="B278" s="383" t="s">
        <v>158</v>
      </c>
      <c r="C278" s="384" t="s">
        <v>467</v>
      </c>
      <c r="D278" s="385">
        <v>13</v>
      </c>
      <c r="E278" s="385">
        <v>2.14</v>
      </c>
      <c r="F278" s="385">
        <v>11</v>
      </c>
      <c r="G278" s="385">
        <v>1.59</v>
      </c>
      <c r="H278" s="385" t="s">
        <v>143</v>
      </c>
      <c r="I278" s="385" t="s">
        <v>19</v>
      </c>
      <c r="J278" s="385" t="s">
        <v>19</v>
      </c>
      <c r="K278" s="386">
        <v>5.0750000000000011</v>
      </c>
      <c r="L278" s="387">
        <v>0.28078817733990119</v>
      </c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</row>
    <row r="279" spans="1:106" s="2" customFormat="1" x14ac:dyDescent="0.35">
      <c r="A279" s="683"/>
      <c r="B279" s="383" t="s">
        <v>538</v>
      </c>
      <c r="C279" s="384" t="s">
        <v>675</v>
      </c>
      <c r="D279" s="385">
        <v>13</v>
      </c>
      <c r="E279" s="385">
        <v>2.14</v>
      </c>
      <c r="F279" s="385">
        <v>11</v>
      </c>
      <c r="G279" s="385">
        <v>1.59</v>
      </c>
      <c r="H279" s="385" t="s">
        <v>143</v>
      </c>
      <c r="I279" s="385" t="s">
        <v>19</v>
      </c>
      <c r="J279" s="385" t="s">
        <v>19</v>
      </c>
      <c r="K279" s="386">
        <v>5.0750000000000011</v>
      </c>
      <c r="L279" s="387">
        <v>0.28078817733990119</v>
      </c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</row>
    <row r="280" spans="1:106" s="2" customFormat="1" x14ac:dyDescent="0.35">
      <c r="A280" s="683"/>
      <c r="B280" s="402" t="s">
        <v>271</v>
      </c>
      <c r="C280" s="354"/>
      <c r="D280" s="350"/>
      <c r="E280" s="350"/>
      <c r="F280" s="350"/>
      <c r="G280" s="350"/>
      <c r="H280" s="351"/>
      <c r="I280" s="351"/>
      <c r="J280" s="351"/>
      <c r="K280" s="352">
        <v>0</v>
      </c>
      <c r="L280" s="353" t="s">
        <v>81</v>
      </c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</row>
    <row r="281" spans="1:106" s="2" customFormat="1" x14ac:dyDescent="0.35">
      <c r="A281" s="683"/>
      <c r="B281" s="402" t="s">
        <v>272</v>
      </c>
      <c r="C281" s="354"/>
      <c r="D281" s="350"/>
      <c r="E281" s="350"/>
      <c r="F281" s="350"/>
      <c r="G281" s="350"/>
      <c r="H281" s="351"/>
      <c r="I281" s="351"/>
      <c r="J281" s="351"/>
      <c r="K281" s="352">
        <v>0</v>
      </c>
      <c r="L281" s="353" t="s">
        <v>81</v>
      </c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</row>
    <row r="282" spans="1:106" s="2" customFormat="1" x14ac:dyDescent="0.35">
      <c r="A282" s="683"/>
      <c r="B282" s="402" t="s">
        <v>273</v>
      </c>
      <c r="C282" s="354"/>
      <c r="D282" s="350"/>
      <c r="E282" s="350"/>
      <c r="F282" s="350"/>
      <c r="G282" s="350"/>
      <c r="H282" s="351"/>
      <c r="I282" s="351"/>
      <c r="J282" s="351"/>
      <c r="K282" s="352">
        <v>0</v>
      </c>
      <c r="L282" s="353" t="s">
        <v>81</v>
      </c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</row>
    <row r="283" spans="1:106" s="2" customFormat="1" x14ac:dyDescent="0.35"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</row>
    <row r="284" spans="1:106" s="2" customFormat="1" x14ac:dyDescent="0.35"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2"/>
      <c r="AM284" s="202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</row>
    <row r="285" spans="1:106" s="2" customFormat="1" x14ac:dyDescent="0.35">
      <c r="A285" s="683" t="s">
        <v>360</v>
      </c>
      <c r="B285" s="165" t="s">
        <v>254</v>
      </c>
      <c r="C285" s="166" t="s">
        <v>184</v>
      </c>
      <c r="D285" s="167" t="s">
        <v>187</v>
      </c>
      <c r="E285" s="168" t="s">
        <v>185</v>
      </c>
      <c r="F285" s="167" t="s">
        <v>186</v>
      </c>
      <c r="G285" s="168" t="s">
        <v>188</v>
      </c>
      <c r="H285" s="170" t="s">
        <v>189</v>
      </c>
      <c r="I285" s="167" t="s">
        <v>191</v>
      </c>
      <c r="J285" s="171" t="s">
        <v>192</v>
      </c>
      <c r="K285" s="172" t="s">
        <v>5</v>
      </c>
      <c r="L285" s="173" t="s">
        <v>190</v>
      </c>
      <c r="M285" s="82"/>
      <c r="AA285" s="202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  <c r="AL285" s="202"/>
      <c r="AM285" s="202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</row>
    <row r="286" spans="1:106" s="2" customFormat="1" x14ac:dyDescent="0.35">
      <c r="A286" s="683"/>
      <c r="B286" s="383" t="s">
        <v>540</v>
      </c>
      <c r="C286" s="384" t="s">
        <v>201</v>
      </c>
      <c r="D286" s="385">
        <v>15</v>
      </c>
      <c r="E286" s="385">
        <v>2.52</v>
      </c>
      <c r="F286" s="385">
        <v>15</v>
      </c>
      <c r="G286" s="385">
        <v>1.63</v>
      </c>
      <c r="H286" s="385" t="s">
        <v>139</v>
      </c>
      <c r="I286" s="385" t="s">
        <v>518</v>
      </c>
      <c r="J286" s="385" t="s">
        <v>19</v>
      </c>
      <c r="K286" s="386">
        <v>5.8550000000000004</v>
      </c>
      <c r="L286" s="387">
        <v>0</v>
      </c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</row>
    <row r="287" spans="1:106" s="2" customFormat="1" x14ac:dyDescent="0.35">
      <c r="A287" s="683"/>
      <c r="B287" s="383" t="s">
        <v>540</v>
      </c>
      <c r="C287" s="384" t="s">
        <v>676</v>
      </c>
      <c r="D287" s="385">
        <v>14</v>
      </c>
      <c r="E287" s="385">
        <v>2.42</v>
      </c>
      <c r="F287" s="385">
        <v>14</v>
      </c>
      <c r="G287" s="385">
        <v>1.75</v>
      </c>
      <c r="H287" s="385" t="s">
        <v>143</v>
      </c>
      <c r="I287" s="385" t="s">
        <v>19</v>
      </c>
      <c r="J287" s="385" t="s">
        <v>19</v>
      </c>
      <c r="K287" s="386">
        <v>5.7149999999999999</v>
      </c>
      <c r="L287" s="387">
        <v>2.4496937882764754E-2</v>
      </c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</row>
    <row r="288" spans="1:106" s="2" customFormat="1" x14ac:dyDescent="0.35">
      <c r="A288" s="683"/>
      <c r="B288" s="383" t="s">
        <v>412</v>
      </c>
      <c r="C288" s="384" t="s">
        <v>677</v>
      </c>
      <c r="D288" s="385">
        <v>15.1</v>
      </c>
      <c r="E288" s="385">
        <v>2.2999999999999998</v>
      </c>
      <c r="F288" s="385">
        <v>15.1</v>
      </c>
      <c r="G288" s="385">
        <v>1.69</v>
      </c>
      <c r="H288" s="385" t="s">
        <v>156</v>
      </c>
      <c r="I288" s="385" t="s">
        <v>19</v>
      </c>
      <c r="J288" s="385" t="s">
        <v>19</v>
      </c>
      <c r="K288" s="386">
        <v>5.4450000000000003</v>
      </c>
      <c r="L288" s="387">
        <v>7.5298438934802592E-2</v>
      </c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</row>
    <row r="289" spans="1:106" s="2" customFormat="1" x14ac:dyDescent="0.35">
      <c r="A289" s="683"/>
      <c r="B289" s="383" t="s">
        <v>175</v>
      </c>
      <c r="C289" s="384" t="s">
        <v>678</v>
      </c>
      <c r="D289" s="385">
        <v>15.1</v>
      </c>
      <c r="E289" s="385">
        <v>2.2999999999999998</v>
      </c>
      <c r="F289" s="385">
        <v>15.1</v>
      </c>
      <c r="G289" s="385">
        <v>1.69</v>
      </c>
      <c r="H289" s="385" t="s">
        <v>156</v>
      </c>
      <c r="I289" s="385" t="s">
        <v>19</v>
      </c>
      <c r="J289" s="385" t="s">
        <v>19</v>
      </c>
      <c r="K289" s="386">
        <v>5.4450000000000003</v>
      </c>
      <c r="L289" s="387">
        <v>7.5298438934802592E-2</v>
      </c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</row>
    <row r="290" spans="1:106" s="2" customFormat="1" x14ac:dyDescent="0.35">
      <c r="A290" s="683"/>
      <c r="B290" s="383" t="s">
        <v>630</v>
      </c>
      <c r="C290" s="384" t="s">
        <v>679</v>
      </c>
      <c r="D290" s="385">
        <v>15</v>
      </c>
      <c r="E290" s="385">
        <v>2.2799999999999998</v>
      </c>
      <c r="F290" s="385">
        <v>16</v>
      </c>
      <c r="G290" s="385">
        <v>1.68</v>
      </c>
      <c r="H290" s="385" t="s">
        <v>143</v>
      </c>
      <c r="I290" s="385" t="s">
        <v>19</v>
      </c>
      <c r="J290" s="385" t="s">
        <v>19</v>
      </c>
      <c r="K290" s="386">
        <v>5.3999999999999995</v>
      </c>
      <c r="L290" s="387">
        <v>8.425925925925945E-2</v>
      </c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</row>
    <row r="291" spans="1:106" s="2" customFormat="1" x14ac:dyDescent="0.35">
      <c r="A291" s="683"/>
      <c r="B291" s="383" t="s">
        <v>630</v>
      </c>
      <c r="C291" s="384" t="s">
        <v>680</v>
      </c>
      <c r="D291" s="385">
        <v>16</v>
      </c>
      <c r="E291" s="385">
        <v>2.2400000000000002</v>
      </c>
      <c r="F291" s="385">
        <v>15</v>
      </c>
      <c r="G291" s="385">
        <v>1.7</v>
      </c>
      <c r="H291" s="385" t="s">
        <v>4</v>
      </c>
      <c r="I291" s="385" t="s">
        <v>19</v>
      </c>
      <c r="J291" s="385" t="s">
        <v>19</v>
      </c>
      <c r="K291" s="386">
        <v>5.33</v>
      </c>
      <c r="L291" s="387">
        <v>9.8499061913696132E-2</v>
      </c>
      <c r="AA291" s="202"/>
      <c r="AB291" s="202"/>
      <c r="AC291" s="202"/>
      <c r="AD291" s="202"/>
      <c r="AE291" s="202"/>
      <c r="AF291" s="202"/>
      <c r="AG291" s="202"/>
      <c r="AH291" s="202"/>
      <c r="AI291" s="202"/>
      <c r="AJ291" s="202"/>
      <c r="AK291" s="202"/>
      <c r="AL291" s="202"/>
      <c r="AM291" s="202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</row>
    <row r="292" spans="1:106" s="2" customFormat="1" x14ac:dyDescent="0.35">
      <c r="A292" s="683"/>
      <c r="B292" s="383" t="s">
        <v>584</v>
      </c>
      <c r="C292" s="384" t="s">
        <v>361</v>
      </c>
      <c r="D292" s="385">
        <v>16</v>
      </c>
      <c r="E292" s="385">
        <v>2.2200000000000002</v>
      </c>
      <c r="F292" s="385">
        <v>15</v>
      </c>
      <c r="G292" s="385">
        <v>1.68</v>
      </c>
      <c r="H292" s="385" t="s">
        <v>4</v>
      </c>
      <c r="I292" s="385" t="s">
        <v>19</v>
      </c>
      <c r="J292" s="385" t="s">
        <v>19</v>
      </c>
      <c r="K292" s="386">
        <v>5.28</v>
      </c>
      <c r="L292" s="387">
        <v>0.10890151515151518</v>
      </c>
      <c r="AA292" s="202"/>
      <c r="AB292" s="202"/>
      <c r="AC292" s="202"/>
      <c r="AD292" s="202"/>
      <c r="AE292" s="202"/>
      <c r="AF292" s="202"/>
      <c r="AG292" s="202"/>
      <c r="AH292" s="202"/>
      <c r="AI292" s="202"/>
      <c r="AJ292" s="202"/>
      <c r="AK292" s="202"/>
      <c r="AL292" s="202"/>
      <c r="AM292" s="20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</row>
    <row r="293" spans="1:106" s="2" customFormat="1" x14ac:dyDescent="0.35">
      <c r="A293" s="683"/>
      <c r="B293" s="383" t="s">
        <v>656</v>
      </c>
      <c r="C293" s="384" t="s">
        <v>681</v>
      </c>
      <c r="D293" s="385">
        <v>17</v>
      </c>
      <c r="E293" s="385">
        <v>2.17</v>
      </c>
      <c r="F293" s="385">
        <v>14</v>
      </c>
      <c r="G293" s="385">
        <v>1.68</v>
      </c>
      <c r="H293" s="385" t="s">
        <v>143</v>
      </c>
      <c r="I293" s="385" t="s">
        <v>19</v>
      </c>
      <c r="J293" s="385" t="s">
        <v>19</v>
      </c>
      <c r="K293" s="386">
        <v>5.18</v>
      </c>
      <c r="L293" s="387">
        <v>0.13030888030888046</v>
      </c>
      <c r="AA293" s="202"/>
      <c r="AB293" s="202"/>
      <c r="AC293" s="202"/>
      <c r="AD293" s="202"/>
      <c r="AE293" s="202"/>
      <c r="AF293" s="202"/>
      <c r="AG293" s="202"/>
      <c r="AH293" s="202"/>
      <c r="AI293" s="202"/>
      <c r="AJ293" s="202"/>
      <c r="AK293" s="202"/>
      <c r="AL293" s="202"/>
      <c r="AM293" s="202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</row>
    <row r="294" spans="1:106" s="2" customFormat="1" x14ac:dyDescent="0.35">
      <c r="A294" s="683"/>
      <c r="B294" s="383" t="s">
        <v>524</v>
      </c>
      <c r="C294" s="384" t="s">
        <v>682</v>
      </c>
      <c r="D294" s="385">
        <v>15</v>
      </c>
      <c r="E294" s="385">
        <v>2.14</v>
      </c>
      <c r="F294" s="385">
        <v>14</v>
      </c>
      <c r="G294" s="385">
        <v>1.72</v>
      </c>
      <c r="H294" s="385" t="s">
        <v>82</v>
      </c>
      <c r="I294" s="385" t="s">
        <v>19</v>
      </c>
      <c r="J294" s="385" t="s">
        <v>19</v>
      </c>
      <c r="K294" s="386">
        <v>5.1400000000000006</v>
      </c>
      <c r="L294" s="387">
        <v>0.1391050583657587</v>
      </c>
      <c r="AA294" s="202"/>
      <c r="AB294" s="202"/>
      <c r="AC294" s="202"/>
      <c r="AD294" s="202"/>
      <c r="AE294" s="202"/>
      <c r="AF294" s="202"/>
      <c r="AG294" s="202"/>
      <c r="AH294" s="202"/>
      <c r="AI294" s="202"/>
      <c r="AJ294" s="202"/>
      <c r="AK294" s="202"/>
      <c r="AL294" s="202"/>
      <c r="AM294" s="202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</row>
    <row r="295" spans="1:106" s="2" customFormat="1" x14ac:dyDescent="0.35">
      <c r="A295" s="683"/>
      <c r="B295" s="383" t="s">
        <v>571</v>
      </c>
      <c r="C295" s="384" t="s">
        <v>295</v>
      </c>
      <c r="D295" s="385">
        <v>13</v>
      </c>
      <c r="E295" s="385">
        <v>2.17</v>
      </c>
      <c r="F295" s="385">
        <v>15</v>
      </c>
      <c r="G295" s="385">
        <v>1.59</v>
      </c>
      <c r="H295" s="385" t="s">
        <v>143</v>
      </c>
      <c r="I295" s="385" t="s">
        <v>19</v>
      </c>
      <c r="J295" s="385" t="s">
        <v>19</v>
      </c>
      <c r="K295" s="386">
        <v>5.1350000000000007</v>
      </c>
      <c r="L295" s="387">
        <v>0.14021421616358318</v>
      </c>
      <c r="AA295" s="202"/>
      <c r="AB295" s="202"/>
      <c r="AC295" s="202"/>
      <c r="AD295" s="202"/>
      <c r="AE295" s="202"/>
      <c r="AF295" s="202"/>
      <c r="AG295" s="202"/>
      <c r="AH295" s="202"/>
      <c r="AI295" s="202"/>
      <c r="AJ295" s="202"/>
      <c r="AK295" s="202"/>
      <c r="AL295" s="202"/>
      <c r="AM295" s="202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</row>
    <row r="296" spans="1:106" s="2" customFormat="1" x14ac:dyDescent="0.35">
      <c r="A296" s="683"/>
      <c r="B296" s="383" t="s">
        <v>524</v>
      </c>
      <c r="C296" s="384" t="s">
        <v>683</v>
      </c>
      <c r="D296" s="385">
        <v>14.46</v>
      </c>
      <c r="E296" s="385">
        <v>2.1</v>
      </c>
      <c r="F296" s="385">
        <v>13.77</v>
      </c>
      <c r="G296" s="385">
        <v>1.68</v>
      </c>
      <c r="H296" s="385" t="s">
        <v>82</v>
      </c>
      <c r="I296" s="385" t="s">
        <v>19</v>
      </c>
      <c r="J296" s="385" t="s">
        <v>19</v>
      </c>
      <c r="K296" s="386">
        <v>5.04</v>
      </c>
      <c r="L296" s="387">
        <v>0.16170634920634927</v>
      </c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</row>
    <row r="297" spans="1:106" s="2" customFormat="1" x14ac:dyDescent="0.35">
      <c r="A297" s="683"/>
      <c r="B297" s="383" t="s">
        <v>586</v>
      </c>
      <c r="C297" s="384" t="s">
        <v>684</v>
      </c>
      <c r="D297" s="385">
        <v>15</v>
      </c>
      <c r="E297" s="385">
        <v>2.14</v>
      </c>
      <c r="F297" s="385">
        <v>13.55</v>
      </c>
      <c r="G297" s="385">
        <v>1.41</v>
      </c>
      <c r="H297" s="385" t="s">
        <v>143</v>
      </c>
      <c r="I297" s="385" t="s">
        <v>19</v>
      </c>
      <c r="J297" s="385" t="s">
        <v>19</v>
      </c>
      <c r="K297" s="386">
        <v>4.9850000000000003</v>
      </c>
      <c r="L297" s="387">
        <v>0.17452357071213642</v>
      </c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</row>
    <row r="298" spans="1:106" s="2" customFormat="1" x14ac:dyDescent="0.35">
      <c r="A298" s="683"/>
      <c r="B298" s="383" t="s">
        <v>586</v>
      </c>
      <c r="C298" s="384" t="s">
        <v>685</v>
      </c>
      <c r="D298" s="385">
        <v>15</v>
      </c>
      <c r="E298" s="385">
        <v>2.14</v>
      </c>
      <c r="F298" s="385">
        <v>13.55</v>
      </c>
      <c r="G298" s="385">
        <v>1.41</v>
      </c>
      <c r="H298" s="385" t="s">
        <v>143</v>
      </c>
      <c r="I298" s="385" t="s">
        <v>19</v>
      </c>
      <c r="J298" s="385" t="s">
        <v>19</v>
      </c>
      <c r="K298" s="386">
        <v>4.9850000000000003</v>
      </c>
      <c r="L298" s="387">
        <v>0.17452357071213642</v>
      </c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</row>
    <row r="299" spans="1:106" s="2" customFormat="1" x14ac:dyDescent="0.35">
      <c r="A299" s="683"/>
      <c r="B299" s="383" t="s">
        <v>543</v>
      </c>
      <c r="C299" s="384" t="s">
        <v>296</v>
      </c>
      <c r="D299" s="385">
        <v>15.7</v>
      </c>
      <c r="E299" s="385">
        <v>2.1</v>
      </c>
      <c r="F299" s="385">
        <v>15.7</v>
      </c>
      <c r="G299" s="385">
        <v>1.55</v>
      </c>
      <c r="H299" s="385" t="s">
        <v>143</v>
      </c>
      <c r="I299" s="385" t="s">
        <v>19</v>
      </c>
      <c r="J299" s="385" t="s">
        <v>19</v>
      </c>
      <c r="K299" s="386">
        <v>4.9750000000000005</v>
      </c>
      <c r="L299" s="387">
        <v>0.17688442211055272</v>
      </c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</row>
    <row r="300" spans="1:106" s="2" customFormat="1" x14ac:dyDescent="0.35">
      <c r="A300" s="683"/>
      <c r="B300" s="383" t="s">
        <v>173</v>
      </c>
      <c r="C300" s="384" t="s">
        <v>686</v>
      </c>
      <c r="D300" s="385">
        <v>16</v>
      </c>
      <c r="E300" s="385">
        <v>2.0910000000000002</v>
      </c>
      <c r="F300" s="385">
        <v>14</v>
      </c>
      <c r="G300" s="385">
        <v>1.528</v>
      </c>
      <c r="H300" s="385" t="s">
        <v>143</v>
      </c>
      <c r="I300" s="385" t="s">
        <v>19</v>
      </c>
      <c r="J300" s="385" t="s">
        <v>518</v>
      </c>
      <c r="K300" s="386">
        <v>4.9460000000000006</v>
      </c>
      <c r="L300" s="387">
        <v>0.18378487666801449</v>
      </c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</row>
    <row r="301" spans="1:106" s="2" customFormat="1" x14ac:dyDescent="0.35">
      <c r="A301" s="683"/>
      <c r="B301" s="383" t="s">
        <v>660</v>
      </c>
      <c r="C301" s="384" t="s">
        <v>687</v>
      </c>
      <c r="D301" s="385">
        <v>16</v>
      </c>
      <c r="E301" s="385">
        <v>2.09</v>
      </c>
      <c r="F301" s="385">
        <v>14</v>
      </c>
      <c r="G301" s="385">
        <v>1.528</v>
      </c>
      <c r="H301" s="385" t="s">
        <v>143</v>
      </c>
      <c r="I301" s="385" t="s">
        <v>19</v>
      </c>
      <c r="J301" s="385" t="s">
        <v>518</v>
      </c>
      <c r="K301" s="386">
        <v>4.944</v>
      </c>
      <c r="L301" s="387">
        <v>0.18426375404530754</v>
      </c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</row>
    <row r="302" spans="1:106" s="2" customFormat="1" x14ac:dyDescent="0.35">
      <c r="A302" s="683"/>
      <c r="B302" s="383" t="s">
        <v>634</v>
      </c>
      <c r="C302" s="384" t="s">
        <v>688</v>
      </c>
      <c r="D302" s="385">
        <v>15.78</v>
      </c>
      <c r="E302" s="385">
        <v>2.0640000000000001</v>
      </c>
      <c r="F302" s="385">
        <v>15.5</v>
      </c>
      <c r="G302" s="385">
        <v>1.5649999999999999</v>
      </c>
      <c r="H302" s="385" t="s">
        <v>156</v>
      </c>
      <c r="I302" s="385" t="s">
        <v>19</v>
      </c>
      <c r="J302" s="385" t="s">
        <v>20</v>
      </c>
      <c r="K302" s="386">
        <v>4.9105000000000008</v>
      </c>
      <c r="L302" s="387">
        <v>0.19234293860095703</v>
      </c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</row>
    <row r="303" spans="1:106" s="2" customFormat="1" x14ac:dyDescent="0.35">
      <c r="A303" s="683"/>
      <c r="B303" s="383" t="s">
        <v>636</v>
      </c>
      <c r="C303" s="384" t="s">
        <v>689</v>
      </c>
      <c r="D303" s="385">
        <v>15.78</v>
      </c>
      <c r="E303" s="385">
        <v>2.0640000000000001</v>
      </c>
      <c r="F303" s="385">
        <v>15.5</v>
      </c>
      <c r="G303" s="385">
        <v>1.5649999999999999</v>
      </c>
      <c r="H303" s="385" t="s">
        <v>156</v>
      </c>
      <c r="I303" s="385" t="s">
        <v>19</v>
      </c>
      <c r="J303" s="385" t="s">
        <v>19</v>
      </c>
      <c r="K303" s="386">
        <v>4.9105000000000008</v>
      </c>
      <c r="L303" s="387">
        <v>0.19234293860095703</v>
      </c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</row>
    <row r="304" spans="1:106" s="2" customFormat="1" x14ac:dyDescent="0.35">
      <c r="A304" s="683"/>
      <c r="B304" s="383" t="s">
        <v>638</v>
      </c>
      <c r="C304" s="384" t="s">
        <v>690</v>
      </c>
      <c r="D304" s="385">
        <v>15.78</v>
      </c>
      <c r="E304" s="385">
        <v>2.0640000000000001</v>
      </c>
      <c r="F304" s="385">
        <v>15.5</v>
      </c>
      <c r="G304" s="385">
        <v>1.5649999999999999</v>
      </c>
      <c r="H304" s="385"/>
      <c r="I304" s="385" t="s">
        <v>19</v>
      </c>
      <c r="J304" s="385" t="s">
        <v>20</v>
      </c>
      <c r="K304" s="386">
        <v>4.9105000000000008</v>
      </c>
      <c r="L304" s="387">
        <v>0.19234293860095703</v>
      </c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</row>
    <row r="305" spans="1:106" s="2" customFormat="1" x14ac:dyDescent="0.35">
      <c r="A305" s="683"/>
      <c r="B305" s="383" t="s">
        <v>662</v>
      </c>
      <c r="C305" s="384" t="s">
        <v>691</v>
      </c>
      <c r="D305" s="385">
        <v>14</v>
      </c>
      <c r="E305" s="385">
        <v>2.0699999999999998</v>
      </c>
      <c r="F305" s="385">
        <v>13</v>
      </c>
      <c r="G305" s="385">
        <v>1.52</v>
      </c>
      <c r="H305" s="385" t="s">
        <v>143</v>
      </c>
      <c r="I305" s="385" t="s">
        <v>19</v>
      </c>
      <c r="J305" s="385" t="s">
        <v>19</v>
      </c>
      <c r="K305" s="386">
        <v>4.9000000000000004</v>
      </c>
      <c r="L305" s="387">
        <v>0.19489795918367347</v>
      </c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</row>
    <row r="306" spans="1:106" s="2" customFormat="1" x14ac:dyDescent="0.35">
      <c r="A306" s="683"/>
      <c r="B306" s="383" t="s">
        <v>611</v>
      </c>
      <c r="C306" s="384" t="s">
        <v>468</v>
      </c>
      <c r="D306" s="385">
        <v>14</v>
      </c>
      <c r="E306" s="385">
        <v>2.0699999999999998</v>
      </c>
      <c r="F306" s="385">
        <v>13</v>
      </c>
      <c r="G306" s="385">
        <v>1.52</v>
      </c>
      <c r="H306" s="385" t="s">
        <v>143</v>
      </c>
      <c r="I306" s="385" t="s">
        <v>19</v>
      </c>
      <c r="J306" s="385" t="s">
        <v>19</v>
      </c>
      <c r="K306" s="386">
        <v>4.9000000000000004</v>
      </c>
      <c r="L306" s="387">
        <v>0.19489795918367347</v>
      </c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</row>
    <row r="307" spans="1:106" x14ac:dyDescent="0.35">
      <c r="A307" s="683"/>
      <c r="B307" s="403" t="s">
        <v>271</v>
      </c>
      <c r="C307" s="354"/>
      <c r="D307" s="350"/>
      <c r="E307" s="350"/>
      <c r="F307" s="350"/>
      <c r="G307" s="350"/>
      <c r="H307" s="351"/>
      <c r="I307" s="351"/>
      <c r="J307" s="351"/>
      <c r="K307" s="352">
        <v>0</v>
      </c>
      <c r="L307" s="353" t="s">
        <v>81</v>
      </c>
      <c r="M307" s="8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</row>
    <row r="308" spans="1:106" x14ac:dyDescent="0.35">
      <c r="A308" s="683"/>
      <c r="B308" s="403" t="s">
        <v>272</v>
      </c>
      <c r="C308" s="354"/>
      <c r="D308" s="350"/>
      <c r="E308" s="350"/>
      <c r="F308" s="350"/>
      <c r="G308" s="350"/>
      <c r="H308" s="351"/>
      <c r="I308" s="351"/>
      <c r="J308" s="351"/>
      <c r="K308" s="352">
        <v>0</v>
      </c>
      <c r="L308" s="353" t="s">
        <v>81</v>
      </c>
      <c r="M308" s="8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</row>
    <row r="309" spans="1:106" ht="15" thickBot="1" x14ac:dyDescent="0.4">
      <c r="A309" s="683"/>
      <c r="B309" s="404" t="s">
        <v>273</v>
      </c>
      <c r="C309" s="354"/>
      <c r="D309" s="350"/>
      <c r="E309" s="350"/>
      <c r="F309" s="350"/>
      <c r="G309" s="350"/>
      <c r="H309" s="351"/>
      <c r="I309" s="351"/>
      <c r="J309" s="351"/>
      <c r="K309" s="352">
        <v>0</v>
      </c>
      <c r="L309" s="353" t="s">
        <v>81</v>
      </c>
      <c r="M309" s="8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</row>
    <row r="310" spans="1:106" x14ac:dyDescent="0.35">
      <c r="A310" s="2"/>
      <c r="B310" s="161"/>
      <c r="C310" s="161"/>
      <c r="D310" s="162"/>
      <c r="E310" s="162"/>
      <c r="F310" s="162"/>
      <c r="G310" s="162"/>
      <c r="H310" s="162"/>
      <c r="I310" s="162"/>
      <c r="J310" s="162"/>
      <c r="K310" s="163"/>
      <c r="L310" s="16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1:106" x14ac:dyDescent="0.35">
      <c r="A311" s="2"/>
      <c r="B311" s="161"/>
      <c r="C311" s="161"/>
      <c r="D311" s="162"/>
      <c r="E311" s="162"/>
      <c r="F311" s="162"/>
      <c r="G311" s="162"/>
      <c r="H311" s="162"/>
      <c r="I311" s="162"/>
      <c r="J311" s="162"/>
      <c r="K311" s="163"/>
      <c r="L311" s="16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1:106" x14ac:dyDescent="0.35">
      <c r="A312" s="683" t="s">
        <v>362</v>
      </c>
      <c r="B312" s="165" t="s">
        <v>254</v>
      </c>
      <c r="C312" s="166" t="s">
        <v>184</v>
      </c>
      <c r="D312" s="167" t="s">
        <v>187</v>
      </c>
      <c r="E312" s="168" t="s">
        <v>185</v>
      </c>
      <c r="F312" s="167" t="s">
        <v>186</v>
      </c>
      <c r="G312" s="168" t="s">
        <v>188</v>
      </c>
      <c r="H312" s="170" t="s">
        <v>189</v>
      </c>
      <c r="I312" s="167" t="s">
        <v>191</v>
      </c>
      <c r="J312" s="171" t="s">
        <v>192</v>
      </c>
      <c r="K312" s="172" t="s">
        <v>5</v>
      </c>
      <c r="L312" s="173" t="s">
        <v>190</v>
      </c>
      <c r="M312" s="8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1:106" x14ac:dyDescent="0.35">
      <c r="A313" s="683"/>
      <c r="B313" s="383" t="s">
        <v>537</v>
      </c>
      <c r="C313" s="384" t="s">
        <v>692</v>
      </c>
      <c r="D313" s="385">
        <v>20</v>
      </c>
      <c r="E313" s="385">
        <v>2.2799999999999998</v>
      </c>
      <c r="F313" s="385">
        <v>19</v>
      </c>
      <c r="G313" s="385">
        <v>1.69</v>
      </c>
      <c r="H313" s="385" t="s">
        <v>143</v>
      </c>
      <c r="I313" s="385" t="s">
        <v>19</v>
      </c>
      <c r="J313" s="385" t="s">
        <v>19</v>
      </c>
      <c r="K313" s="386">
        <v>5.5130999999999997</v>
      </c>
      <c r="L313" s="387">
        <v>3.4463369066405704E-4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1:106" x14ac:dyDescent="0.35">
      <c r="A314" s="683"/>
      <c r="B314" s="383" t="s">
        <v>550</v>
      </c>
      <c r="C314" s="384" t="s">
        <v>693</v>
      </c>
      <c r="D314" s="385">
        <v>17.600000000000001</v>
      </c>
      <c r="E314" s="385">
        <v>2.2599999999999998</v>
      </c>
      <c r="F314" s="385">
        <v>17.3</v>
      </c>
      <c r="G314" s="385">
        <v>1.64</v>
      </c>
      <c r="H314" s="385" t="s">
        <v>143</v>
      </c>
      <c r="I314" s="385" t="s">
        <v>19</v>
      </c>
      <c r="J314" s="385" t="s">
        <v>19</v>
      </c>
      <c r="K314" s="386">
        <v>5.4467999999999988</v>
      </c>
      <c r="L314" s="387">
        <v>1.2521113314239727E-2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1:106" x14ac:dyDescent="0.35">
      <c r="A315" s="683"/>
      <c r="B315" s="383" t="s">
        <v>517</v>
      </c>
      <c r="C315" s="384" t="s">
        <v>694</v>
      </c>
      <c r="D315" s="385">
        <v>15</v>
      </c>
      <c r="E315" s="385">
        <v>2.2799999999999998</v>
      </c>
      <c r="F315" s="385">
        <v>17</v>
      </c>
      <c r="G315" s="385">
        <v>1.42</v>
      </c>
      <c r="H315" s="385" t="s">
        <v>143</v>
      </c>
      <c r="I315" s="385" t="s">
        <v>19</v>
      </c>
      <c r="J315" s="385" t="s">
        <v>19</v>
      </c>
      <c r="K315" s="386">
        <v>5.3753999999999991</v>
      </c>
      <c r="L315" s="387">
        <v>2.5970160360159363E-2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1:106" x14ac:dyDescent="0.35">
      <c r="A316" s="683"/>
      <c r="B316" s="383" t="s">
        <v>531</v>
      </c>
      <c r="C316" s="384" t="s">
        <v>695</v>
      </c>
      <c r="D316" s="385">
        <v>20</v>
      </c>
      <c r="E316" s="385">
        <v>2.21</v>
      </c>
      <c r="F316" s="385">
        <v>20</v>
      </c>
      <c r="G316" s="385">
        <v>1.57</v>
      </c>
      <c r="H316" s="385" t="s">
        <v>143</v>
      </c>
      <c r="I316" s="385" t="s">
        <v>518</v>
      </c>
      <c r="J316" s="385" t="s">
        <v>19</v>
      </c>
      <c r="K316" s="386">
        <v>5.309099999999999</v>
      </c>
      <c r="L316" s="387">
        <v>3.8782467838240131E-2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</row>
    <row r="317" spans="1:106" x14ac:dyDescent="0.35">
      <c r="A317" s="683"/>
      <c r="B317" s="383" t="s">
        <v>540</v>
      </c>
      <c r="C317" s="384" t="s">
        <v>696</v>
      </c>
      <c r="D317" s="385">
        <v>20</v>
      </c>
      <c r="E317" s="385">
        <v>2.19</v>
      </c>
      <c r="F317" s="385">
        <v>20</v>
      </c>
      <c r="G317" s="385">
        <v>1.55</v>
      </c>
      <c r="H317" s="385" t="s">
        <v>143</v>
      </c>
      <c r="I317" s="385" t="s">
        <v>518</v>
      </c>
      <c r="J317" s="385" t="s">
        <v>19</v>
      </c>
      <c r="K317" s="386">
        <v>5.2581000000000007</v>
      </c>
      <c r="L317" s="387">
        <v>4.8857952492344953E-2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</row>
    <row r="318" spans="1:106" x14ac:dyDescent="0.35">
      <c r="A318" s="683"/>
      <c r="B318" s="383" t="s">
        <v>517</v>
      </c>
      <c r="C318" s="384" t="s">
        <v>697</v>
      </c>
      <c r="D318" s="385">
        <v>22</v>
      </c>
      <c r="E318" s="385">
        <v>2.0499999999999998</v>
      </c>
      <c r="F318" s="385">
        <v>18</v>
      </c>
      <c r="G318" s="385">
        <v>1.82</v>
      </c>
      <c r="H318" s="385" t="s">
        <v>143</v>
      </c>
      <c r="I318" s="385" t="s">
        <v>19</v>
      </c>
      <c r="J318" s="385" t="s">
        <v>19</v>
      </c>
      <c r="K318" s="386">
        <v>5.1101999999999999</v>
      </c>
      <c r="L318" s="387">
        <v>7.9214120778051705E-2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1:106" x14ac:dyDescent="0.35">
      <c r="A319" s="683"/>
      <c r="B319" s="383" t="s">
        <v>698</v>
      </c>
      <c r="C319" s="384" t="s">
        <v>699</v>
      </c>
      <c r="D319" s="385">
        <v>22.92</v>
      </c>
      <c r="E319" s="385">
        <v>2.121</v>
      </c>
      <c r="F319" s="385">
        <v>18.34</v>
      </c>
      <c r="G319" s="385">
        <v>1.427</v>
      </c>
      <c r="H319" s="385" t="s">
        <v>363</v>
      </c>
      <c r="I319" s="385" t="s">
        <v>19</v>
      </c>
      <c r="J319" s="385" t="s">
        <v>19</v>
      </c>
      <c r="K319" s="386">
        <v>5.0546100000000003</v>
      </c>
      <c r="L319" s="387">
        <v>9.1083189405315026E-2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1:106" x14ac:dyDescent="0.35">
      <c r="A320" s="683"/>
      <c r="B320" s="383" t="s">
        <v>183</v>
      </c>
      <c r="C320" s="384" t="s">
        <v>700</v>
      </c>
      <c r="D320" s="385">
        <v>20</v>
      </c>
      <c r="E320" s="385">
        <v>2.06</v>
      </c>
      <c r="F320" s="385">
        <v>19</v>
      </c>
      <c r="G320" s="385">
        <v>1.55</v>
      </c>
      <c r="H320" s="385" t="s">
        <v>143</v>
      </c>
      <c r="I320" s="385" t="s">
        <v>19</v>
      </c>
      <c r="J320" s="385" t="s">
        <v>19</v>
      </c>
      <c r="K320" s="386">
        <v>4.9929000000000006</v>
      </c>
      <c r="L320" s="387">
        <v>0.1045684872518975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1:50" x14ac:dyDescent="0.35">
      <c r="A321" s="683"/>
      <c r="B321" s="383" t="s">
        <v>611</v>
      </c>
      <c r="C321" s="384" t="s">
        <v>701</v>
      </c>
      <c r="D321" s="385">
        <v>20</v>
      </c>
      <c r="E321" s="385">
        <v>2.06</v>
      </c>
      <c r="F321" s="385">
        <v>20</v>
      </c>
      <c r="G321" s="385">
        <v>1.55</v>
      </c>
      <c r="H321" s="385" t="s">
        <v>139</v>
      </c>
      <c r="I321" s="385" t="s">
        <v>19</v>
      </c>
      <c r="J321" s="385" t="s">
        <v>19</v>
      </c>
      <c r="K321" s="386">
        <v>4.9929000000000006</v>
      </c>
      <c r="L321" s="387">
        <v>0.1045684872518975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1:50" x14ac:dyDescent="0.35">
      <c r="A322" s="683"/>
      <c r="B322" s="383" t="s">
        <v>173</v>
      </c>
      <c r="C322" s="384" t="s">
        <v>702</v>
      </c>
      <c r="D322" s="385">
        <v>16.75</v>
      </c>
      <c r="E322" s="385">
        <v>2.0659999999999998</v>
      </c>
      <c r="F322" s="385">
        <v>15.09</v>
      </c>
      <c r="G322" s="385">
        <v>1.488</v>
      </c>
      <c r="H322" s="385" t="s">
        <v>139</v>
      </c>
      <c r="I322" s="385" t="s">
        <v>19</v>
      </c>
      <c r="J322" s="385" t="s">
        <v>518</v>
      </c>
      <c r="K322" s="386">
        <v>4.9735199999999997</v>
      </c>
      <c r="L322" s="387">
        <v>0.10887258923257571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1:50" x14ac:dyDescent="0.35">
      <c r="A323" s="683"/>
      <c r="B323" s="383" t="s">
        <v>703</v>
      </c>
      <c r="C323" s="384" t="s">
        <v>704</v>
      </c>
      <c r="D323" s="385">
        <v>18.3</v>
      </c>
      <c r="E323" s="385">
        <v>2.06</v>
      </c>
      <c r="F323" s="385">
        <v>16.75</v>
      </c>
      <c r="G323" s="385">
        <v>1.49</v>
      </c>
      <c r="H323" s="385" t="s">
        <v>153</v>
      </c>
      <c r="I323" s="385" t="s">
        <v>19</v>
      </c>
      <c r="J323" s="385" t="s">
        <v>19</v>
      </c>
      <c r="K323" s="386">
        <v>4.9622999999999999</v>
      </c>
      <c r="L323" s="387">
        <v>0.11137980372004912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1:50" x14ac:dyDescent="0.35">
      <c r="A324" s="683"/>
      <c r="B324" s="383" t="s">
        <v>586</v>
      </c>
      <c r="C324" s="384" t="s">
        <v>705</v>
      </c>
      <c r="D324" s="385">
        <v>19</v>
      </c>
      <c r="E324" s="385">
        <v>2.06</v>
      </c>
      <c r="F324" s="385">
        <v>18</v>
      </c>
      <c r="G324" s="385">
        <v>1.49</v>
      </c>
      <c r="H324" s="385" t="s">
        <v>143</v>
      </c>
      <c r="I324" s="385" t="s">
        <v>19</v>
      </c>
      <c r="J324" s="385" t="s">
        <v>19</v>
      </c>
      <c r="K324" s="386">
        <v>4.9622999999999999</v>
      </c>
      <c r="L324" s="387">
        <v>0.11137980372004912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</row>
    <row r="325" spans="1:50" x14ac:dyDescent="0.35">
      <c r="A325" s="683"/>
      <c r="B325" s="403" t="s">
        <v>271</v>
      </c>
      <c r="C325" s="384"/>
      <c r="D325" s="385"/>
      <c r="E325" s="385"/>
      <c r="F325" s="385"/>
      <c r="G325" s="385"/>
      <c r="H325" s="385"/>
      <c r="I325" s="385"/>
      <c r="J325" s="385"/>
      <c r="K325" s="386">
        <v>0</v>
      </c>
      <c r="L325" s="387" t="s">
        <v>81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</row>
    <row r="326" spans="1:50" x14ac:dyDescent="0.35">
      <c r="A326" s="683"/>
      <c r="B326" s="403" t="s">
        <v>272</v>
      </c>
      <c r="C326" s="354"/>
      <c r="D326" s="350"/>
      <c r="E326" s="350"/>
      <c r="F326" s="350"/>
      <c r="G326" s="350"/>
      <c r="H326" s="351"/>
      <c r="I326" s="351"/>
      <c r="J326" s="351"/>
      <c r="K326" s="352">
        <v>0</v>
      </c>
      <c r="L326" s="353" t="s">
        <v>81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</row>
    <row r="327" spans="1:50" ht="15" thickBot="1" x14ac:dyDescent="0.4">
      <c r="A327" s="683"/>
      <c r="B327" s="404" t="s">
        <v>273</v>
      </c>
      <c r="C327" s="354"/>
      <c r="D327" s="350"/>
      <c r="E327" s="350"/>
      <c r="F327" s="350"/>
      <c r="G327" s="350"/>
      <c r="H327" s="351"/>
      <c r="I327" s="351"/>
      <c r="J327" s="351"/>
      <c r="K327" s="352">
        <v>0</v>
      </c>
      <c r="L327" s="353" t="s">
        <v>81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</row>
    <row r="328" spans="1:5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</row>
    <row r="329" spans="1:5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</row>
    <row r="330" spans="1:50" x14ac:dyDescent="0.35">
      <c r="A330" s="683" t="s">
        <v>365</v>
      </c>
      <c r="B330" s="165" t="s">
        <v>254</v>
      </c>
      <c r="C330" s="166" t="s">
        <v>184</v>
      </c>
      <c r="D330" s="167" t="s">
        <v>187</v>
      </c>
      <c r="E330" s="168" t="s">
        <v>185</v>
      </c>
      <c r="F330" s="167" t="s">
        <v>186</v>
      </c>
      <c r="G330" s="168" t="s">
        <v>188</v>
      </c>
      <c r="H330" s="170" t="s">
        <v>189</v>
      </c>
      <c r="I330" s="167" t="s">
        <v>191</v>
      </c>
      <c r="J330" s="171" t="s">
        <v>192</v>
      </c>
      <c r="K330" s="172" t="s">
        <v>5</v>
      </c>
      <c r="L330" s="173" t="s">
        <v>190</v>
      </c>
      <c r="M330" s="8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</row>
    <row r="331" spans="1:50" ht="15.5" x14ac:dyDescent="0.35">
      <c r="A331" s="683"/>
      <c r="B331" s="383" t="s">
        <v>537</v>
      </c>
      <c r="C331" s="384" t="s">
        <v>706</v>
      </c>
      <c r="D331" s="385">
        <v>26.1</v>
      </c>
      <c r="E331" s="385">
        <v>2.21</v>
      </c>
      <c r="F331" s="385">
        <v>24</v>
      </c>
      <c r="G331" s="385">
        <v>1.69</v>
      </c>
      <c r="H331" s="385" t="s">
        <v>143</v>
      </c>
      <c r="I331" s="385" t="s">
        <v>19</v>
      </c>
      <c r="J331" s="385" t="s">
        <v>19</v>
      </c>
      <c r="K331" s="386">
        <v>5.2649999999999997</v>
      </c>
      <c r="L331" s="406">
        <v>3.7986704653384008E-4</v>
      </c>
      <c r="M331" s="40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</row>
    <row r="332" spans="1:50" ht="15.5" x14ac:dyDescent="0.35">
      <c r="A332" s="683"/>
      <c r="B332" s="383" t="s">
        <v>158</v>
      </c>
      <c r="C332" s="384" t="s">
        <v>707</v>
      </c>
      <c r="D332" s="385">
        <v>21</v>
      </c>
      <c r="E332" s="385">
        <v>2.0699999999999998</v>
      </c>
      <c r="F332" s="385">
        <v>21</v>
      </c>
      <c r="G332" s="385">
        <v>1.59</v>
      </c>
      <c r="H332" s="385" t="s">
        <v>143</v>
      </c>
      <c r="I332" s="385" t="s">
        <v>19</v>
      </c>
      <c r="J332" s="385" t="s">
        <v>19</v>
      </c>
      <c r="K332" s="386">
        <v>4.9349999999999996</v>
      </c>
      <c r="L332" s="406">
        <v>6.7274569402229131E-2</v>
      </c>
      <c r="M332" s="40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</row>
    <row r="333" spans="1:50" ht="15.5" x14ac:dyDescent="0.35">
      <c r="A333" s="683"/>
      <c r="B333" s="383" t="s">
        <v>538</v>
      </c>
      <c r="C333" s="384" t="s">
        <v>196</v>
      </c>
      <c r="D333" s="385">
        <v>21</v>
      </c>
      <c r="E333" s="385">
        <v>2.0699999999999998</v>
      </c>
      <c r="F333" s="385">
        <v>21</v>
      </c>
      <c r="G333" s="385">
        <v>1.59</v>
      </c>
      <c r="H333" s="385" t="s">
        <v>143</v>
      </c>
      <c r="I333" s="385" t="s">
        <v>19</v>
      </c>
      <c r="J333" s="385" t="s">
        <v>19</v>
      </c>
      <c r="K333" s="386">
        <v>4.9349999999999996</v>
      </c>
      <c r="L333" s="406">
        <v>6.7274569402229131E-2</v>
      </c>
      <c r="M333" s="40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</row>
    <row r="334" spans="1:50" ht="15.5" x14ac:dyDescent="0.35">
      <c r="A334" s="683"/>
      <c r="B334" s="383" t="s">
        <v>183</v>
      </c>
      <c r="C334" s="384" t="s">
        <v>708</v>
      </c>
      <c r="D334" s="385">
        <v>25.73</v>
      </c>
      <c r="E334" s="385">
        <v>2.06</v>
      </c>
      <c r="F334" s="385">
        <v>24.21</v>
      </c>
      <c r="G334" s="385">
        <v>1.55</v>
      </c>
      <c r="H334" s="385" t="s">
        <v>143</v>
      </c>
      <c r="I334" s="385" t="s">
        <v>19</v>
      </c>
      <c r="J334" s="385" t="s">
        <v>19</v>
      </c>
      <c r="K334" s="386">
        <v>4.8950000000000005</v>
      </c>
      <c r="L334" s="406">
        <v>7.599591419816136E-2</v>
      </c>
      <c r="M334" s="40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</row>
    <row r="335" spans="1:50" ht="15.5" x14ac:dyDescent="0.35">
      <c r="A335" s="683"/>
      <c r="B335" s="383" t="s">
        <v>586</v>
      </c>
      <c r="C335" s="384" t="s">
        <v>709</v>
      </c>
      <c r="D335" s="385">
        <v>22</v>
      </c>
      <c r="E335" s="385">
        <v>2.06</v>
      </c>
      <c r="F335" s="385">
        <v>20</v>
      </c>
      <c r="G335" s="385">
        <v>1.43</v>
      </c>
      <c r="H335" s="385" t="s">
        <v>143</v>
      </c>
      <c r="I335" s="385" t="s">
        <v>19</v>
      </c>
      <c r="J335" s="385" t="s">
        <v>19</v>
      </c>
      <c r="K335" s="386">
        <v>4.8350000000000009</v>
      </c>
      <c r="L335" s="406">
        <v>8.9348500517062959E-2</v>
      </c>
      <c r="M335" s="40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</row>
    <row r="336" spans="1:50" ht="15.5" x14ac:dyDescent="0.35">
      <c r="A336" s="683"/>
      <c r="B336" s="383" t="s">
        <v>710</v>
      </c>
      <c r="C336" s="384" t="s">
        <v>711</v>
      </c>
      <c r="D336" s="385">
        <v>26</v>
      </c>
      <c r="E336" s="385">
        <v>2.02</v>
      </c>
      <c r="F336" s="385">
        <v>23</v>
      </c>
      <c r="G336" s="385">
        <v>1.56</v>
      </c>
      <c r="H336" s="385" t="s">
        <v>139</v>
      </c>
      <c r="I336" s="385" t="s">
        <v>19</v>
      </c>
      <c r="J336" s="385" t="s">
        <v>19</v>
      </c>
      <c r="K336" s="386">
        <v>4.82</v>
      </c>
      <c r="L336" s="406">
        <v>9.2738589211618261E-2</v>
      </c>
      <c r="M336" s="40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</row>
    <row r="337" spans="1:50" ht="15.5" x14ac:dyDescent="0.35">
      <c r="A337" s="683"/>
      <c r="B337" s="383" t="s">
        <v>168</v>
      </c>
      <c r="C337" s="384" t="s">
        <v>364</v>
      </c>
      <c r="D337" s="385">
        <v>22</v>
      </c>
      <c r="E337" s="385">
        <v>2.032</v>
      </c>
      <c r="F337" s="385">
        <v>22</v>
      </c>
      <c r="G337" s="385">
        <v>1.4810000000000001</v>
      </c>
      <c r="H337" s="385" t="s">
        <v>143</v>
      </c>
      <c r="I337" s="385" t="s">
        <v>19</v>
      </c>
      <c r="J337" s="385" t="s">
        <v>19</v>
      </c>
      <c r="K337" s="386">
        <v>4.8045000000000009</v>
      </c>
      <c r="L337" s="406">
        <v>9.6263919242376816E-2</v>
      </c>
      <c r="M337" s="40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</row>
    <row r="338" spans="1:50" ht="15.5" x14ac:dyDescent="0.35">
      <c r="A338" s="683"/>
      <c r="B338" s="383" t="s">
        <v>703</v>
      </c>
      <c r="C338" s="384" t="s">
        <v>712</v>
      </c>
      <c r="D338" s="385">
        <v>22.3</v>
      </c>
      <c r="E338" s="385">
        <v>2.0299999999999998</v>
      </c>
      <c r="F338" s="385">
        <v>20.7</v>
      </c>
      <c r="G338" s="385">
        <v>1.44</v>
      </c>
      <c r="H338" s="385" t="s">
        <v>153</v>
      </c>
      <c r="I338" s="385" t="s">
        <v>19</v>
      </c>
      <c r="J338" s="385" t="s">
        <v>19</v>
      </c>
      <c r="K338" s="386">
        <v>4.7799999999999994</v>
      </c>
      <c r="L338" s="406">
        <v>0.10188284518828473</v>
      </c>
      <c r="M338" s="40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</row>
    <row r="339" spans="1:50" ht="15.5" x14ac:dyDescent="0.35">
      <c r="A339" s="683"/>
      <c r="B339" s="383" t="s">
        <v>412</v>
      </c>
      <c r="C339" s="384" t="s">
        <v>469</v>
      </c>
      <c r="D339" s="385">
        <v>25</v>
      </c>
      <c r="E339" s="385">
        <v>2</v>
      </c>
      <c r="F339" s="385">
        <v>25</v>
      </c>
      <c r="G339" s="385">
        <v>1.5</v>
      </c>
      <c r="H339" s="385" t="s">
        <v>143</v>
      </c>
      <c r="I339" s="385" t="s">
        <v>19</v>
      </c>
      <c r="J339" s="385" t="s">
        <v>19</v>
      </c>
      <c r="K339" s="386">
        <v>4.75</v>
      </c>
      <c r="L339" s="406">
        <v>0.10884210526315796</v>
      </c>
      <c r="M339" s="40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</row>
    <row r="340" spans="1:50" ht="15.5" x14ac:dyDescent="0.35">
      <c r="A340" s="683"/>
      <c r="B340" s="383" t="s">
        <v>175</v>
      </c>
      <c r="C340" s="384" t="s">
        <v>713</v>
      </c>
      <c r="D340" s="385">
        <v>25</v>
      </c>
      <c r="E340" s="385">
        <v>2</v>
      </c>
      <c r="F340" s="385">
        <v>25</v>
      </c>
      <c r="G340" s="385">
        <v>1.5</v>
      </c>
      <c r="H340" s="385" t="s">
        <v>143</v>
      </c>
      <c r="I340" s="385" t="s">
        <v>19</v>
      </c>
      <c r="J340" s="385" t="s">
        <v>19</v>
      </c>
      <c r="K340" s="386">
        <v>4.75</v>
      </c>
      <c r="L340" s="406">
        <v>0.10884210526315796</v>
      </c>
      <c r="M340" s="40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</row>
    <row r="341" spans="1:50" ht="15.5" x14ac:dyDescent="0.35">
      <c r="A341" s="683"/>
      <c r="B341" s="383" t="s">
        <v>571</v>
      </c>
      <c r="C341" s="384" t="s">
        <v>714</v>
      </c>
      <c r="D341" s="385">
        <v>24</v>
      </c>
      <c r="E341" s="385">
        <v>2.0099999999999998</v>
      </c>
      <c r="F341" s="385">
        <v>22</v>
      </c>
      <c r="G341" s="385">
        <v>1.42</v>
      </c>
      <c r="H341" s="385" t="s">
        <v>143</v>
      </c>
      <c r="I341" s="385" t="s">
        <v>19</v>
      </c>
      <c r="J341" s="385" t="s">
        <v>19</v>
      </c>
      <c r="K341" s="386">
        <v>4.7299999999999995</v>
      </c>
      <c r="L341" s="406">
        <v>0.11353065539112069</v>
      </c>
      <c r="M341" s="40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</row>
    <row r="342" spans="1:50" ht="15.5" x14ac:dyDescent="0.35">
      <c r="A342" s="683"/>
      <c r="B342" s="383" t="s">
        <v>571</v>
      </c>
      <c r="C342" s="384" t="s">
        <v>715</v>
      </c>
      <c r="D342" s="385">
        <v>23</v>
      </c>
      <c r="E342" s="385">
        <v>1.96</v>
      </c>
      <c r="F342" s="385">
        <v>23</v>
      </c>
      <c r="G342" s="385">
        <v>1.54</v>
      </c>
      <c r="H342" s="385" t="s">
        <v>143</v>
      </c>
      <c r="I342" s="385" t="s">
        <v>19</v>
      </c>
      <c r="J342" s="385" t="s">
        <v>19</v>
      </c>
      <c r="K342" s="386">
        <v>4.6900000000000004</v>
      </c>
      <c r="L342" s="406">
        <v>0.12302771855010659</v>
      </c>
      <c r="M342" s="40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</row>
    <row r="343" spans="1:50" ht="15.5" x14ac:dyDescent="0.35">
      <c r="A343" s="683"/>
      <c r="B343" s="402" t="s">
        <v>271</v>
      </c>
      <c r="C343" s="354"/>
      <c r="D343" s="350"/>
      <c r="E343" s="350"/>
      <c r="F343" s="350"/>
      <c r="G343" s="350"/>
      <c r="H343" s="351"/>
      <c r="I343" s="351"/>
      <c r="J343" s="351"/>
      <c r="K343" s="352">
        <v>0</v>
      </c>
      <c r="L343" s="406" t="s">
        <v>81</v>
      </c>
      <c r="M343" s="40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</row>
    <row r="344" spans="1:50" ht="15.5" x14ac:dyDescent="0.35">
      <c r="A344" s="683"/>
      <c r="B344" s="402" t="s">
        <v>272</v>
      </c>
      <c r="C344" s="354"/>
      <c r="D344" s="350"/>
      <c r="E344" s="350"/>
      <c r="F344" s="350"/>
      <c r="G344" s="350"/>
      <c r="H344" s="351"/>
      <c r="I344" s="351"/>
      <c r="J344" s="351"/>
      <c r="K344" s="352">
        <v>0</v>
      </c>
      <c r="L344" s="406" t="s">
        <v>81</v>
      </c>
      <c r="M344" s="40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</row>
    <row r="345" spans="1:50" ht="15.5" x14ac:dyDescent="0.35">
      <c r="A345" s="683"/>
      <c r="B345" s="390" t="s">
        <v>273</v>
      </c>
      <c r="C345" s="354"/>
      <c r="D345" s="350"/>
      <c r="E345" s="350"/>
      <c r="F345" s="350"/>
      <c r="G345" s="350"/>
      <c r="H345" s="351"/>
      <c r="I345" s="351"/>
      <c r="J345" s="351"/>
      <c r="K345" s="352">
        <v>0</v>
      </c>
      <c r="L345" s="406" t="s">
        <v>81</v>
      </c>
      <c r="M345" s="40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</row>
    <row r="346" spans="1:5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</row>
    <row r="347" spans="1:5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8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</row>
    <row r="348" spans="1:50" x14ac:dyDescent="0.35">
      <c r="A348" s="683" t="s">
        <v>366</v>
      </c>
      <c r="B348" s="165" t="s">
        <v>254</v>
      </c>
      <c r="C348" s="166" t="s">
        <v>184</v>
      </c>
      <c r="D348" s="167" t="s">
        <v>187</v>
      </c>
      <c r="E348" s="168" t="s">
        <v>185</v>
      </c>
      <c r="F348" s="167" t="s">
        <v>186</v>
      </c>
      <c r="G348" s="168" t="s">
        <v>188</v>
      </c>
      <c r="H348" s="170" t="s">
        <v>189</v>
      </c>
      <c r="I348" s="167" t="s">
        <v>191</v>
      </c>
      <c r="J348" s="171" t="s">
        <v>192</v>
      </c>
      <c r="K348" s="172" t="s">
        <v>5</v>
      </c>
      <c r="L348" s="173" t="s">
        <v>190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</row>
    <row r="349" spans="1:50" x14ac:dyDescent="0.35">
      <c r="A349" s="683"/>
      <c r="B349" s="383" t="s">
        <v>517</v>
      </c>
      <c r="C349" s="384" t="s">
        <v>716</v>
      </c>
      <c r="D349" s="385">
        <v>30</v>
      </c>
      <c r="E349" s="385">
        <v>2.2799999999999998</v>
      </c>
      <c r="F349" s="385">
        <v>34</v>
      </c>
      <c r="G349" s="385">
        <v>1.42</v>
      </c>
      <c r="H349" s="385" t="s">
        <v>143</v>
      </c>
      <c r="I349" s="385" t="s">
        <v>19</v>
      </c>
      <c r="J349" s="385" t="s">
        <v>19</v>
      </c>
      <c r="K349" s="386">
        <v>5.27</v>
      </c>
      <c r="L349" s="387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</row>
    <row r="350" spans="1:50" x14ac:dyDescent="0.35">
      <c r="A350" s="683"/>
      <c r="B350" s="383" t="s">
        <v>524</v>
      </c>
      <c r="C350" s="384" t="s">
        <v>368</v>
      </c>
      <c r="D350" s="385">
        <v>33</v>
      </c>
      <c r="E350" s="385">
        <v>2.1800000000000002</v>
      </c>
      <c r="F350" s="385">
        <v>31</v>
      </c>
      <c r="G350" s="385">
        <v>1.63</v>
      </c>
      <c r="H350" s="385" t="s">
        <v>143</v>
      </c>
      <c r="I350" s="385" t="s">
        <v>19</v>
      </c>
      <c r="J350" s="385" t="s">
        <v>19</v>
      </c>
      <c r="K350" s="386">
        <v>5.1750000000000007</v>
      </c>
      <c r="L350" s="387">
        <v>1.8357487922705092E-2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</row>
    <row r="351" spans="1:50" x14ac:dyDescent="0.35">
      <c r="A351" s="683"/>
      <c r="B351" s="383" t="s">
        <v>537</v>
      </c>
      <c r="C351" s="384" t="s">
        <v>717</v>
      </c>
      <c r="D351" s="385">
        <v>35</v>
      </c>
      <c r="E351" s="385">
        <v>2.16</v>
      </c>
      <c r="F351" s="385">
        <v>33.1</v>
      </c>
      <c r="G351" s="385">
        <v>1.71</v>
      </c>
      <c r="H351" s="385" t="s">
        <v>143</v>
      </c>
      <c r="I351" s="385" t="s">
        <v>19</v>
      </c>
      <c r="J351" s="385" t="s">
        <v>19</v>
      </c>
      <c r="K351" s="386">
        <v>5.1750000000000007</v>
      </c>
      <c r="L351" s="387">
        <v>1.8357487922705092E-2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</row>
    <row r="352" spans="1:50" x14ac:dyDescent="0.35">
      <c r="A352" s="683"/>
      <c r="B352" s="383" t="s">
        <v>540</v>
      </c>
      <c r="C352" s="384" t="s">
        <v>718</v>
      </c>
      <c r="D352" s="385">
        <v>30</v>
      </c>
      <c r="E352" s="385">
        <v>2.12</v>
      </c>
      <c r="F352" s="385">
        <v>30</v>
      </c>
      <c r="G352" s="385">
        <v>1.69</v>
      </c>
      <c r="H352" s="385" t="s">
        <v>143</v>
      </c>
      <c r="I352" s="385" t="s">
        <v>19</v>
      </c>
      <c r="J352" s="385" t="s">
        <v>19</v>
      </c>
      <c r="K352" s="386">
        <v>5.0850000000000009</v>
      </c>
      <c r="L352" s="387">
        <v>3.6381514257620193E-2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</row>
    <row r="353" spans="1:50" x14ac:dyDescent="0.35">
      <c r="A353" s="683"/>
      <c r="B353" s="383" t="s">
        <v>630</v>
      </c>
      <c r="C353" s="384" t="s">
        <v>719</v>
      </c>
      <c r="D353" s="385">
        <v>33</v>
      </c>
      <c r="E353" s="385">
        <v>2.14</v>
      </c>
      <c r="F353" s="385">
        <v>31</v>
      </c>
      <c r="G353" s="385">
        <v>1.59</v>
      </c>
      <c r="H353" s="385" t="s">
        <v>143</v>
      </c>
      <c r="I353" s="385" t="s">
        <v>19</v>
      </c>
      <c r="J353" s="385" t="s">
        <v>19</v>
      </c>
      <c r="K353" s="386">
        <v>5.0750000000000011</v>
      </c>
      <c r="L353" s="387">
        <v>3.8423645320196743E-2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</row>
    <row r="354" spans="1:50" x14ac:dyDescent="0.35">
      <c r="A354" s="683"/>
      <c r="B354" s="383" t="s">
        <v>524</v>
      </c>
      <c r="C354" s="384" t="s">
        <v>367</v>
      </c>
      <c r="D354" s="385">
        <v>33.28</v>
      </c>
      <c r="E354" s="385">
        <v>2.14</v>
      </c>
      <c r="F354" s="385">
        <v>31.13</v>
      </c>
      <c r="G354" s="385">
        <v>1.59</v>
      </c>
      <c r="H354" s="385" t="s">
        <v>143</v>
      </c>
      <c r="I354" s="385" t="s">
        <v>19</v>
      </c>
      <c r="J354" s="385" t="s">
        <v>19</v>
      </c>
      <c r="K354" s="386">
        <v>5.0750000000000011</v>
      </c>
      <c r="L354" s="387">
        <v>3.8423645320196743E-2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</row>
    <row r="355" spans="1:50" x14ac:dyDescent="0.35">
      <c r="A355" s="683"/>
      <c r="B355" s="383" t="s">
        <v>720</v>
      </c>
      <c r="C355" s="384" t="s">
        <v>721</v>
      </c>
      <c r="D355" s="385">
        <v>31.6</v>
      </c>
      <c r="E355" s="385">
        <v>2.1059999999999999</v>
      </c>
      <c r="F355" s="385">
        <v>29.7</v>
      </c>
      <c r="G355" s="385">
        <v>1.671</v>
      </c>
      <c r="H355" s="385" t="s">
        <v>139</v>
      </c>
      <c r="I355" s="385" t="s">
        <v>19</v>
      </c>
      <c r="J355" s="385" t="s">
        <v>19</v>
      </c>
      <c r="K355" s="386">
        <v>5.0475000000000003</v>
      </c>
      <c r="L355" s="387">
        <v>4.408122833085671E-2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</row>
    <row r="356" spans="1:50" x14ac:dyDescent="0.35">
      <c r="A356" s="683"/>
      <c r="B356" s="383" t="s">
        <v>158</v>
      </c>
      <c r="C356" s="384" t="s">
        <v>195</v>
      </c>
      <c r="D356" s="385">
        <v>28</v>
      </c>
      <c r="E356" s="385">
        <v>2.08</v>
      </c>
      <c r="F356" s="385">
        <v>28</v>
      </c>
      <c r="G356" s="385">
        <v>1.58</v>
      </c>
      <c r="H356" s="385" t="s">
        <v>143</v>
      </c>
      <c r="I356" s="385" t="s">
        <v>19</v>
      </c>
      <c r="J356" s="385" t="s">
        <v>19</v>
      </c>
      <c r="K356" s="386">
        <v>4.95</v>
      </c>
      <c r="L356" s="387">
        <v>6.4646464646464522E-2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</row>
    <row r="357" spans="1:50" x14ac:dyDescent="0.35">
      <c r="A357" s="683"/>
      <c r="B357" s="383" t="s">
        <v>538</v>
      </c>
      <c r="C357" s="384" t="s">
        <v>197</v>
      </c>
      <c r="D357" s="385">
        <v>28</v>
      </c>
      <c r="E357" s="385">
        <v>2.08</v>
      </c>
      <c r="F357" s="385">
        <v>28</v>
      </c>
      <c r="G357" s="385">
        <v>1.58</v>
      </c>
      <c r="H357" s="385" t="s">
        <v>143</v>
      </c>
      <c r="I357" s="385" t="s">
        <v>19</v>
      </c>
      <c r="J357" s="385" t="s">
        <v>19</v>
      </c>
      <c r="K357" s="386">
        <v>4.95</v>
      </c>
      <c r="L357" s="387">
        <v>6.4646464646464522E-2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</row>
    <row r="358" spans="1:50" x14ac:dyDescent="0.35">
      <c r="A358" s="683"/>
      <c r="B358" s="383" t="s">
        <v>524</v>
      </c>
      <c r="C358" s="384" t="s">
        <v>722</v>
      </c>
      <c r="D358" s="385">
        <v>33.119999999999997</v>
      </c>
      <c r="E358" s="385">
        <v>2.08</v>
      </c>
      <c r="F358" s="385">
        <v>31.67</v>
      </c>
      <c r="G358" s="385">
        <v>1.58</v>
      </c>
      <c r="H358" s="385" t="s">
        <v>156</v>
      </c>
      <c r="I358" s="385" t="s">
        <v>19</v>
      </c>
      <c r="J358" s="385" t="s">
        <v>19</v>
      </c>
      <c r="K358" s="386">
        <v>4.95</v>
      </c>
      <c r="L358" s="387">
        <v>6.4646464646464522E-2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</row>
    <row r="359" spans="1:50" x14ac:dyDescent="0.35">
      <c r="A359" s="683"/>
      <c r="B359" s="383" t="s">
        <v>410</v>
      </c>
      <c r="C359" s="384" t="s">
        <v>723</v>
      </c>
      <c r="D359" s="385">
        <v>33.119999999999997</v>
      </c>
      <c r="E359" s="385">
        <v>2.08</v>
      </c>
      <c r="F359" s="385">
        <v>31.67</v>
      </c>
      <c r="G359" s="385">
        <v>1.58</v>
      </c>
      <c r="H359" s="385" t="s">
        <v>156</v>
      </c>
      <c r="I359" s="385" t="s">
        <v>19</v>
      </c>
      <c r="J359" s="385" t="s">
        <v>19</v>
      </c>
      <c r="K359" s="386">
        <v>4.95</v>
      </c>
      <c r="L359" s="387">
        <v>6.4646464646464522E-2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</row>
    <row r="360" spans="1:50" x14ac:dyDescent="0.35">
      <c r="A360" s="683"/>
      <c r="B360" s="383" t="s">
        <v>630</v>
      </c>
      <c r="C360" s="384" t="s">
        <v>724</v>
      </c>
      <c r="D360" s="385">
        <v>33</v>
      </c>
      <c r="E360" s="385">
        <v>2.08</v>
      </c>
      <c r="F360" s="385">
        <v>32</v>
      </c>
      <c r="G360" s="385">
        <v>1.58</v>
      </c>
      <c r="H360" s="385" t="s">
        <v>156</v>
      </c>
      <c r="I360" s="385" t="s">
        <v>19</v>
      </c>
      <c r="J360" s="385" t="s">
        <v>19</v>
      </c>
      <c r="K360" s="386">
        <v>4.95</v>
      </c>
      <c r="L360" s="387">
        <v>6.4646464646464522E-2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</row>
    <row r="361" spans="1:50" x14ac:dyDescent="0.35">
      <c r="A361" s="683"/>
      <c r="B361" s="402" t="s">
        <v>271</v>
      </c>
      <c r="C361" s="384"/>
      <c r="D361" s="385"/>
      <c r="E361" s="385"/>
      <c r="F361" s="385"/>
      <c r="G361" s="385"/>
      <c r="H361" s="385"/>
      <c r="I361" s="385"/>
      <c r="J361" s="385"/>
      <c r="K361" s="386">
        <v>0</v>
      </c>
      <c r="L361" s="387" t="s">
        <v>81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</row>
    <row r="362" spans="1:50" x14ac:dyDescent="0.35">
      <c r="A362" s="683"/>
      <c r="B362" s="402" t="s">
        <v>272</v>
      </c>
      <c r="C362" s="354"/>
      <c r="D362" s="350"/>
      <c r="E362" s="350"/>
      <c r="F362" s="350"/>
      <c r="G362" s="350"/>
      <c r="H362" s="351"/>
      <c r="I362" s="351"/>
      <c r="J362" s="351"/>
      <c r="K362" s="386">
        <v>0</v>
      </c>
      <c r="L362" s="353" t="s">
        <v>81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</row>
    <row r="363" spans="1:50" x14ac:dyDescent="0.35">
      <c r="A363" s="683"/>
      <c r="B363" s="390" t="s">
        <v>273</v>
      </c>
      <c r="C363" s="354"/>
      <c r="D363" s="350"/>
      <c r="E363" s="350"/>
      <c r="F363" s="350"/>
      <c r="G363" s="350"/>
      <c r="H363" s="351"/>
      <c r="I363" s="351"/>
      <c r="J363" s="351"/>
      <c r="K363" s="386">
        <v>0</v>
      </c>
      <c r="L363" s="353" t="s">
        <v>81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</row>
    <row r="364" spans="1:5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</row>
    <row r="365" spans="1:5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</row>
    <row r="366" spans="1:5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</row>
    <row r="367" spans="1:5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</row>
    <row r="368" spans="1:5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</row>
    <row r="369" spans="1:5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</row>
  </sheetData>
  <mergeCells count="24">
    <mergeCell ref="A348:A363"/>
    <mergeCell ref="A157:A173"/>
    <mergeCell ref="A176:A194"/>
    <mergeCell ref="A5:A27"/>
    <mergeCell ref="I1:J1"/>
    <mergeCell ref="D2:E2"/>
    <mergeCell ref="F2:G2"/>
    <mergeCell ref="I2:J2"/>
    <mergeCell ref="B1:B2"/>
    <mergeCell ref="C1:C2"/>
    <mergeCell ref="D1:E1"/>
    <mergeCell ref="F1:G1"/>
    <mergeCell ref="A106:A128"/>
    <mergeCell ref="A30:A49"/>
    <mergeCell ref="A52:A74"/>
    <mergeCell ref="A77:A103"/>
    <mergeCell ref="A131:A154"/>
    <mergeCell ref="A330:A345"/>
    <mergeCell ref="A199:A212"/>
    <mergeCell ref="A266:A282"/>
    <mergeCell ref="A215:A236"/>
    <mergeCell ref="A239:A263"/>
    <mergeCell ref="A285:A309"/>
    <mergeCell ref="A312:A327"/>
  </mergeCells>
  <phoneticPr fontId="8" type="noConversion"/>
  <pageMargins left="0.7" right="0.7" top="0.78740157499999996" bottom="0.78740157499999996" header="0.3" footer="0.3"/>
  <pageSetup paperSize="9" orientation="portrait" r:id="rId1"/>
  <drawing r:id="rId2"/>
  <tableParts count="1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19EF-846F-42F9-BE12-08F1FD6B2A9C}">
  <sheetPr codeName="Tabelle4"/>
  <dimension ref="A1:BO74"/>
  <sheetViews>
    <sheetView zoomScale="60" zoomScaleNormal="60" workbookViewId="0">
      <selection activeCell="B7" sqref="B7:Q47"/>
    </sheetView>
  </sheetViews>
  <sheetFormatPr baseColWidth="10" defaultColWidth="10.7265625" defaultRowHeight="14.5" x14ac:dyDescent="0.35"/>
  <cols>
    <col min="1" max="1" width="27.453125" customWidth="1"/>
    <col min="2" max="2" width="57.453125" customWidth="1"/>
    <col min="3" max="3" width="14.1796875" customWidth="1"/>
    <col min="4" max="4" width="16.81640625" customWidth="1"/>
    <col min="5" max="5" width="15.7265625" hidden="1" customWidth="1"/>
    <col min="6" max="11" width="13.453125" customWidth="1"/>
    <col min="12" max="12" width="15.26953125" customWidth="1"/>
    <col min="13" max="13" width="14.81640625" customWidth="1"/>
    <col min="14" max="14" width="21.54296875" customWidth="1"/>
    <col min="15" max="16" width="15.54296875" hidden="1" customWidth="1"/>
    <col min="17" max="17" width="15.54296875" customWidth="1"/>
    <col min="19" max="19" width="255.54296875" customWidth="1"/>
    <col min="20" max="20" width="92.26953125" customWidth="1"/>
  </cols>
  <sheetData>
    <row r="1" spans="1:67" ht="14.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67"/>
      <c r="P1" s="267"/>
      <c r="Q1" s="2"/>
      <c r="R1" s="2"/>
      <c r="S1" s="2"/>
      <c r="T1" s="2"/>
      <c r="U1" s="2"/>
      <c r="V1" s="2"/>
      <c r="W1" s="2"/>
      <c r="BJ1" s="2"/>
      <c r="BK1" s="2"/>
      <c r="BL1" s="2"/>
      <c r="BM1" s="2"/>
      <c r="BN1" s="2"/>
      <c r="BO1" s="2"/>
    </row>
    <row r="2" spans="1:67" ht="14.5" customHeight="1" x14ac:dyDescent="0.35">
      <c r="A2" s="2"/>
      <c r="B2" s="2"/>
      <c r="C2" s="691" t="s">
        <v>319</v>
      </c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2"/>
      <c r="O2" s="267"/>
      <c r="P2" s="267"/>
      <c r="Q2" s="2"/>
      <c r="R2" s="2"/>
      <c r="S2" s="2"/>
      <c r="T2" s="2"/>
      <c r="U2" s="2"/>
      <c r="V2" s="2"/>
      <c r="W2" s="2"/>
      <c r="BJ2" s="2"/>
      <c r="BK2" s="2"/>
      <c r="BL2" s="2"/>
      <c r="BM2" s="2"/>
      <c r="BN2" s="2"/>
      <c r="BO2" s="2"/>
    </row>
    <row r="3" spans="1:67" ht="36" customHeight="1" x14ac:dyDescent="0.35">
      <c r="A3" s="2"/>
      <c r="B3" s="2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2"/>
      <c r="O3" s="2"/>
      <c r="P3" s="2"/>
      <c r="Q3" s="2"/>
      <c r="R3" s="2"/>
      <c r="S3" s="2"/>
      <c r="T3" s="2"/>
      <c r="U3" s="2"/>
      <c r="V3" s="2"/>
      <c r="W3" s="2"/>
      <c r="BJ3" s="2"/>
      <c r="BK3" s="2"/>
      <c r="BL3" s="2"/>
      <c r="BM3" s="2"/>
      <c r="BN3" s="2"/>
      <c r="BO3" s="2"/>
    </row>
    <row r="4" spans="1:67" ht="9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67" ht="51.75" customHeight="1" x14ac:dyDescent="0.35">
      <c r="A5" s="2"/>
      <c r="B5" s="107" t="s">
        <v>59</v>
      </c>
      <c r="C5" s="107" t="s">
        <v>228</v>
      </c>
      <c r="D5" s="108" t="s">
        <v>337</v>
      </c>
      <c r="E5" s="108" t="s">
        <v>99</v>
      </c>
      <c r="F5" s="109" t="s">
        <v>320</v>
      </c>
      <c r="G5" s="109" t="s">
        <v>3</v>
      </c>
      <c r="H5" s="109" t="s">
        <v>0</v>
      </c>
      <c r="I5" s="109" t="s">
        <v>1</v>
      </c>
      <c r="J5" s="108" t="s">
        <v>335</v>
      </c>
      <c r="K5" s="109" t="s">
        <v>2</v>
      </c>
      <c r="L5" s="108" t="s">
        <v>18</v>
      </c>
      <c r="M5" s="110" t="s">
        <v>22</v>
      </c>
      <c r="N5" s="111" t="s">
        <v>86</v>
      </c>
      <c r="O5" s="108" t="s">
        <v>26</v>
      </c>
      <c r="P5" s="112" t="s">
        <v>87</v>
      </c>
      <c r="Q5" s="268" t="s">
        <v>321</v>
      </c>
      <c r="R5" s="2"/>
      <c r="S5" s="2"/>
      <c r="T5" s="2"/>
      <c r="U5" s="2"/>
      <c r="V5" s="2"/>
      <c r="W5" s="2"/>
    </row>
    <row r="6" spans="1:67" ht="12" customHeight="1" x14ac:dyDescent="0.35">
      <c r="A6" s="2"/>
      <c r="B6" s="312"/>
      <c r="C6" s="269"/>
      <c r="D6" s="270"/>
      <c r="E6" s="271"/>
      <c r="F6" s="272"/>
      <c r="G6" s="272"/>
      <c r="H6" s="272"/>
      <c r="I6" s="272"/>
      <c r="J6" s="272"/>
      <c r="K6" s="272"/>
      <c r="L6" s="270"/>
      <c r="M6" s="273"/>
      <c r="N6" s="272"/>
      <c r="O6" s="270"/>
      <c r="P6" s="274">
        <v>0.9</v>
      </c>
      <c r="Q6" s="275">
        <f>1-Tabelle10532[[#This Row],[5 kW ohne     WW-Fenster]]</f>
        <v>1</v>
      </c>
      <c r="R6" s="2"/>
      <c r="S6" s="2"/>
      <c r="T6" s="2"/>
      <c r="U6" s="2"/>
      <c r="V6" s="2"/>
      <c r="W6" s="2"/>
    </row>
    <row r="7" spans="1:67" ht="19.5" customHeight="1" x14ac:dyDescent="0.35">
      <c r="A7" s="2"/>
      <c r="B7" s="355" t="s">
        <v>98</v>
      </c>
      <c r="C7" s="269"/>
      <c r="D7" s="270"/>
      <c r="E7" s="271"/>
      <c r="F7" s="272"/>
      <c r="G7" s="272"/>
      <c r="H7" s="272"/>
      <c r="I7" s="272"/>
      <c r="J7" s="272"/>
      <c r="K7" s="272"/>
      <c r="L7" s="270"/>
      <c r="M7" s="273"/>
      <c r="N7" s="272"/>
      <c r="O7" s="270"/>
      <c r="P7" s="274">
        <f>IF(Tabelle10532[[#This Row],[WW-Fenster]]="Nein",1,0.9)</f>
        <v>0.9</v>
      </c>
      <c r="Q7" s="285">
        <v>0.25</v>
      </c>
      <c r="R7" s="2"/>
      <c r="S7" s="2"/>
      <c r="T7" s="2"/>
      <c r="U7" s="2"/>
      <c r="V7" s="2"/>
      <c r="W7" s="2"/>
    </row>
    <row r="8" spans="1:67" ht="19.5" customHeight="1" x14ac:dyDescent="0.35">
      <c r="A8" s="2"/>
      <c r="B8" s="355" t="s">
        <v>110</v>
      </c>
      <c r="C8" s="269"/>
      <c r="D8" s="270"/>
      <c r="E8" s="271"/>
      <c r="F8" s="272"/>
      <c r="G8" s="272"/>
      <c r="H8" s="272"/>
      <c r="I8" s="272"/>
      <c r="J8" s="272"/>
      <c r="K8" s="272"/>
      <c r="L8" s="270"/>
      <c r="M8" s="273"/>
      <c r="N8" s="272"/>
      <c r="O8" s="270"/>
      <c r="P8" s="274">
        <f>IF(Tabelle10532[[#This Row],[WW-Fenster]]="Nein",1,0.9)</f>
        <v>0.9</v>
      </c>
      <c r="Q8" s="285">
        <v>0.28999999999999998</v>
      </c>
      <c r="R8" s="2"/>
      <c r="S8" s="2"/>
      <c r="T8" s="2"/>
      <c r="U8" s="2"/>
      <c r="V8" s="2"/>
      <c r="W8" s="2"/>
    </row>
    <row r="9" spans="1:67" ht="19.5" customHeight="1" x14ac:dyDescent="0.35">
      <c r="A9" s="2"/>
      <c r="B9" s="276" t="s">
        <v>41</v>
      </c>
      <c r="C9" s="277" t="s">
        <v>229</v>
      </c>
      <c r="D9" s="313">
        <f>Tabelle10532[[#This Row],[15 kW mit WW-F.]]*1.1-0.04</f>
        <v>0.91700000000000004</v>
      </c>
      <c r="E9" s="310">
        <v>0.84000000000000008</v>
      </c>
      <c r="F9" s="278"/>
      <c r="G9" s="279"/>
      <c r="H9" s="279"/>
      <c r="I9" s="279">
        <v>0.80200000000000005</v>
      </c>
      <c r="J9" s="279">
        <v>0.87</v>
      </c>
      <c r="K9" s="279"/>
      <c r="L9" s="279" t="s">
        <v>20</v>
      </c>
      <c r="M9" s="281">
        <v>95</v>
      </c>
      <c r="N9" s="282" t="s">
        <v>57</v>
      </c>
      <c r="O9" s="283">
        <v>4.0000000000000001E-3</v>
      </c>
      <c r="P9" s="284">
        <v>1</v>
      </c>
      <c r="Q9" s="285">
        <f>1-Tabelle10532[[#This Row],[5 kW ohne     WW-Fenster]]</f>
        <v>8.2999999999999963E-2</v>
      </c>
      <c r="R9" s="2"/>
      <c r="S9" s="2"/>
      <c r="T9" s="2"/>
      <c r="U9" s="2"/>
      <c r="V9" s="2"/>
      <c r="W9" s="2"/>
    </row>
    <row r="10" spans="1:67" ht="20" x14ac:dyDescent="0.35">
      <c r="A10" s="2"/>
      <c r="B10" s="276" t="s">
        <v>298</v>
      </c>
      <c r="C10" s="277" t="s">
        <v>229</v>
      </c>
      <c r="D10" s="313">
        <f>Tabelle10532[[#This Row],[15 kW mit WW-F.]]*1.1-0.04</f>
        <v>0.91700000000000004</v>
      </c>
      <c r="E10" s="310">
        <v>0.84000000000000008</v>
      </c>
      <c r="F10" s="278"/>
      <c r="G10" s="279"/>
      <c r="H10" s="279">
        <v>0.81200000000000006</v>
      </c>
      <c r="I10" s="279"/>
      <c r="J10" s="279">
        <v>0.87</v>
      </c>
      <c r="K10" s="279"/>
      <c r="L10" s="279" t="s">
        <v>20</v>
      </c>
      <c r="M10" s="281">
        <v>95</v>
      </c>
      <c r="N10" s="282" t="s">
        <v>57</v>
      </c>
      <c r="O10" s="283">
        <v>4.0000000000000001E-3</v>
      </c>
      <c r="P10" s="284">
        <v>1</v>
      </c>
      <c r="Q10" s="285">
        <f>1-Tabelle10532[[#This Row],[5 kW ohne     WW-Fenster]]</f>
        <v>8.2999999999999963E-2</v>
      </c>
      <c r="R10" s="2"/>
      <c r="S10" s="2"/>
      <c r="T10" s="2"/>
      <c r="U10" s="2"/>
      <c r="V10" s="2"/>
      <c r="W10" s="2"/>
    </row>
    <row r="11" spans="1:67" ht="20" x14ac:dyDescent="0.35">
      <c r="A11" s="2"/>
      <c r="B11" s="293" t="s">
        <v>17</v>
      </c>
      <c r="C11" s="315" t="s">
        <v>229</v>
      </c>
      <c r="D11" s="316">
        <f>Tabelle10532[[#This Row],[15 kW mit WW-F.]]*1.1-0.04</f>
        <v>0.8851</v>
      </c>
      <c r="E11" s="311">
        <v>0.88100000000000001</v>
      </c>
      <c r="F11" s="294"/>
      <c r="G11" s="295"/>
      <c r="H11" s="295"/>
      <c r="I11" s="295">
        <v>0.84099999999999997</v>
      </c>
      <c r="J11" s="296">
        <v>0.84099999999999997</v>
      </c>
      <c r="K11" s="295"/>
      <c r="L11" s="295" t="s">
        <v>19</v>
      </c>
      <c r="M11" s="297">
        <v>102</v>
      </c>
      <c r="N11" s="298" t="s">
        <v>55</v>
      </c>
      <c r="O11" s="299">
        <v>4.0000000000000001E-3</v>
      </c>
      <c r="P11" s="300">
        <v>0.9</v>
      </c>
      <c r="Q11" s="301">
        <f>1-Tabelle10532[[#This Row],[5 kW ohne     WW-Fenster]]</f>
        <v>0.1149</v>
      </c>
      <c r="R11" s="2"/>
      <c r="S11" s="2"/>
      <c r="T11" s="2"/>
      <c r="U11" s="2"/>
      <c r="V11" s="2"/>
      <c r="W11" s="2"/>
    </row>
    <row r="12" spans="1:67" ht="20" x14ac:dyDescent="0.35">
      <c r="A12" s="2"/>
      <c r="B12" s="324" t="s">
        <v>382</v>
      </c>
      <c r="C12" s="315" t="s">
        <v>229</v>
      </c>
      <c r="D12" s="316">
        <f>Tabelle10532[[#This Row],[15 kW mit WW-F.]]*1.1-0.04</f>
        <v>0.88400000000000001</v>
      </c>
      <c r="E12" s="271"/>
      <c r="F12" s="272"/>
      <c r="G12" s="272"/>
      <c r="H12" s="272"/>
      <c r="I12" s="295">
        <v>0.84</v>
      </c>
      <c r="J12" s="296">
        <v>0.84</v>
      </c>
      <c r="K12" s="272"/>
      <c r="L12" s="270" t="s">
        <v>19</v>
      </c>
      <c r="M12" s="281">
        <v>98</v>
      </c>
      <c r="N12" s="323">
        <v>800</v>
      </c>
      <c r="O12" s="270"/>
      <c r="P12" s="274">
        <v>0.9</v>
      </c>
      <c r="Q12" s="301">
        <f>1-Tabelle10532[[#This Row],[5 kW ohne     WW-Fenster]]</f>
        <v>0.11599999999999999</v>
      </c>
      <c r="R12" s="2"/>
      <c r="S12" s="2"/>
      <c r="T12" s="2"/>
      <c r="U12" s="2"/>
      <c r="V12" s="2"/>
      <c r="W12" s="2"/>
    </row>
    <row r="13" spans="1:67" ht="20" x14ac:dyDescent="0.35">
      <c r="A13" s="2"/>
      <c r="B13" s="276" t="s">
        <v>42</v>
      </c>
      <c r="C13" s="277" t="s">
        <v>229</v>
      </c>
      <c r="D13" s="313">
        <f>Tabelle10532[[#This Row],[15 kW mit WW-F.]]*1.1-0.04</f>
        <v>0.87190000000000001</v>
      </c>
      <c r="E13" s="310">
        <v>0.86899999999999999</v>
      </c>
      <c r="F13" s="279"/>
      <c r="G13" s="286"/>
      <c r="H13" s="286"/>
      <c r="I13" s="286">
        <v>0.82899999999999996</v>
      </c>
      <c r="J13" s="280">
        <v>0.82899999999999996</v>
      </c>
      <c r="K13" s="286"/>
      <c r="L13" s="286" t="s">
        <v>19</v>
      </c>
      <c r="M13" s="287">
        <v>101</v>
      </c>
      <c r="N13" s="282" t="s">
        <v>32</v>
      </c>
      <c r="O13" s="283">
        <v>4.0000000000000001E-3</v>
      </c>
      <c r="P13" s="284">
        <v>0.9</v>
      </c>
      <c r="Q13" s="285">
        <f>1-Tabelle10532[[#This Row],[5 kW ohne     WW-Fenster]]</f>
        <v>0.12809999999999999</v>
      </c>
      <c r="R13" s="2"/>
      <c r="S13" s="2"/>
      <c r="T13" s="2"/>
      <c r="U13" s="2"/>
      <c r="V13" s="2"/>
      <c r="W13" s="2"/>
    </row>
    <row r="14" spans="1:67" ht="20" x14ac:dyDescent="0.35">
      <c r="A14" s="2"/>
      <c r="B14" s="276" t="s">
        <v>513</v>
      </c>
      <c r="C14" s="277" t="s">
        <v>229</v>
      </c>
      <c r="D14" s="313">
        <f>Tabelle10532[[#This Row],[15 kW mit WW-F.]]*1.1-0.04</f>
        <v>0.87190000000000001</v>
      </c>
      <c r="E14" s="310">
        <v>0.86899999999999999</v>
      </c>
      <c r="F14" s="279"/>
      <c r="G14" s="286"/>
      <c r="H14" s="286"/>
      <c r="I14" s="286">
        <v>0.82899999999999996</v>
      </c>
      <c r="J14" s="280">
        <v>0.82899999999999996</v>
      </c>
      <c r="K14" s="286"/>
      <c r="L14" s="286" t="s">
        <v>19</v>
      </c>
      <c r="M14" s="287">
        <v>101</v>
      </c>
      <c r="N14" s="282" t="s">
        <v>32</v>
      </c>
      <c r="O14" s="283">
        <v>4.0000000000000001E-3</v>
      </c>
      <c r="P14" s="284">
        <v>0.9</v>
      </c>
      <c r="Q14" s="285">
        <f>1-Tabelle10532[[#This Row],[5 kW ohne     WW-Fenster]]</f>
        <v>0.12809999999999999</v>
      </c>
      <c r="R14" s="2"/>
      <c r="S14" s="2"/>
      <c r="T14" s="2"/>
      <c r="U14" s="2"/>
      <c r="V14" s="2"/>
      <c r="W14" s="2"/>
    </row>
    <row r="15" spans="1:67" ht="20" x14ac:dyDescent="0.35">
      <c r="A15" s="2"/>
      <c r="B15" s="276" t="s">
        <v>48</v>
      </c>
      <c r="C15" s="277" t="s">
        <v>229</v>
      </c>
      <c r="D15" s="313">
        <f>Tabelle10532[[#This Row],[15 kW mit WW-F.]]*1.1-0.04</f>
        <v>0.87190000000000001</v>
      </c>
      <c r="E15" s="310">
        <v>0.86899999999999999</v>
      </c>
      <c r="F15" s="279"/>
      <c r="G15" s="286"/>
      <c r="H15" s="286"/>
      <c r="I15" s="286">
        <v>0.82899999999999996</v>
      </c>
      <c r="J15" s="280">
        <v>0.82899999999999996</v>
      </c>
      <c r="K15" s="286"/>
      <c r="L15" s="286" t="s">
        <v>19</v>
      </c>
      <c r="M15" s="287">
        <v>101</v>
      </c>
      <c r="N15" s="282" t="s">
        <v>322</v>
      </c>
      <c r="O15" s="283">
        <v>4.0000000000000001E-3</v>
      </c>
      <c r="P15" s="284">
        <v>0.9</v>
      </c>
      <c r="Q15" s="285">
        <f>1-Tabelle10532[[#This Row],[5 kW ohne     WW-Fenster]]</f>
        <v>0.12809999999999999</v>
      </c>
      <c r="R15" s="2"/>
      <c r="S15" s="2"/>
      <c r="T15" s="2"/>
      <c r="U15" s="2"/>
      <c r="V15" s="2"/>
      <c r="W15" s="2"/>
    </row>
    <row r="16" spans="1:67" ht="20" x14ac:dyDescent="0.35">
      <c r="A16" s="2"/>
      <c r="B16" s="293" t="s">
        <v>336</v>
      </c>
      <c r="C16" s="320" t="s">
        <v>229</v>
      </c>
      <c r="D16" s="316">
        <f>Tabelle10532[[#This Row],[15 kW mit WW-F.]]*1.1-0.04</f>
        <v>0.86901249999999997</v>
      </c>
      <c r="E16" s="311"/>
      <c r="F16" s="294">
        <v>0.85699999999999998</v>
      </c>
      <c r="G16" s="321"/>
      <c r="H16" s="322"/>
      <c r="I16" s="322"/>
      <c r="J16" s="296">
        <f>Tabelle10532[[#This Row],[16 kW]]+(Tabelle10532[[#This Row],[8 kW]]-Tabelle10532[[#This Row],[16 kW]])/8</f>
        <v>0.82637499999999997</v>
      </c>
      <c r="K16" s="294">
        <v>0.82199999999999995</v>
      </c>
      <c r="L16" s="294" t="s">
        <v>19</v>
      </c>
      <c r="M16" s="297">
        <v>90</v>
      </c>
      <c r="N16" s="298" t="s">
        <v>331</v>
      </c>
      <c r="O16" s="299">
        <v>4.0000000000000001E-3</v>
      </c>
      <c r="P16" s="300">
        <f>IF(Tabelle10532[[#This Row],[WW-Fenster]]="Nein",1,0.9)</f>
        <v>0.9</v>
      </c>
      <c r="Q16" s="301">
        <f>1-Tabelle10532[[#This Row],[5 kW ohne     WW-Fenster]]</f>
        <v>0.13098750000000003</v>
      </c>
      <c r="R16" s="2"/>
      <c r="S16" s="2"/>
      <c r="T16" s="2"/>
      <c r="U16" s="2"/>
      <c r="V16" s="2"/>
      <c r="W16" s="2"/>
    </row>
    <row r="17" spans="1:23" ht="20" x14ac:dyDescent="0.35">
      <c r="A17" s="2"/>
      <c r="B17" s="276" t="s">
        <v>49</v>
      </c>
      <c r="C17" s="277" t="s">
        <v>229</v>
      </c>
      <c r="D17" s="313">
        <f>Tabelle10532[[#This Row],[15 kW mit WW-F.]]*1.1-0.04</f>
        <v>0.85649999999999993</v>
      </c>
      <c r="E17" s="310">
        <v>0.85499999999999998</v>
      </c>
      <c r="F17" s="279"/>
      <c r="G17" s="286"/>
      <c r="H17" s="286"/>
      <c r="I17" s="286">
        <v>0.81499999999999995</v>
      </c>
      <c r="J17" s="280">
        <v>0.81499999999999995</v>
      </c>
      <c r="K17" s="286"/>
      <c r="L17" s="286" t="s">
        <v>19</v>
      </c>
      <c r="M17" s="287">
        <v>102</v>
      </c>
      <c r="N17" s="282">
        <v>1000</v>
      </c>
      <c r="O17" s="283">
        <v>4.0000000000000001E-3</v>
      </c>
      <c r="P17" s="284">
        <v>0.9</v>
      </c>
      <c r="Q17" s="285">
        <f>1-Tabelle10532[[#This Row],[5 kW ohne     WW-Fenster]]</f>
        <v>0.14350000000000007</v>
      </c>
      <c r="R17" s="2"/>
      <c r="S17" s="2"/>
      <c r="T17" s="2"/>
      <c r="U17" s="2"/>
      <c r="V17" s="2"/>
      <c r="W17" s="2"/>
    </row>
    <row r="18" spans="1:23" ht="20" x14ac:dyDescent="0.35">
      <c r="A18" s="2"/>
      <c r="B18" s="276" t="s">
        <v>53</v>
      </c>
      <c r="C18" s="277" t="s">
        <v>229</v>
      </c>
      <c r="D18" s="313">
        <f>Tabelle10532[[#This Row],[15 kW mit WW-F.]]*1.1-0.04</f>
        <v>0.85429999999999995</v>
      </c>
      <c r="E18" s="310">
        <v>0.85299999999999998</v>
      </c>
      <c r="F18" s="279"/>
      <c r="G18" s="286"/>
      <c r="H18" s="286"/>
      <c r="I18" s="286">
        <v>0.81299999999999994</v>
      </c>
      <c r="J18" s="280">
        <v>0.81299999999999994</v>
      </c>
      <c r="K18" s="286"/>
      <c r="L18" s="286" t="s">
        <v>19</v>
      </c>
      <c r="M18" s="287">
        <v>95</v>
      </c>
      <c r="N18" s="282" t="s">
        <v>54</v>
      </c>
      <c r="O18" s="283">
        <v>4.0000000000000001E-3</v>
      </c>
      <c r="P18" s="284">
        <v>0.9</v>
      </c>
      <c r="Q18" s="285">
        <f>1-Tabelle10532[[#This Row],[5 kW ohne     WW-Fenster]]</f>
        <v>0.14570000000000005</v>
      </c>
      <c r="R18" s="2"/>
      <c r="S18" s="2"/>
      <c r="T18" s="2"/>
      <c r="U18" s="2"/>
      <c r="V18" s="2"/>
      <c r="W18" s="2"/>
    </row>
    <row r="19" spans="1:23" ht="20" x14ac:dyDescent="0.35">
      <c r="A19" s="2"/>
      <c r="B19" s="276" t="s">
        <v>50</v>
      </c>
      <c r="C19" s="277" t="s">
        <v>229</v>
      </c>
      <c r="D19" s="313">
        <f>Tabelle10532[[#This Row],[15 kW mit WW-F.]]*1.1-0.04</f>
        <v>0.84770000000000012</v>
      </c>
      <c r="E19" s="310">
        <v>0.84700000000000009</v>
      </c>
      <c r="F19" s="279"/>
      <c r="G19" s="286"/>
      <c r="H19" s="286"/>
      <c r="I19" s="286">
        <v>0.80700000000000005</v>
      </c>
      <c r="J19" s="280">
        <v>0.80700000000000005</v>
      </c>
      <c r="K19" s="286"/>
      <c r="L19" s="286" t="s">
        <v>19</v>
      </c>
      <c r="M19" s="287">
        <v>102</v>
      </c>
      <c r="N19" s="282" t="s">
        <v>29</v>
      </c>
      <c r="O19" s="283">
        <v>4.0000000000000001E-3</v>
      </c>
      <c r="P19" s="284">
        <v>0.9</v>
      </c>
      <c r="Q19" s="285">
        <f>1-Tabelle10532[[#This Row],[5 kW ohne     WW-Fenster]]</f>
        <v>0.15229999999999988</v>
      </c>
      <c r="R19" s="2"/>
      <c r="S19" s="2"/>
      <c r="T19" s="2"/>
      <c r="U19" s="2"/>
      <c r="V19" s="2"/>
      <c r="W19" s="2"/>
    </row>
    <row r="20" spans="1:23" ht="20" x14ac:dyDescent="0.35">
      <c r="A20" s="2"/>
      <c r="B20" s="276" t="s">
        <v>34</v>
      </c>
      <c r="C20" s="277" t="s">
        <v>229</v>
      </c>
      <c r="D20" s="291">
        <f>Tabelle10532[[#This Row],[15 kW mit WW-F.]]*1.1-0.04</f>
        <v>0.84000000000000008</v>
      </c>
      <c r="E20" s="310">
        <v>0.88</v>
      </c>
      <c r="F20" s="279"/>
      <c r="G20" s="286"/>
      <c r="H20" s="286"/>
      <c r="I20" s="286">
        <v>0.8</v>
      </c>
      <c r="J20" s="280">
        <v>0.8</v>
      </c>
      <c r="K20" s="286"/>
      <c r="L20" s="286" t="s">
        <v>19</v>
      </c>
      <c r="M20" s="287">
        <v>97</v>
      </c>
      <c r="N20" s="282" t="s">
        <v>27</v>
      </c>
      <c r="O20" s="283">
        <v>4.0000000000000001E-3</v>
      </c>
      <c r="P20" s="284">
        <v>0.9</v>
      </c>
      <c r="Q20" s="285">
        <f>1-Tabelle10532[[#This Row],[5 kW ohne     WW-Fenster]]</f>
        <v>0.15999999999999992</v>
      </c>
      <c r="R20" s="2"/>
      <c r="S20" s="2"/>
      <c r="T20" s="2"/>
      <c r="U20" s="2"/>
      <c r="V20" s="2"/>
      <c r="W20" s="2"/>
    </row>
    <row r="21" spans="1:23" ht="20" x14ac:dyDescent="0.35">
      <c r="A21" s="2"/>
      <c r="B21" s="276" t="s">
        <v>338</v>
      </c>
      <c r="C21" s="277" t="s">
        <v>229</v>
      </c>
      <c r="D21" s="291">
        <f>Tabelle10532[[#This Row],[15 kW mit WW-F.]]*1.1-0.04</f>
        <v>0.82776250000000007</v>
      </c>
      <c r="E21" s="310">
        <v>0.81262500000000004</v>
      </c>
      <c r="F21" s="279">
        <v>0.80100000000000005</v>
      </c>
      <c r="G21" s="286"/>
      <c r="H21" s="286"/>
      <c r="I21" s="286"/>
      <c r="J21" s="279">
        <f>Tabelle10532[[#This Row],[16 kW]]+(Tabelle10532[[#This Row],[8 kW]]-Tabelle10532[[#This Row],[16 kW]])/8+0.015</f>
        <v>0.78887499999999999</v>
      </c>
      <c r="K21" s="286">
        <v>0.77</v>
      </c>
      <c r="L21" s="286" t="s">
        <v>20</v>
      </c>
      <c r="M21" s="287">
        <v>91</v>
      </c>
      <c r="N21" s="282" t="s">
        <v>58</v>
      </c>
      <c r="O21" s="288">
        <v>3.8750000000000034E-3</v>
      </c>
      <c r="P21" s="284">
        <v>1</v>
      </c>
      <c r="Q21" s="285">
        <f>1-Tabelle10532[[#This Row],[5 kW ohne     WW-Fenster]]</f>
        <v>0.17223749999999993</v>
      </c>
      <c r="R21" s="2"/>
      <c r="S21" s="2"/>
      <c r="T21" s="2"/>
      <c r="U21" s="2"/>
      <c r="V21" s="2"/>
      <c r="W21" s="2"/>
    </row>
    <row r="22" spans="1:23" ht="20" x14ac:dyDescent="0.35">
      <c r="A22" s="2"/>
      <c r="B22" s="276" t="s">
        <v>339</v>
      </c>
      <c r="C22" s="277" t="s">
        <v>229</v>
      </c>
      <c r="D22" s="291">
        <f>Tabelle10532[[#This Row],[15 kW mit WW-F.]]*1.1-0.04</f>
        <v>0.82501250000000004</v>
      </c>
      <c r="E22" s="310">
        <v>0.8201250000000001</v>
      </c>
      <c r="F22" s="279">
        <v>0.81</v>
      </c>
      <c r="G22" s="286"/>
      <c r="H22" s="286"/>
      <c r="I22" s="286"/>
      <c r="J22" s="280">
        <f>Tabelle10532[[#This Row],[16 kW]]+(Tabelle10532[[#This Row],[8 kW]]-Tabelle10532[[#This Row],[16 kW]])/8</f>
        <v>0.78637500000000005</v>
      </c>
      <c r="K22" s="286">
        <v>0.78300000000000003</v>
      </c>
      <c r="L22" s="286" t="s">
        <v>19</v>
      </c>
      <c r="M22" s="287">
        <v>91</v>
      </c>
      <c r="N22" s="282" t="s">
        <v>58</v>
      </c>
      <c r="O22" s="288">
        <v>3.375000000000003E-3</v>
      </c>
      <c r="P22" s="284">
        <v>0.99099999999999999</v>
      </c>
      <c r="Q22" s="285">
        <f>1-Tabelle10532[[#This Row],[5 kW ohne     WW-Fenster]]</f>
        <v>0.17498749999999996</v>
      </c>
      <c r="R22" s="2"/>
      <c r="S22" s="2"/>
      <c r="T22" s="2"/>
      <c r="U22" s="2"/>
      <c r="V22" s="2"/>
      <c r="W22" s="2"/>
    </row>
    <row r="23" spans="1:23" ht="20" x14ac:dyDescent="0.35">
      <c r="A23" s="2"/>
      <c r="B23" s="276" t="s">
        <v>38</v>
      </c>
      <c r="C23" s="289" t="s">
        <v>230</v>
      </c>
      <c r="D23" s="291">
        <f>Tabelle10532[[#This Row],[15 kW mit WW-F.]]*1.1-0.04</f>
        <v>0.81910000000000005</v>
      </c>
      <c r="E23" s="310">
        <v>0.84499999999999986</v>
      </c>
      <c r="F23" s="279"/>
      <c r="G23" s="286">
        <v>0.81299999999999994</v>
      </c>
      <c r="H23" s="286"/>
      <c r="I23" s="286">
        <v>0.78100000000000003</v>
      </c>
      <c r="J23" s="280">
        <v>0.78100000000000003</v>
      </c>
      <c r="K23" s="286"/>
      <c r="L23" s="286" t="s">
        <v>19</v>
      </c>
      <c r="M23" s="287">
        <v>105</v>
      </c>
      <c r="N23" s="282" t="s">
        <v>31</v>
      </c>
      <c r="O23" s="288">
        <v>6.3999999999999838E-3</v>
      </c>
      <c r="P23" s="284">
        <v>0.9</v>
      </c>
      <c r="Q23" s="285">
        <f>1-Tabelle10532[[#This Row],[5 kW ohne     WW-Fenster]]</f>
        <v>0.18089999999999995</v>
      </c>
      <c r="R23" s="2"/>
      <c r="S23" s="2"/>
      <c r="T23" s="2"/>
      <c r="U23" s="2"/>
      <c r="V23" s="2"/>
      <c r="W23" s="2"/>
    </row>
    <row r="24" spans="1:23" ht="20" x14ac:dyDescent="0.35">
      <c r="A24" s="2"/>
      <c r="B24" s="276" t="s">
        <v>35</v>
      </c>
      <c r="C24" s="289" t="s">
        <v>230</v>
      </c>
      <c r="D24" s="291">
        <f>Tabelle10532[[#This Row],[15 kW mit WW-F.]]*1.1-0.04</f>
        <v>0.81910000000000005</v>
      </c>
      <c r="E24" s="310">
        <v>0.84499999999999986</v>
      </c>
      <c r="F24" s="279"/>
      <c r="G24" s="286">
        <v>0.81299999999999994</v>
      </c>
      <c r="H24" s="286"/>
      <c r="I24" s="286">
        <v>0.78100000000000003</v>
      </c>
      <c r="J24" s="280">
        <v>0.78100000000000003</v>
      </c>
      <c r="K24" s="286"/>
      <c r="L24" s="286" t="s">
        <v>19</v>
      </c>
      <c r="M24" s="287">
        <v>105</v>
      </c>
      <c r="N24" s="282" t="s">
        <v>36</v>
      </c>
      <c r="O24" s="288">
        <v>6.3999999999999838E-3</v>
      </c>
      <c r="P24" s="284">
        <v>0.9</v>
      </c>
      <c r="Q24" s="285">
        <f>1-Tabelle10532[[#This Row],[5 kW ohne     WW-Fenster]]</f>
        <v>0.18089999999999995</v>
      </c>
      <c r="R24" s="2"/>
      <c r="S24" s="2"/>
      <c r="T24" s="2"/>
      <c r="U24" s="2"/>
      <c r="V24" s="2"/>
      <c r="W24" s="2"/>
    </row>
    <row r="25" spans="1:23" ht="20" x14ac:dyDescent="0.35">
      <c r="A25" s="2"/>
      <c r="B25" s="276" t="s">
        <v>39</v>
      </c>
      <c r="C25" s="289" t="s">
        <v>230</v>
      </c>
      <c r="D25" s="291">
        <f>Tabelle10532[[#This Row],[15 kW mit WW-F.]]*1.1-0.04</f>
        <v>0.81910000000000005</v>
      </c>
      <c r="E25" s="310">
        <v>0.84499999999999986</v>
      </c>
      <c r="F25" s="279"/>
      <c r="G25" s="286">
        <v>0.81299999999999994</v>
      </c>
      <c r="H25" s="286"/>
      <c r="I25" s="286">
        <v>0.78100000000000003</v>
      </c>
      <c r="J25" s="280">
        <v>0.78100000000000003</v>
      </c>
      <c r="K25" s="286"/>
      <c r="L25" s="286" t="s">
        <v>19</v>
      </c>
      <c r="M25" s="287">
        <v>105</v>
      </c>
      <c r="N25" s="282" t="s">
        <v>31</v>
      </c>
      <c r="O25" s="288">
        <v>6.3999999999999838E-3</v>
      </c>
      <c r="P25" s="284">
        <v>0.9</v>
      </c>
      <c r="Q25" s="285">
        <f>1-Tabelle10532[[#This Row],[5 kW ohne     WW-Fenster]]</f>
        <v>0.18089999999999995</v>
      </c>
      <c r="R25" s="2"/>
      <c r="S25" s="2"/>
      <c r="T25" s="2"/>
      <c r="U25" s="2"/>
      <c r="V25" s="2"/>
      <c r="W25" s="2"/>
    </row>
    <row r="26" spans="1:23" ht="20" x14ac:dyDescent="0.35">
      <c r="A26" s="2"/>
      <c r="B26" s="276" t="s">
        <v>231</v>
      </c>
      <c r="C26" s="290" t="s">
        <v>224</v>
      </c>
      <c r="D26" s="291">
        <f>Tabelle10532[[#This Row],[15 kW mit WW-F.]]*1.1-0.06</f>
        <v>0.81780000000000008</v>
      </c>
      <c r="E26" s="310">
        <v>0.83399999999999996</v>
      </c>
      <c r="F26" s="279"/>
      <c r="G26" s="286"/>
      <c r="H26" s="286"/>
      <c r="I26" s="286">
        <v>0.79800000000000004</v>
      </c>
      <c r="J26" s="280">
        <v>0.79800000000000004</v>
      </c>
      <c r="K26" s="286"/>
      <c r="L26" s="286" t="s">
        <v>19</v>
      </c>
      <c r="M26" s="287">
        <v>86</v>
      </c>
      <c r="N26" s="282">
        <v>950</v>
      </c>
      <c r="O26" s="283">
        <v>4.0000000000000001E-3</v>
      </c>
      <c r="P26" s="284">
        <f>IF(Tabelle10532[[#This Row],[WW-Fenster]]="Nein",1,0.9)</f>
        <v>0.9</v>
      </c>
      <c r="Q26" s="285">
        <f>1-Tabelle10532[[#This Row],[5 kW ohne     WW-Fenster]]</f>
        <v>0.18219999999999992</v>
      </c>
      <c r="R26" s="2"/>
      <c r="S26" s="2"/>
      <c r="T26" s="2"/>
      <c r="U26" s="2"/>
      <c r="V26" s="2"/>
      <c r="W26" s="2"/>
    </row>
    <row r="27" spans="1:23" ht="20" x14ac:dyDescent="0.35">
      <c r="A27" s="2"/>
      <c r="B27" s="276" t="s">
        <v>37</v>
      </c>
      <c r="C27" s="290" t="s">
        <v>224</v>
      </c>
      <c r="D27" s="291">
        <f>Tabelle10532[[#This Row],[15 kW mit WW-F.]]*1.1-0.04</f>
        <v>0.81690000000000007</v>
      </c>
      <c r="E27" s="310">
        <v>0.83300000000000007</v>
      </c>
      <c r="F27" s="279"/>
      <c r="G27" s="286"/>
      <c r="H27" s="286"/>
      <c r="I27" s="286">
        <v>0.77900000000000003</v>
      </c>
      <c r="J27" s="280">
        <v>0.77900000000000003</v>
      </c>
      <c r="K27" s="286"/>
      <c r="L27" s="286" t="s">
        <v>19</v>
      </c>
      <c r="M27" s="287">
        <v>102</v>
      </c>
      <c r="N27" s="282" t="s">
        <v>30</v>
      </c>
      <c r="O27" s="283">
        <v>4.0000000000000001E-3</v>
      </c>
      <c r="P27" s="284">
        <v>0.9</v>
      </c>
      <c r="Q27" s="285">
        <f>1-Tabelle10532[[#This Row],[5 kW ohne     WW-Fenster]]</f>
        <v>0.18309999999999993</v>
      </c>
      <c r="R27" s="2"/>
      <c r="S27" s="2"/>
      <c r="T27" s="2"/>
      <c r="U27" s="2"/>
      <c r="V27" s="2"/>
      <c r="W27" s="2"/>
    </row>
    <row r="28" spans="1:23" ht="20" x14ac:dyDescent="0.35">
      <c r="A28" s="2"/>
      <c r="B28" s="276" t="s">
        <v>60</v>
      </c>
      <c r="C28" s="290" t="s">
        <v>224</v>
      </c>
      <c r="D28" s="291">
        <f>Tabelle10532[[#This Row],[15 kW mit WW-F.]]*1.1-0.04</f>
        <v>0.81580000000000008</v>
      </c>
      <c r="E28" s="310">
        <v>0.81800000000000006</v>
      </c>
      <c r="F28" s="279"/>
      <c r="G28" s="286">
        <v>0.79800000000000004</v>
      </c>
      <c r="H28" s="286"/>
      <c r="I28" s="286"/>
      <c r="J28" s="280">
        <f>Tabelle10532[[#This Row],[10 kW]]-5*Tabelle10532[[#This Row],[% pro kWh]]</f>
        <v>0.77800000000000002</v>
      </c>
      <c r="K28" s="286"/>
      <c r="L28" s="286" t="s">
        <v>19</v>
      </c>
      <c r="M28" s="287">
        <v>102</v>
      </c>
      <c r="N28" s="282" t="s">
        <v>44</v>
      </c>
      <c r="O28" s="283">
        <v>4.0000000000000001E-3</v>
      </c>
      <c r="P28" s="284">
        <v>0.9</v>
      </c>
      <c r="Q28" s="285">
        <f>1-Tabelle10532[[#This Row],[5 kW ohne     WW-Fenster]]</f>
        <v>0.18419999999999992</v>
      </c>
      <c r="R28" s="2"/>
      <c r="S28" s="2"/>
      <c r="T28" s="2"/>
      <c r="U28" s="2"/>
      <c r="V28" s="2"/>
      <c r="W28" s="2"/>
    </row>
    <row r="29" spans="1:23" ht="20" x14ac:dyDescent="0.35">
      <c r="A29" s="2"/>
      <c r="B29" s="276" t="s">
        <v>40</v>
      </c>
      <c r="C29" s="290" t="s">
        <v>224</v>
      </c>
      <c r="D29" s="291">
        <f>Tabelle10532[[#This Row],[15 kW mit WW-F.]]*1.1-0.04</f>
        <v>0.81140000000000001</v>
      </c>
      <c r="E29" s="310">
        <v>0.81400000000000006</v>
      </c>
      <c r="F29" s="279"/>
      <c r="G29" s="286"/>
      <c r="H29" s="286"/>
      <c r="I29" s="286">
        <v>0.77400000000000002</v>
      </c>
      <c r="J29" s="280">
        <v>0.77400000000000002</v>
      </c>
      <c r="K29" s="286"/>
      <c r="L29" s="286" t="s">
        <v>19</v>
      </c>
      <c r="M29" s="287">
        <v>101</v>
      </c>
      <c r="N29" s="282" t="s">
        <v>323</v>
      </c>
      <c r="O29" s="283">
        <v>4.0000000000000001E-3</v>
      </c>
      <c r="P29" s="284">
        <v>0.9</v>
      </c>
      <c r="Q29" s="285">
        <f>1-Tabelle10532[[#This Row],[5 kW ohne     WW-Fenster]]</f>
        <v>0.18859999999999999</v>
      </c>
      <c r="R29" s="2"/>
      <c r="S29" s="2"/>
      <c r="T29" s="2"/>
      <c r="U29" s="2"/>
      <c r="V29" s="2"/>
      <c r="W29" s="2"/>
    </row>
    <row r="30" spans="1:23" ht="20" x14ac:dyDescent="0.35">
      <c r="A30" s="2"/>
      <c r="B30" s="276" t="s">
        <v>512</v>
      </c>
      <c r="C30" s="290" t="s">
        <v>224</v>
      </c>
      <c r="D30" s="291">
        <f>Tabelle10532[[#This Row],[15 kW mit WW-F.]]*1.1-0.04</f>
        <v>0.81140000000000001</v>
      </c>
      <c r="E30" s="310">
        <v>0.81400000000000006</v>
      </c>
      <c r="F30" s="279"/>
      <c r="G30" s="286"/>
      <c r="H30" s="286"/>
      <c r="I30" s="286">
        <v>0.77400000000000002</v>
      </c>
      <c r="J30" s="280">
        <v>0.77400000000000002</v>
      </c>
      <c r="K30" s="286"/>
      <c r="L30" s="286" t="s">
        <v>19</v>
      </c>
      <c r="M30" s="287">
        <v>101</v>
      </c>
      <c r="N30" s="282" t="s">
        <v>323</v>
      </c>
      <c r="O30" s="283">
        <v>4.0000000000000001E-3</v>
      </c>
      <c r="P30" s="284">
        <v>0.9</v>
      </c>
      <c r="Q30" s="285">
        <f>1-Tabelle10532[[#This Row],[5 kW ohne     WW-Fenster]]</f>
        <v>0.18859999999999999</v>
      </c>
      <c r="R30" s="2"/>
      <c r="S30" s="2"/>
      <c r="T30" s="2"/>
      <c r="U30" s="2"/>
      <c r="V30" s="2"/>
      <c r="W30" s="2"/>
    </row>
    <row r="31" spans="1:23" ht="20" x14ac:dyDescent="0.35">
      <c r="A31" s="2"/>
      <c r="B31" s="276" t="s">
        <v>45</v>
      </c>
      <c r="C31" s="290" t="s">
        <v>224</v>
      </c>
      <c r="D31" s="291">
        <f>Tabelle10532[[#This Row],[15 kW mit WW-F.]]*1.1-0.04</f>
        <v>0.80842999999999998</v>
      </c>
      <c r="E31" s="310">
        <v>0.81130000000000002</v>
      </c>
      <c r="F31" s="279"/>
      <c r="G31" s="286"/>
      <c r="H31" s="286">
        <v>0.7833</v>
      </c>
      <c r="I31" s="286"/>
      <c r="J31" s="280">
        <f>Tabelle10532[[#This Row],[12 kW]]-3*Tabelle10532[[#This Row],[% pro kWh]]</f>
        <v>0.77129999999999999</v>
      </c>
      <c r="K31" s="286"/>
      <c r="L31" s="286" t="s">
        <v>19</v>
      </c>
      <c r="M31" s="287">
        <v>134</v>
      </c>
      <c r="N31" s="282" t="s">
        <v>29</v>
      </c>
      <c r="O31" s="283">
        <v>4.0000000000000001E-3</v>
      </c>
      <c r="P31" s="284">
        <v>0.9</v>
      </c>
      <c r="Q31" s="285">
        <f>1-Tabelle10532[[#This Row],[5 kW ohne     WW-Fenster]]</f>
        <v>0.19157000000000002</v>
      </c>
      <c r="R31" s="2"/>
      <c r="S31" s="2"/>
      <c r="T31" s="2"/>
      <c r="U31" s="2"/>
      <c r="V31" s="2"/>
      <c r="W31" s="2"/>
    </row>
    <row r="32" spans="1:23" ht="20" x14ac:dyDescent="0.35">
      <c r="A32" s="2"/>
      <c r="B32" s="276" t="s">
        <v>33</v>
      </c>
      <c r="C32" s="290" t="s">
        <v>224</v>
      </c>
      <c r="D32" s="291">
        <f>Tabelle10532[[#This Row],[15 kW mit WW-F.]]*1.1-0.04</f>
        <v>0.80370000000000008</v>
      </c>
      <c r="E32" s="310">
        <v>0.80700000000000005</v>
      </c>
      <c r="F32" s="279"/>
      <c r="G32" s="286"/>
      <c r="H32" s="286"/>
      <c r="I32" s="286">
        <v>0.76700000000000002</v>
      </c>
      <c r="J32" s="280">
        <v>0.76700000000000002</v>
      </c>
      <c r="K32" s="286"/>
      <c r="L32" s="286" t="s">
        <v>19</v>
      </c>
      <c r="M32" s="287">
        <v>93</v>
      </c>
      <c r="N32" s="282" t="s">
        <v>28</v>
      </c>
      <c r="O32" s="283">
        <v>4.0000000000000001E-3</v>
      </c>
      <c r="P32" s="284">
        <v>0.9</v>
      </c>
      <c r="Q32" s="285">
        <f>1-Tabelle10532[[#This Row],[5 kW ohne     WW-Fenster]]</f>
        <v>0.19629999999999992</v>
      </c>
      <c r="R32" s="2"/>
      <c r="S32" s="2"/>
      <c r="T32" s="2"/>
      <c r="U32" s="2"/>
      <c r="V32" s="2"/>
      <c r="W32" s="2"/>
    </row>
    <row r="33" spans="1:23" ht="20" x14ac:dyDescent="0.35">
      <c r="A33" s="2"/>
      <c r="B33" s="276" t="s">
        <v>340</v>
      </c>
      <c r="C33" s="290" t="s">
        <v>224</v>
      </c>
      <c r="D33" s="314">
        <f>Tabelle10532[[#This Row],[15 kW mit WW-F.]]*1.1-0.04</f>
        <v>0.79820000000000002</v>
      </c>
      <c r="E33" s="310">
        <v>0.76200000000000001</v>
      </c>
      <c r="F33" s="279">
        <v>0.75</v>
      </c>
      <c r="G33" s="286"/>
      <c r="H33" s="286"/>
      <c r="I33" s="286"/>
      <c r="J33" s="279">
        <f>Tabelle10532[[#This Row],[8 kW]]-7*Tabelle10532[[#This Row],[% pro kWh]]+0.04</f>
        <v>0.76200000000000001</v>
      </c>
      <c r="K33" s="286"/>
      <c r="L33" s="286" t="s">
        <v>20</v>
      </c>
      <c r="M33" s="287">
        <v>91</v>
      </c>
      <c r="N33" s="282">
        <v>1000</v>
      </c>
      <c r="O33" s="283">
        <v>4.0000000000000001E-3</v>
      </c>
      <c r="P33" s="284">
        <v>1</v>
      </c>
      <c r="Q33" s="285">
        <f>1-Tabelle10532[[#This Row],[5 kW ohne     WW-Fenster]]</f>
        <v>0.20179999999999998</v>
      </c>
      <c r="R33" s="2"/>
      <c r="S33" s="2"/>
      <c r="T33" s="2"/>
      <c r="U33" s="2"/>
      <c r="V33" s="2"/>
      <c r="W33" s="2"/>
    </row>
    <row r="34" spans="1:23" ht="20" x14ac:dyDescent="0.35">
      <c r="A34" s="2"/>
      <c r="B34" s="276" t="s">
        <v>341</v>
      </c>
      <c r="C34" s="290" t="s">
        <v>224</v>
      </c>
      <c r="D34" s="314">
        <f>Tabelle10532[[#This Row],[15 kW mit WW-F.]]*1.1-0.04</f>
        <v>0.79503750000000006</v>
      </c>
      <c r="E34" s="310">
        <v>0.77037500000000003</v>
      </c>
      <c r="F34" s="279">
        <v>0.76700000000000002</v>
      </c>
      <c r="G34" s="286"/>
      <c r="H34" s="286"/>
      <c r="I34" s="286"/>
      <c r="J34" s="280">
        <f>Tabelle10532[[#This Row],[16 kW]]+(Tabelle10532[[#This Row],[8 kW]]-Tabelle10532[[#This Row],[16 kW]])/8</f>
        <v>0.75912500000000005</v>
      </c>
      <c r="K34" s="286">
        <v>0.75800000000000001</v>
      </c>
      <c r="L34" s="286" t="s">
        <v>19</v>
      </c>
      <c r="M34" s="287">
        <v>91</v>
      </c>
      <c r="N34" s="282">
        <v>1000</v>
      </c>
      <c r="O34" s="288">
        <v>1.125000000000001E-3</v>
      </c>
      <c r="P34" s="284">
        <v>0.98899999999999999</v>
      </c>
      <c r="Q34" s="285">
        <f>1-Tabelle10532[[#This Row],[5 kW ohne     WW-Fenster]]</f>
        <v>0.20496249999999994</v>
      </c>
      <c r="R34" s="2"/>
      <c r="S34" s="2"/>
      <c r="T34" s="2"/>
      <c r="U34" s="2"/>
      <c r="V34" s="2"/>
      <c r="W34" s="2"/>
    </row>
    <row r="35" spans="1:23" ht="20" x14ac:dyDescent="0.35">
      <c r="A35" s="2"/>
      <c r="B35" s="276" t="s">
        <v>15</v>
      </c>
      <c r="C35" s="289" t="s">
        <v>230</v>
      </c>
      <c r="D35" s="314">
        <f>Tabelle10532[[#This Row],[15 kW mit WW-F.]]*1.1-0.04</f>
        <v>0.79160000000000008</v>
      </c>
      <c r="E35" s="310">
        <v>0.87400000000000011</v>
      </c>
      <c r="F35" s="279"/>
      <c r="G35" s="286"/>
      <c r="H35" s="286">
        <v>0.80400000000000005</v>
      </c>
      <c r="I35" s="286">
        <v>0.75600000000000001</v>
      </c>
      <c r="J35" s="280">
        <v>0.75600000000000001</v>
      </c>
      <c r="K35" s="286"/>
      <c r="L35" s="286" t="s">
        <v>19</v>
      </c>
      <c r="M35" s="287">
        <v>93</v>
      </c>
      <c r="N35" s="282" t="s">
        <v>51</v>
      </c>
      <c r="O35" s="288">
        <v>0.01</v>
      </c>
      <c r="P35" s="284">
        <v>0.9</v>
      </c>
      <c r="Q35" s="285">
        <f>1-Tabelle10532[[#This Row],[5 kW ohne     WW-Fenster]]</f>
        <v>0.20839999999999992</v>
      </c>
      <c r="R35" s="2"/>
      <c r="S35" s="2"/>
      <c r="T35" s="2"/>
      <c r="U35" s="2"/>
      <c r="V35" s="2"/>
      <c r="W35" s="2"/>
    </row>
    <row r="36" spans="1:23" ht="20" x14ac:dyDescent="0.35">
      <c r="A36" s="2"/>
      <c r="B36" s="276" t="s">
        <v>345</v>
      </c>
      <c r="C36" s="289" t="s">
        <v>230</v>
      </c>
      <c r="D36" s="314">
        <f>Tabelle10532[[#This Row],[15 kW mit WW-F.]]*1.1-0.04</f>
        <v>0.78582500000000011</v>
      </c>
      <c r="E36" s="310">
        <v>0.85824999999999996</v>
      </c>
      <c r="F36" s="279">
        <v>0.83799999999999997</v>
      </c>
      <c r="G36" s="286"/>
      <c r="H36" s="286"/>
      <c r="I36" s="286"/>
      <c r="J36" s="280">
        <f>Tabelle10532[[#This Row],[16 kW]]+(Tabelle10532[[#This Row],[8 kW]]-Tabelle10532[[#This Row],[16 kW]])/8-0.04</f>
        <v>0.75075000000000003</v>
      </c>
      <c r="K36" s="286">
        <v>0.78400000000000003</v>
      </c>
      <c r="L36" s="286" t="s">
        <v>19</v>
      </c>
      <c r="M36" s="287">
        <v>90</v>
      </c>
      <c r="N36" s="282" t="s">
        <v>56</v>
      </c>
      <c r="O36" s="288">
        <v>6.7499999999999921E-3</v>
      </c>
      <c r="P36" s="284">
        <v>0.9</v>
      </c>
      <c r="Q36" s="285">
        <f>1-Tabelle10532[[#This Row],[5 kW ohne     WW-Fenster]]</f>
        <v>0.21417499999999989</v>
      </c>
      <c r="R36" s="2"/>
      <c r="S36" s="2"/>
      <c r="T36" s="2"/>
      <c r="U36" s="2"/>
      <c r="V36" s="2"/>
      <c r="W36" s="2"/>
    </row>
    <row r="37" spans="1:23" ht="20" x14ac:dyDescent="0.35">
      <c r="A37" s="2"/>
      <c r="B37" s="276" t="s">
        <v>343</v>
      </c>
      <c r="C37" s="289" t="s">
        <v>230</v>
      </c>
      <c r="D37" s="314">
        <f>Tabelle10532[[#This Row],[15 kW mit WW-F.]]*1.1-0.04</f>
        <v>0.78582500000000011</v>
      </c>
      <c r="E37" s="310">
        <v>0.85824999999999996</v>
      </c>
      <c r="F37" s="279">
        <v>0.83799999999999997</v>
      </c>
      <c r="G37" s="286"/>
      <c r="H37" s="286"/>
      <c r="I37" s="286"/>
      <c r="J37" s="280">
        <f>Tabelle10532[[#This Row],[16 kW]]+(Tabelle10532[[#This Row],[8 kW]]-Tabelle10532[[#This Row],[16 kW]])/8-0.04</f>
        <v>0.75075000000000003</v>
      </c>
      <c r="K37" s="286">
        <v>0.78400000000000003</v>
      </c>
      <c r="L37" s="286" t="s">
        <v>19</v>
      </c>
      <c r="M37" s="287">
        <v>90</v>
      </c>
      <c r="N37" s="282" t="s">
        <v>56</v>
      </c>
      <c r="O37" s="288">
        <v>6.7499999999999921E-3</v>
      </c>
      <c r="P37" s="284">
        <v>0.9</v>
      </c>
      <c r="Q37" s="285">
        <f>1-Tabelle10532[[#This Row],[5 kW ohne     WW-Fenster]]</f>
        <v>0.21417499999999989</v>
      </c>
      <c r="R37" s="2"/>
      <c r="S37" s="2"/>
      <c r="T37" s="2"/>
      <c r="U37" s="2"/>
      <c r="V37" s="2"/>
      <c r="W37" s="2"/>
    </row>
    <row r="38" spans="1:23" ht="20" x14ac:dyDescent="0.35">
      <c r="A38" s="2"/>
      <c r="B38" s="276" t="s">
        <v>342</v>
      </c>
      <c r="C38" s="292" t="s">
        <v>225</v>
      </c>
      <c r="D38" s="314">
        <f>Tabelle10532[[#This Row],[15 kW mit WW-F.]]*1.1-0.04</f>
        <v>0.78389999999999993</v>
      </c>
      <c r="E38" s="310">
        <v>0.70899999999999996</v>
      </c>
      <c r="F38" s="279">
        <v>0.69699999999999995</v>
      </c>
      <c r="G38" s="286"/>
      <c r="H38" s="286"/>
      <c r="I38" s="286"/>
      <c r="J38" s="279">
        <f>Tabelle10532[[#This Row],[8 kW]]-7*Tabelle10532[[#This Row],[% pro kWh]]+0.08</f>
        <v>0.74899999999999989</v>
      </c>
      <c r="K38" s="286"/>
      <c r="L38" s="286" t="s">
        <v>20</v>
      </c>
      <c r="M38" s="287">
        <v>90</v>
      </c>
      <c r="N38" s="282" t="s">
        <v>56</v>
      </c>
      <c r="O38" s="283">
        <v>4.0000000000000001E-3</v>
      </c>
      <c r="P38" s="284">
        <v>1</v>
      </c>
      <c r="Q38" s="285">
        <f>1-Tabelle10532[[#This Row],[5 kW ohne     WW-Fenster]]</f>
        <v>0.21610000000000007</v>
      </c>
      <c r="R38" s="2"/>
      <c r="S38" s="2"/>
      <c r="T38" s="2"/>
      <c r="U38" s="2"/>
      <c r="V38" s="2"/>
      <c r="W38" s="2"/>
    </row>
    <row r="39" spans="1:23" ht="20" x14ac:dyDescent="0.35">
      <c r="A39" s="2"/>
      <c r="B39" s="276" t="s">
        <v>344</v>
      </c>
      <c r="C39" s="292" t="s">
        <v>225</v>
      </c>
      <c r="D39" s="314">
        <f>Tabelle10532[[#This Row],[15 kW mit WW-F.]]*1.1-0.04</f>
        <v>0.78389999999999993</v>
      </c>
      <c r="E39" s="310">
        <v>0.70899999999999996</v>
      </c>
      <c r="F39" s="279">
        <v>0.69699999999999995</v>
      </c>
      <c r="G39" s="286"/>
      <c r="H39" s="286"/>
      <c r="I39" s="286"/>
      <c r="J39" s="279">
        <f>Tabelle10532[[#This Row],[8 kW]]-7*Tabelle10532[[#This Row],[% pro kWh]]+0.08</f>
        <v>0.74899999999999989</v>
      </c>
      <c r="K39" s="286"/>
      <c r="L39" s="286" t="s">
        <v>20</v>
      </c>
      <c r="M39" s="287">
        <v>90</v>
      </c>
      <c r="N39" s="282" t="s">
        <v>56</v>
      </c>
      <c r="O39" s="283">
        <v>4.0000000000000001E-3</v>
      </c>
      <c r="P39" s="284">
        <v>1</v>
      </c>
      <c r="Q39" s="285">
        <f>1-Tabelle10532[[#This Row],[5 kW ohne     WW-Fenster]]</f>
        <v>0.21610000000000007</v>
      </c>
      <c r="R39" s="2"/>
      <c r="S39" s="2"/>
      <c r="T39" s="2"/>
      <c r="U39" s="2"/>
      <c r="V39" s="2"/>
      <c r="W39" s="2"/>
    </row>
    <row r="40" spans="1:23" ht="20" x14ac:dyDescent="0.35">
      <c r="A40" s="2"/>
      <c r="B40" s="276" t="s">
        <v>346</v>
      </c>
      <c r="C40" s="290" t="s">
        <v>224</v>
      </c>
      <c r="D40" s="314">
        <f>Tabelle10532[[#This Row],[15 kW mit WW-F.]]*1.1-0.04</f>
        <v>0.78280000000000005</v>
      </c>
      <c r="E40" s="310">
        <v>0.80800000000000005</v>
      </c>
      <c r="F40" s="279">
        <v>0.79900000000000004</v>
      </c>
      <c r="G40" s="286"/>
      <c r="H40" s="286">
        <v>0.78700000000000003</v>
      </c>
      <c r="I40" s="286"/>
      <c r="J40" s="280">
        <f>Tabelle10532[[#This Row],[12 kW]]-3*Tabelle10532[[#This Row],[% pro kWh]]-0.03</f>
        <v>0.748</v>
      </c>
      <c r="K40" s="286"/>
      <c r="L40" s="286" t="s">
        <v>19</v>
      </c>
      <c r="M40" s="287">
        <v>121</v>
      </c>
      <c r="N40" s="282" t="s">
        <v>324</v>
      </c>
      <c r="O40" s="288">
        <v>3.0000000000000027E-3</v>
      </c>
      <c r="P40" s="284">
        <v>0.9</v>
      </c>
      <c r="Q40" s="285">
        <f>1-Tabelle10532[[#This Row],[5 kW ohne     WW-Fenster]]</f>
        <v>0.21719999999999995</v>
      </c>
      <c r="R40" s="2"/>
      <c r="S40" s="2"/>
      <c r="T40" s="2"/>
      <c r="U40" s="2"/>
      <c r="V40" s="2"/>
      <c r="W40" s="2"/>
    </row>
    <row r="41" spans="1:23" ht="20" x14ac:dyDescent="0.35">
      <c r="A41" s="2"/>
      <c r="B41" s="276" t="s">
        <v>347</v>
      </c>
      <c r="C41" s="292" t="s">
        <v>225</v>
      </c>
      <c r="D41" s="314">
        <f>Tabelle10532[[#This Row],[15 kW mit WW-F.]]*1.1-0.04</f>
        <v>0.78059999999999985</v>
      </c>
      <c r="E41" s="310">
        <v>0.71099999999999997</v>
      </c>
      <c r="F41" s="279">
        <v>0.69899999999999995</v>
      </c>
      <c r="G41" s="286"/>
      <c r="H41" s="286"/>
      <c r="I41" s="286"/>
      <c r="J41" s="279">
        <f>Tabelle10532[[#This Row],[8 kW]]-7*Tabelle10532[[#This Row],[% pro kWh]]+0.075</f>
        <v>0.74599999999999989</v>
      </c>
      <c r="K41" s="286"/>
      <c r="L41" s="286" t="s">
        <v>20</v>
      </c>
      <c r="M41" s="287">
        <v>121</v>
      </c>
      <c r="N41" s="282" t="s">
        <v>324</v>
      </c>
      <c r="O41" s="283">
        <v>4.0000000000000001E-3</v>
      </c>
      <c r="P41" s="284">
        <v>1</v>
      </c>
      <c r="Q41" s="285">
        <f>1-Tabelle10532[[#This Row],[5 kW ohne     WW-Fenster]]</f>
        <v>0.21940000000000015</v>
      </c>
      <c r="R41" s="2"/>
      <c r="S41" s="2"/>
      <c r="T41" s="2"/>
      <c r="U41" s="2"/>
      <c r="V41" s="2"/>
      <c r="W41" s="2"/>
    </row>
    <row r="42" spans="1:23" ht="20" x14ac:dyDescent="0.35">
      <c r="A42" s="2"/>
      <c r="B42" s="276" t="s">
        <v>46</v>
      </c>
      <c r="C42" s="290" t="s">
        <v>224</v>
      </c>
      <c r="D42" s="314">
        <f>Tabelle10532[[#This Row],[15 kW mit WW-F.]]*1.1-0.04</f>
        <v>0.77949999999999997</v>
      </c>
      <c r="E42" s="310">
        <v>0.78500000000000003</v>
      </c>
      <c r="F42" s="279"/>
      <c r="G42" s="286"/>
      <c r="H42" s="286">
        <v>0.75700000000000001</v>
      </c>
      <c r="I42" s="286"/>
      <c r="J42" s="280">
        <f>Tabelle10532[[#This Row],[12 kW]]-3*Tabelle10532[[#This Row],[% pro kWh]]</f>
        <v>0.745</v>
      </c>
      <c r="K42" s="286"/>
      <c r="L42" s="286" t="s">
        <v>19</v>
      </c>
      <c r="M42" s="287">
        <v>97</v>
      </c>
      <c r="N42" s="282" t="s">
        <v>47</v>
      </c>
      <c r="O42" s="283">
        <v>4.0000000000000001E-3</v>
      </c>
      <c r="P42" s="284">
        <v>0.9</v>
      </c>
      <c r="Q42" s="285">
        <f>1-Tabelle10532[[#This Row],[5 kW ohne     WW-Fenster]]</f>
        <v>0.22050000000000003</v>
      </c>
      <c r="R42" s="2"/>
      <c r="S42" s="2"/>
      <c r="T42" s="2"/>
      <c r="U42" s="2"/>
      <c r="V42" s="2"/>
      <c r="W42" s="2"/>
    </row>
    <row r="43" spans="1:23" ht="20" x14ac:dyDescent="0.35">
      <c r="A43" s="2"/>
      <c r="B43" s="276" t="s">
        <v>16</v>
      </c>
      <c r="C43" s="290" t="s">
        <v>224</v>
      </c>
      <c r="D43" s="314">
        <f>Tabelle10532[[#This Row],[15 kW mit WW-F.]]*1.1-0.04</f>
        <v>0.77839999999999998</v>
      </c>
      <c r="E43" s="310">
        <v>0.78400000000000003</v>
      </c>
      <c r="F43" s="279">
        <v>0.77200000000000002</v>
      </c>
      <c r="G43" s="286"/>
      <c r="H43" s="286"/>
      <c r="I43" s="286"/>
      <c r="J43" s="280">
        <f>Tabelle10532[[#This Row],[8 kW]]-7*Tabelle10532[[#This Row],[% pro kWh]]</f>
        <v>0.74399999999999999</v>
      </c>
      <c r="K43" s="286">
        <v>0.73199999999999998</v>
      </c>
      <c r="L43" s="286" t="s">
        <v>19</v>
      </c>
      <c r="M43" s="287">
        <v>102</v>
      </c>
      <c r="N43" s="282" t="s">
        <v>44</v>
      </c>
      <c r="O43" s="283">
        <v>4.0000000000000001E-3</v>
      </c>
      <c r="P43" s="284">
        <v>0.9</v>
      </c>
      <c r="Q43" s="285">
        <f>1-Tabelle10532[[#This Row],[5 kW ohne     WW-Fenster]]</f>
        <v>0.22160000000000002</v>
      </c>
      <c r="R43" s="2"/>
      <c r="S43" s="2"/>
      <c r="T43" s="2"/>
      <c r="U43" s="2"/>
      <c r="V43" s="2"/>
      <c r="W43" s="2"/>
    </row>
    <row r="44" spans="1:23" ht="20" x14ac:dyDescent="0.35">
      <c r="A44" s="2"/>
      <c r="B44" s="276" t="s">
        <v>43</v>
      </c>
      <c r="C44" s="290" t="s">
        <v>224</v>
      </c>
      <c r="D44" s="314">
        <f>Tabelle10532[[#This Row],[15 kW mit WW-F.]]*1.1-0.04</f>
        <v>0.77839999999999998</v>
      </c>
      <c r="E44" s="310">
        <v>0.78400000000000003</v>
      </c>
      <c r="F44" s="279">
        <v>0.77200000000000002</v>
      </c>
      <c r="G44" s="286"/>
      <c r="H44" s="286"/>
      <c r="I44" s="286"/>
      <c r="J44" s="280">
        <f>Tabelle10532[[#This Row],[8 kW]]-7*Tabelle10532[[#This Row],[% pro kWh]]</f>
        <v>0.74399999999999999</v>
      </c>
      <c r="K44" s="286"/>
      <c r="L44" s="286" t="s">
        <v>19</v>
      </c>
      <c r="M44" s="287">
        <v>102</v>
      </c>
      <c r="N44" s="282" t="s">
        <v>328</v>
      </c>
      <c r="O44" s="283">
        <v>4.0000000000000001E-3</v>
      </c>
      <c r="P44" s="284">
        <v>0.9</v>
      </c>
      <c r="Q44" s="285">
        <f>1-Tabelle10532[[#This Row],[5 kW ohne     WW-Fenster]]</f>
        <v>0.22160000000000002</v>
      </c>
      <c r="R44" s="2"/>
      <c r="S44" s="2"/>
      <c r="T44" s="2"/>
      <c r="U44" s="2"/>
      <c r="V44" s="2"/>
      <c r="W44" s="2"/>
    </row>
    <row r="45" spans="1:23" ht="20" x14ac:dyDescent="0.35">
      <c r="A45" s="2"/>
      <c r="B45" s="276" t="s">
        <v>325</v>
      </c>
      <c r="C45" s="290" t="s">
        <v>224</v>
      </c>
      <c r="D45" s="314">
        <f>Tabelle10532[[#This Row],[15 kW mit WW-F.]]*1.1-0.04</f>
        <v>0.77510000000000001</v>
      </c>
      <c r="E45" s="310">
        <v>0.84000000000000008</v>
      </c>
      <c r="F45" s="278"/>
      <c r="G45" s="279"/>
      <c r="H45" s="279">
        <v>0.753</v>
      </c>
      <c r="I45" s="279"/>
      <c r="J45" s="280">
        <f>Tabelle10532[[#This Row],[12 kW]]-3*Tabelle10532[[#This Row],[% pro kWh]]</f>
        <v>0.74099999999999999</v>
      </c>
      <c r="K45" s="279"/>
      <c r="L45" s="279" t="s">
        <v>19</v>
      </c>
      <c r="M45" s="281">
        <v>111</v>
      </c>
      <c r="N45" s="282" t="s">
        <v>326</v>
      </c>
      <c r="O45" s="283">
        <v>4.0000000000000001E-3</v>
      </c>
      <c r="P45" s="284">
        <v>1</v>
      </c>
      <c r="Q45" s="285">
        <f>1-Tabelle10532[[#This Row],[5 kW ohne     WW-Fenster]]</f>
        <v>0.22489999999999999</v>
      </c>
      <c r="R45" s="2"/>
      <c r="S45" s="2"/>
      <c r="T45" s="2"/>
      <c r="U45" s="2"/>
      <c r="V45" s="2"/>
      <c r="W45" s="2"/>
    </row>
    <row r="46" spans="1:23" ht="20" x14ac:dyDescent="0.35">
      <c r="A46" s="2"/>
      <c r="B46" s="276" t="s">
        <v>327</v>
      </c>
      <c r="C46" s="290" t="s">
        <v>224</v>
      </c>
      <c r="D46" s="314">
        <f>Tabelle10532[[#This Row],[15 kW mit WW-F.]]*1.1-0.04</f>
        <v>0.77510000000000001</v>
      </c>
      <c r="E46" s="310">
        <v>0.84000000000000008</v>
      </c>
      <c r="F46" s="278"/>
      <c r="G46" s="279"/>
      <c r="H46" s="279">
        <v>0.753</v>
      </c>
      <c r="I46" s="279"/>
      <c r="J46" s="280">
        <f>Tabelle10532[[#This Row],[12 kW]]-3*Tabelle10532[[#This Row],[% pro kWh]]</f>
        <v>0.74099999999999999</v>
      </c>
      <c r="K46" s="279"/>
      <c r="L46" s="279" t="s">
        <v>19</v>
      </c>
      <c r="M46" s="281">
        <v>111</v>
      </c>
      <c r="N46" s="282" t="s">
        <v>326</v>
      </c>
      <c r="O46" s="283">
        <v>4.0000000000000001E-3</v>
      </c>
      <c r="P46" s="284">
        <v>1</v>
      </c>
      <c r="Q46" s="285">
        <f>1-Tabelle10532[[#This Row],[5 kW ohne     WW-Fenster]]</f>
        <v>0.22489999999999999</v>
      </c>
      <c r="R46" s="2"/>
      <c r="S46" s="2"/>
      <c r="T46" s="2"/>
      <c r="U46" s="2"/>
      <c r="V46" s="2"/>
      <c r="W46" s="2"/>
    </row>
    <row r="47" spans="1:23" ht="20" x14ac:dyDescent="0.35">
      <c r="A47" s="2"/>
      <c r="B47" s="276" t="s">
        <v>52</v>
      </c>
      <c r="C47" s="290" t="s">
        <v>224</v>
      </c>
      <c r="D47" s="314">
        <f>Tabelle10532[[#This Row],[15 kW mit WW-F.]]*1.1-0.04</f>
        <v>0.77290000000000003</v>
      </c>
      <c r="E47" s="310">
        <v>0.77900000000000003</v>
      </c>
      <c r="F47" s="279"/>
      <c r="G47" s="286">
        <v>0.75900000000000001</v>
      </c>
      <c r="H47" s="286"/>
      <c r="I47" s="286"/>
      <c r="J47" s="280">
        <f>Tabelle10532[[#This Row],[10 kW]]-5*Tabelle10532[[#This Row],[% pro kWh]]</f>
        <v>0.73899999999999999</v>
      </c>
      <c r="K47" s="286"/>
      <c r="L47" s="286" t="s">
        <v>19</v>
      </c>
      <c r="M47" s="287">
        <v>102</v>
      </c>
      <c r="N47" s="282" t="s">
        <v>329</v>
      </c>
      <c r="O47" s="283">
        <v>4.0000000000000001E-3</v>
      </c>
      <c r="P47" s="284">
        <v>0.9</v>
      </c>
      <c r="Q47" s="285">
        <f>1-Tabelle10532[[#This Row],[5 kW ohne     WW-Fenster]]</f>
        <v>0.22709999999999997</v>
      </c>
      <c r="R47" s="2"/>
      <c r="S47" s="2"/>
      <c r="T47" s="2"/>
      <c r="U47" s="2"/>
      <c r="V47" s="2"/>
      <c r="W47" s="2"/>
    </row>
    <row r="48" spans="1:23" ht="17.5" x14ac:dyDescent="0.35">
      <c r="A48" s="2"/>
      <c r="B48" s="312"/>
      <c r="C48" s="269"/>
      <c r="D48" s="270"/>
      <c r="E48" s="271"/>
      <c r="F48" s="272"/>
      <c r="G48" s="272"/>
      <c r="H48" s="272"/>
      <c r="I48" s="272"/>
      <c r="J48" s="272"/>
      <c r="K48" s="272"/>
      <c r="L48" s="270"/>
      <c r="M48" s="273"/>
      <c r="N48" s="272"/>
      <c r="O48" s="270"/>
      <c r="P48" s="274">
        <v>0.9</v>
      </c>
      <c r="Q48" s="275">
        <f>1-Tabelle10532[[#This Row],[5 kW ohne     WW-Fenster]]</f>
        <v>1</v>
      </c>
      <c r="R48" s="2"/>
      <c r="S48" s="2"/>
      <c r="T48" s="2"/>
      <c r="U48" s="2"/>
      <c r="V48" s="2"/>
      <c r="W48" s="2"/>
    </row>
    <row r="49" spans="1:2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23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23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23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</sheetData>
  <sheetProtection algorithmName="SHA-512" hashValue="lLx5uWSxUJW9kRRluAZjlsrIEvmqAbj42GniXb2ZqDyTimVzjmCZdcTo/HaZmkRICQ0wUbPij4TIIov6S1mpkQ==" saltValue="OWH3VFPrbISh9ChtzO0gCw==" spinCount="100000" sheet="1" objects="1" scenarios="1"/>
  <mergeCells count="1">
    <mergeCell ref="C2:M3"/>
  </mergeCells>
  <phoneticPr fontId="8" type="noConversion"/>
  <conditionalFormatting sqref="D6:D10 D13:D14 D17:D48">
    <cfRule type="expression" dxfId="4" priority="1">
      <formula>"&lt;=87%"</formula>
    </cfRule>
    <cfRule type="expression" dxfId="3" priority="2">
      <formula>"&gt;87%"</formula>
    </cfRule>
    <cfRule type="expression" dxfId="2" priority="3">
      <formula>"&gt;90%"</formula>
    </cfRule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CBFA-995C-4291-8BF8-93CCE6DEFDB4}">
  <sheetPr codeName="Tabelle2"/>
  <dimension ref="A1:R91"/>
  <sheetViews>
    <sheetView topLeftCell="A53" workbookViewId="0">
      <selection activeCell="K67" sqref="K67"/>
    </sheetView>
  </sheetViews>
  <sheetFormatPr baseColWidth="10" defaultRowHeight="14.5" x14ac:dyDescent="0.35"/>
  <cols>
    <col min="6" max="8" width="12.1796875" customWidth="1"/>
    <col min="10" max="10" width="11.26953125" customWidth="1"/>
    <col min="14" max="14" width="14.26953125" bestFit="1" customWidth="1"/>
  </cols>
  <sheetData>
    <row r="1" spans="1:18" ht="18.5" thickTop="1" thickBot="1" x14ac:dyDescent="0.4">
      <c r="A1" s="693" t="s">
        <v>100</v>
      </c>
      <c r="B1" s="693"/>
      <c r="C1" s="693"/>
      <c r="D1" s="693"/>
      <c r="E1" s="712">
        <f>Eingabe!I8</f>
        <v>-13</v>
      </c>
      <c r="F1" s="693" t="s">
        <v>101</v>
      </c>
      <c r="G1" s="693"/>
      <c r="H1" s="693"/>
      <c r="I1" s="701">
        <f>J63</f>
        <v>1.1173184357541899</v>
      </c>
      <c r="J1" s="708"/>
      <c r="K1" s="704" t="s">
        <v>13</v>
      </c>
      <c r="L1" s="705"/>
      <c r="M1" s="710" t="s">
        <v>485</v>
      </c>
      <c r="N1" s="711"/>
      <c r="O1" s="711"/>
      <c r="P1" s="430">
        <f>Eingabe!I21</f>
        <v>12</v>
      </c>
      <c r="Q1" s="431" t="s">
        <v>486</v>
      </c>
      <c r="R1" s="431"/>
    </row>
    <row r="2" spans="1:18" ht="18.5" thickTop="1" thickBot="1" x14ac:dyDescent="0.4">
      <c r="A2" s="693"/>
      <c r="B2" s="693"/>
      <c r="C2" s="693"/>
      <c r="D2" s="693"/>
      <c r="E2" s="712"/>
      <c r="F2" s="693"/>
      <c r="G2" s="693"/>
      <c r="H2" s="693"/>
      <c r="I2" s="701"/>
      <c r="J2" s="709"/>
      <c r="K2" s="706"/>
      <c r="L2" s="707"/>
      <c r="M2" s="702" t="s">
        <v>480</v>
      </c>
      <c r="N2" s="703"/>
      <c r="O2" s="703"/>
      <c r="P2" s="703"/>
      <c r="Q2" s="433"/>
      <c r="R2" s="431"/>
    </row>
    <row r="3" spans="1:18" ht="23" thickTop="1" thickBot="1" x14ac:dyDescent="0.4">
      <c r="A3" s="694" t="s">
        <v>102</v>
      </c>
      <c r="B3" s="695"/>
      <c r="C3" s="695"/>
      <c r="D3" s="696"/>
      <c r="E3" s="434">
        <f>Eingabe!E36</f>
        <v>14241.6875</v>
      </c>
      <c r="F3" s="700" t="s">
        <v>103</v>
      </c>
      <c r="G3" s="700"/>
      <c r="H3" s="700"/>
      <c r="I3" s="699">
        <f ca="1">Eingabe!G58</f>
        <v>221</v>
      </c>
      <c r="J3" s="435">
        <f ca="1">I1*E4/(3.2*I3/100)/Eingabe!F49-I1*(E3-E4)/(3.2*I3/100)/Eingabe!F49</f>
        <v>2025.0636312217191</v>
      </c>
      <c r="K3" s="697">
        <f ca="1">IF(J4=0,J3*E7*E9,J3*E7*E9*0.1+J4*(1-E7*0.1)*J9)</f>
        <v>2104.0411128393662</v>
      </c>
      <c r="L3" s="698"/>
      <c r="M3" s="436"/>
      <c r="N3" s="432" t="s">
        <v>482</v>
      </c>
      <c r="O3" s="432" t="s">
        <v>93</v>
      </c>
      <c r="P3" s="433"/>
      <c r="Q3" s="433"/>
      <c r="R3" s="431"/>
    </row>
    <row r="4" spans="1:18" ht="24" customHeight="1" thickTop="1" thickBot="1" x14ac:dyDescent="0.4">
      <c r="A4" s="694" t="s">
        <v>478</v>
      </c>
      <c r="B4" s="695"/>
      <c r="C4" s="695"/>
      <c r="D4" s="696"/>
      <c r="E4" s="434">
        <f>(E3+K80)-0.05*(E3+K80)</f>
        <v>13529.603125</v>
      </c>
      <c r="F4" s="700"/>
      <c r="G4" s="700"/>
      <c r="H4" s="700"/>
      <c r="I4" s="699"/>
      <c r="J4" s="435">
        <f>IF(Eingabe!I34=0,0,(2*I1*E4)/(I3*2.9/100+I5*3/100)/Eingabe!F49-(2*I1*(E4-E3))/(I3*3.2/100+I5*3/100)/Eingabe!F49)</f>
        <v>0</v>
      </c>
      <c r="K4" s="697"/>
      <c r="L4" s="698"/>
      <c r="M4" s="436" t="s">
        <v>481</v>
      </c>
      <c r="N4" s="432">
        <v>0</v>
      </c>
      <c r="O4" s="437">
        <f>IF(Eingabe!D64="Puffer- und WW-Speicher",0,K80)*(IF(Eingabe!D64&lt;&gt;"Speichermerkmale bekannt",(1.2-_xlfn.XLOOKUP(Eingabe!D64,Schichtenspeicher!B7:B47,Schichtenspeicher!Q7:Q47)),0))*O6</f>
        <v>0</v>
      </c>
      <c r="P4" s="438">
        <f>E4+N5</f>
        <v>13529.603125</v>
      </c>
      <c r="Q4" s="433">
        <v>2.2000000000000002</v>
      </c>
      <c r="R4" s="433">
        <f>1/Q4</f>
        <v>0.45454545454545453</v>
      </c>
    </row>
    <row r="5" spans="1:18" ht="24" customHeight="1" thickTop="1" thickBot="1" x14ac:dyDescent="0.4">
      <c r="A5" s="694" t="s">
        <v>477</v>
      </c>
      <c r="B5" s="695"/>
      <c r="C5" s="695"/>
      <c r="D5" s="696"/>
      <c r="E5" s="434">
        <f>Eingabe!E38</f>
        <v>760</v>
      </c>
      <c r="F5" s="700" t="s">
        <v>104</v>
      </c>
      <c r="G5" s="700"/>
      <c r="H5" s="700"/>
      <c r="I5" s="699">
        <f ca="1">Eingabe!G60</f>
        <v>169</v>
      </c>
      <c r="J5" s="435">
        <f ca="1">I1*(E5+J80)/(2.2*I5/100)/Eingabe!F49-I1*J80/(2.4*I5/100)/Eingabe!F49</f>
        <v>228.39214932038308</v>
      </c>
      <c r="K5" s="697">
        <f ca="1">J5*J11</f>
        <v>205.55293438834477</v>
      </c>
      <c r="L5" s="698"/>
      <c r="M5" s="433" t="s">
        <v>78</v>
      </c>
      <c r="N5" s="439">
        <f>I80*0.8</f>
        <v>0</v>
      </c>
      <c r="O5" s="437">
        <f>IF(Eingabe!D64="Puffer- und WW-Speicher",I80*0.8,J80)*IF(Eingabe!D64&lt;&gt;"Speichermerkmale bekannt",(1.2-_xlfn.XLOOKUP(Eingabe!D64,Schichtenspeicher!B7:B47,Schichtenspeicher!Q7:Q47)),0)*O7</f>
        <v>0</v>
      </c>
      <c r="P5" s="438">
        <f>E6-N5</f>
        <v>1672.0000000000002</v>
      </c>
      <c r="Q5" s="438">
        <f>P4+P5</f>
        <v>15201.603125</v>
      </c>
      <c r="R5" s="433"/>
    </row>
    <row r="6" spans="1:18" ht="24" customHeight="1" thickTop="1" thickBot="1" x14ac:dyDescent="0.4">
      <c r="A6" s="694" t="s">
        <v>479</v>
      </c>
      <c r="B6" s="695"/>
      <c r="C6" s="695"/>
      <c r="D6" s="696"/>
      <c r="E6" s="434">
        <f>E5*2.2</f>
        <v>1672.0000000000002</v>
      </c>
      <c r="F6" s="700"/>
      <c r="G6" s="700"/>
      <c r="H6" s="700"/>
      <c r="I6" s="699"/>
      <c r="J6" s="435">
        <f ca="1">I1*(E6+Q4*J80)/(2.2*I5/100)/Eingabe!F49-I1*(Q4*J80)/(2.4*I5/100)/Eingabe!F49</f>
        <v>502.46272850484286</v>
      </c>
      <c r="K6" s="697"/>
      <c r="L6" s="698"/>
      <c r="M6" s="440" t="s">
        <v>381</v>
      </c>
      <c r="N6" s="441">
        <f>IF(Eingabe!D64="Puffer- und WW-Speicher",Eingabe!D66,Eingabe!D66-X!N7)</f>
        <v>300</v>
      </c>
      <c r="O6" s="442">
        <f>IF(Eingabe!D64="Puffer- und WW-Speicher",Q6,Q6/2)</f>
        <v>0.495</v>
      </c>
      <c r="P6" s="431"/>
      <c r="Q6" s="443">
        <f>IF(Eingabe!D64="Puffer- und WW-Speicher",_xlfn.XLOOKUP(N6,N17:N80,R17:R80),_xlfn.XLOOKUP(Eingabe!D66,N17:N80,R17:R80))</f>
        <v>0.99</v>
      </c>
      <c r="R6" s="430">
        <f ca="1">P15</f>
        <v>378.1948149043983</v>
      </c>
    </row>
    <row r="7" spans="1:18" ht="18.5" thickTop="1" thickBot="1" x14ac:dyDescent="0.4">
      <c r="A7" s="693" t="s">
        <v>105</v>
      </c>
      <c r="B7" s="693"/>
      <c r="C7" s="693"/>
      <c r="D7" s="693"/>
      <c r="E7" s="693">
        <f>Eingabe!I32/(Eingabe!I32+Eingabe!I34)</f>
        <v>1</v>
      </c>
      <c r="F7" s="693" t="s">
        <v>106</v>
      </c>
      <c r="G7" s="693"/>
      <c r="H7" s="693"/>
      <c r="I7" s="693"/>
      <c r="J7" s="693">
        <f>100%-E7</f>
        <v>0</v>
      </c>
      <c r="K7" s="694" t="s">
        <v>414</v>
      </c>
      <c r="L7" s="696"/>
      <c r="M7" s="440" t="s">
        <v>330</v>
      </c>
      <c r="N7" s="441">
        <f>IF(Eingabe!D64="Puffer- und WW-Speicher",Eingabe!$D$66,2*Eingabe!D66/3)</f>
        <v>600</v>
      </c>
      <c r="O7" s="442">
        <f>IF(Eingabe!D64="Puffer- und WW-Speicher",Q7,2*Q6/3)</f>
        <v>0.66</v>
      </c>
      <c r="P7" s="431"/>
      <c r="Q7" s="444">
        <f>IF(Eingabe!D64="Puffer- und WW-Speicher",_xlfn.XLOOKUP(N7,N17:N80,R17:R80),2*Q6/3)</f>
        <v>0.66</v>
      </c>
      <c r="R7" s="430">
        <f ca="1">IF(Eingabe!D64="Puffer- und WW-Speicher",_xlfn.XLOOKUP(Eingabe!#REF!,X!N9:N14,X!P9:P14),X!P14)</f>
        <v>250.09378863508647</v>
      </c>
    </row>
    <row r="8" spans="1:18" ht="18.5" thickTop="1" thickBot="1" x14ac:dyDescent="0.4">
      <c r="A8" s="693"/>
      <c r="B8" s="693"/>
      <c r="C8" s="693"/>
      <c r="D8" s="693"/>
      <c r="E8" s="693"/>
      <c r="F8" s="693"/>
      <c r="G8" s="693"/>
      <c r="H8" s="693"/>
      <c r="I8" s="693"/>
      <c r="J8" s="693"/>
      <c r="K8" s="694"/>
      <c r="L8" s="696"/>
      <c r="M8" s="431">
        <f>IF(Eingabe!D64="Speichermerkmale bekannt",0,IF(Eingabe!D64="Puffer- und WW-Speicher",0.15,_xlfn.XLOOKUP(Eingabe!D64,Schichtenspeicher!B7:B47,Schichtenspeicher!Q7:Q47)))</f>
        <v>8.2999999999999963E-2</v>
      </c>
      <c r="N8" s="692" t="s">
        <v>113</v>
      </c>
      <c r="O8" s="692"/>
      <c r="P8" s="431">
        <f>IF(M8&lt;0.135,0.2,IF(M8&gt;0.2,-0.5*M8,0))</f>
        <v>0.2</v>
      </c>
      <c r="Q8" s="431"/>
      <c r="R8" s="431"/>
    </row>
    <row r="9" spans="1:18" ht="18.5" thickTop="1" thickBot="1" x14ac:dyDescent="0.4">
      <c r="A9" s="693" t="s">
        <v>107</v>
      </c>
      <c r="B9" s="693"/>
      <c r="C9" s="693"/>
      <c r="D9" s="693"/>
      <c r="E9" s="693">
        <f>IF(Eingabe!I32&gt;0,_xlfn.XLOOKUP(Eingabe!G32,A23:A38,B23:B38),0)</f>
        <v>1.0389999999999999</v>
      </c>
      <c r="F9" s="693" t="s">
        <v>108</v>
      </c>
      <c r="G9" s="693"/>
      <c r="H9" s="693"/>
      <c r="I9" s="693"/>
      <c r="J9" s="693">
        <f>IF(Eingabe!I34&gt;0,_xlfn.XLOOKUP(Eingabe!G34,A33:A58,C33:C58),0)</f>
        <v>0</v>
      </c>
      <c r="K9" s="694">
        <f>Eingabe!I32/(Eingabe!I32+Eingabe!I34)</f>
        <v>1</v>
      </c>
      <c r="L9" s="696"/>
      <c r="M9" s="431"/>
      <c r="N9" s="431" t="s">
        <v>475</v>
      </c>
      <c r="O9" s="431"/>
      <c r="P9" s="430">
        <f ca="1">($J$6*_xlfn.XLOOKUP(Eingabe!$D$64,Schichtenspeicher!$B$7:$B$47,Schichtenspeicher!$Q$7:$Q$47)+$J$6-$J$5)*$O$7*IF(Eingabe!$E$21&lt;&gt;"ja",2,1)</f>
        <v>416.82298105847747</v>
      </c>
      <c r="Q9" s="431"/>
      <c r="R9" s="442">
        <f t="shared" ref="R9:R14" ca="1" si="0">P9/$K$5</f>
        <v>2.0278133333333339</v>
      </c>
    </row>
    <row r="10" spans="1:18" ht="18.5" thickTop="1" thickBot="1" x14ac:dyDescent="0.4">
      <c r="A10" s="693"/>
      <c r="B10" s="693"/>
      <c r="C10" s="693"/>
      <c r="D10" s="693"/>
      <c r="E10" s="693"/>
      <c r="F10" s="693"/>
      <c r="G10" s="693"/>
      <c r="H10" s="693"/>
      <c r="I10" s="693"/>
      <c r="J10" s="693"/>
      <c r="K10" s="694"/>
      <c r="L10" s="696"/>
      <c r="M10" s="431"/>
      <c r="N10" s="431" t="s">
        <v>471</v>
      </c>
      <c r="O10" s="431"/>
      <c r="P10" s="430">
        <f ca="1">($J$6*_xlfn.XLOOKUP(Eingabe!$D$64,Schichtenspeicher!$B$7:$B$47,Schichtenspeicher!$Q$7:$Q$47)+$J$6-$J$5)*$O$7*IF(Eingabe!$E$21&lt;&gt;"ja",2,1)</f>
        <v>416.82298105847747</v>
      </c>
      <c r="Q10" s="431"/>
      <c r="R10" s="442">
        <f t="shared" ca="1" si="0"/>
        <v>2.0278133333333339</v>
      </c>
    </row>
    <row r="11" spans="1:18" ht="18.5" thickTop="1" thickBot="1" x14ac:dyDescent="0.4">
      <c r="A11" s="693" t="s">
        <v>304</v>
      </c>
      <c r="B11" s="693"/>
      <c r="C11" s="693"/>
      <c r="D11" s="693"/>
      <c r="E11" s="712">
        <f ca="1">(Eingabe!G51*0.9-Eingabe!J60)</f>
        <v>-16.569937500000002</v>
      </c>
      <c r="F11" s="693" t="s">
        <v>109</v>
      </c>
      <c r="G11" s="693"/>
      <c r="H11" s="693"/>
      <c r="I11" s="693"/>
      <c r="J11" s="693">
        <f>IF(Eingabe!I17&gt;0,_xlfn.XLOOKUP(Eingabe!I23,A38:A58,D38:D58),0)</f>
        <v>0.89999999999999991</v>
      </c>
      <c r="K11" s="704"/>
      <c r="L11" s="705"/>
      <c r="M11" s="431"/>
      <c r="N11" s="431" t="s">
        <v>472</v>
      </c>
      <c r="O11" s="431"/>
      <c r="P11" s="430">
        <f ca="1">0.85*($J$6*_xlfn.XLOOKUP(Eingabe!$D$64,Schichtenspeicher!$B$7:$B$47,Schichtenspeicher!$Q$7:$Q$47)+$J$6-$J$5)*$O$7*IF(Eingabe!$E$21&lt;&gt;"ja",2,1)</f>
        <v>354.29953389970581</v>
      </c>
      <c r="Q11" s="431"/>
      <c r="R11" s="442">
        <f t="shared" ca="1" si="0"/>
        <v>1.7236413333333336</v>
      </c>
    </row>
    <row r="12" spans="1:18" ht="18.5" thickTop="1" thickBot="1" x14ac:dyDescent="0.4">
      <c r="A12" s="693"/>
      <c r="B12" s="693"/>
      <c r="C12" s="693"/>
      <c r="D12" s="693"/>
      <c r="E12" s="712"/>
      <c r="F12" s="693"/>
      <c r="G12" s="693"/>
      <c r="H12" s="693"/>
      <c r="I12" s="693"/>
      <c r="J12" s="693"/>
      <c r="K12" s="706"/>
      <c r="L12" s="707"/>
      <c r="M12" s="431"/>
      <c r="N12" s="431" t="s">
        <v>473</v>
      </c>
      <c r="O12" s="431"/>
      <c r="P12" s="430">
        <f ca="1">0.75*($J$6*_xlfn.XLOOKUP(Eingabe!$D$64,Schichtenspeicher!$B$7:$B$47,Schichtenspeicher!$Q$7:$Q$47)+$J$6-$J$5)*$O$7*IF(Eingabe!$E$21&lt;&gt;"ja",2,1)</f>
        <v>312.61723579385813</v>
      </c>
      <c r="Q12" s="431"/>
      <c r="R12" s="442">
        <f t="shared" ca="1" si="0"/>
        <v>1.5208600000000005</v>
      </c>
    </row>
    <row r="13" spans="1:18" ht="18" thickTop="1" x14ac:dyDescent="0.35">
      <c r="A13" s="431"/>
      <c r="B13" s="431"/>
      <c r="C13" s="431"/>
      <c r="D13" s="431"/>
      <c r="E13" s="445">
        <f ca="1">(Eingabe!G49*0.9-Eingabe!J60)</f>
        <v>-17.423898759743565</v>
      </c>
      <c r="F13" s="431"/>
      <c r="G13" s="431"/>
      <c r="H13" s="431"/>
      <c r="I13" s="431"/>
      <c r="J13" s="431">
        <f ca="1">(2*I1*E4)/(I3*2.9/100+I5*3/100)</f>
        <v>2633.8313441937448</v>
      </c>
      <c r="K13" s="431">
        <f ca="1">(2*I1*(E4-E3))/(I3*3.2/100+I5*3/100)</f>
        <v>-131.05336847306876</v>
      </c>
      <c r="L13" s="431"/>
      <c r="M13" s="431"/>
      <c r="N13" s="431" t="s">
        <v>474</v>
      </c>
      <c r="O13" s="431"/>
      <c r="P13" s="430">
        <f ca="1">0.7*($J$6*_xlfn.XLOOKUP(Eingabe!$D$64,Schichtenspeicher!$B$7:$B$47,Schichtenspeicher!$Q$7:$Q$47)+$J$6-$J$5)*$O$7*IF(Eingabe!$E$21&lt;&gt;"ja",2,1)</f>
        <v>291.7760867409342</v>
      </c>
      <c r="Q13" s="431"/>
      <c r="R13" s="442">
        <f t="shared" ca="1" si="0"/>
        <v>1.4194693333333335</v>
      </c>
    </row>
    <row r="14" spans="1:18" ht="17.5" x14ac:dyDescent="0.35">
      <c r="A14" s="431"/>
      <c r="B14" s="431"/>
      <c r="C14" s="431"/>
      <c r="D14" s="431"/>
      <c r="E14" s="431"/>
      <c r="F14" s="431"/>
      <c r="G14" s="431"/>
      <c r="H14" s="431"/>
      <c r="I14" s="431"/>
      <c r="J14" s="431">
        <f ca="1">K9*J3*E7*E9+(1-K9)*J4*J7*J9</f>
        <v>2104.0411128393662</v>
      </c>
      <c r="K14" s="431">
        <f ca="1">J3*E7*E9*0.1+J4*J7*J9*0.9</f>
        <v>210.40411128393663</v>
      </c>
      <c r="L14" s="431"/>
      <c r="M14" s="431"/>
      <c r="N14" s="431" t="s">
        <v>484</v>
      </c>
      <c r="O14" s="431"/>
      <c r="P14" s="430">
        <f ca="1">0.6*($J$6*_xlfn.XLOOKUP(Eingabe!$D$64,Schichtenspeicher!$B$7:$B$47,Schichtenspeicher!$Q$7:$Q$47)+$J$6-$J$5)*$O$7*IF(Eingabe!$E$21&lt;&gt;"ja",2,1)</f>
        <v>250.09378863508647</v>
      </c>
      <c r="Q14" s="431"/>
      <c r="R14" s="442">
        <f t="shared" ca="1" si="0"/>
        <v>1.2166880000000002</v>
      </c>
    </row>
    <row r="15" spans="1:18" ht="22" x14ac:dyDescent="0.4">
      <c r="A15" s="446" t="s">
        <v>122</v>
      </c>
      <c r="B15" s="447" t="s">
        <v>68</v>
      </c>
      <c r="C15" s="448" t="s">
        <v>127</v>
      </c>
      <c r="D15" s="448" t="s">
        <v>123</v>
      </c>
      <c r="E15" s="448" t="s">
        <v>434</v>
      </c>
      <c r="F15" s="445" t="s">
        <v>76</v>
      </c>
      <c r="G15" s="445" t="s">
        <v>77</v>
      </c>
      <c r="H15" s="449" t="s">
        <v>63</v>
      </c>
      <c r="I15" s="445" t="s">
        <v>78</v>
      </c>
      <c r="J15" s="431" t="s">
        <v>79</v>
      </c>
      <c r="K15" s="450" t="s">
        <v>68</v>
      </c>
      <c r="L15" s="431" t="s">
        <v>80</v>
      </c>
      <c r="M15" s="431"/>
      <c r="N15" s="433" t="s">
        <v>483</v>
      </c>
      <c r="O15" s="433"/>
      <c r="P15" s="451">
        <f ca="1">IF(Eingabe!D64&lt;&gt;"Speichermerkmale bekannt",(_xlfn.XLOOKUP(Eingabe!D64,Schichtenspeicher!B7:B47,Schichtenspeicher!Q7:Q47)*2.5+IF(Eingabe!J66="ja",0.16,0))*K3*R15*O6*IF(Eingabe!D64="Puffer- und WW-Speicher",0.4,1.4),0)</f>
        <v>378.1948149043983</v>
      </c>
      <c r="Q15" s="431">
        <v>0.02</v>
      </c>
      <c r="R15" s="432">
        <v>1.25</v>
      </c>
    </row>
    <row r="16" spans="1:18" ht="17.5" x14ac:dyDescent="0.35">
      <c r="A16" s="452" t="s">
        <v>64</v>
      </c>
      <c r="B16" s="445">
        <v>10.5</v>
      </c>
      <c r="C16" s="431" t="s">
        <v>447</v>
      </c>
      <c r="D16" s="431" t="s">
        <v>452</v>
      </c>
      <c r="E16" s="431" t="s">
        <v>422</v>
      </c>
      <c r="F16" s="453" t="s">
        <v>21</v>
      </c>
      <c r="G16" s="445"/>
      <c r="H16" s="449">
        <v>0.05</v>
      </c>
      <c r="I16" s="445" t="s">
        <v>70</v>
      </c>
      <c r="J16" s="431"/>
      <c r="K16" s="450">
        <v>500</v>
      </c>
      <c r="L16" s="431" t="s">
        <v>13</v>
      </c>
      <c r="M16" s="431"/>
      <c r="N16" s="454" t="s">
        <v>14</v>
      </c>
      <c r="O16" s="431"/>
      <c r="P16" s="431"/>
      <c r="Q16" s="431"/>
      <c r="R16" s="431"/>
    </row>
    <row r="17" spans="1:18" ht="17.5" x14ac:dyDescent="0.35">
      <c r="A17" s="455" t="s">
        <v>65</v>
      </c>
      <c r="B17" s="445">
        <v>1</v>
      </c>
      <c r="C17" s="431" t="s">
        <v>448</v>
      </c>
      <c r="D17" s="431" t="s">
        <v>227</v>
      </c>
      <c r="E17" s="431" t="s">
        <v>423</v>
      </c>
      <c r="F17" s="453" t="s">
        <v>69</v>
      </c>
      <c r="G17" s="445"/>
      <c r="H17" s="449">
        <v>0.15</v>
      </c>
      <c r="I17" s="445" t="s">
        <v>97</v>
      </c>
      <c r="J17" s="431"/>
      <c r="K17" s="450">
        <v>450</v>
      </c>
      <c r="L17" s="431" t="s">
        <v>13</v>
      </c>
      <c r="M17" s="431"/>
      <c r="N17" s="456">
        <v>0</v>
      </c>
      <c r="O17" s="457">
        <v>2</v>
      </c>
      <c r="P17" s="430">
        <f t="shared" ref="P17:P48" si="1">20*O17*200*24/45000</f>
        <v>4.2666666666666666</v>
      </c>
      <c r="Q17" s="430">
        <f t="shared" ref="Q17:Q48" si="2">O17*24*365*35/45000</f>
        <v>13.626666666666667</v>
      </c>
      <c r="R17" s="431">
        <f>IF(Eingabe!I34=0,0.02,0.1)</f>
        <v>0.02</v>
      </c>
    </row>
    <row r="18" spans="1:18" ht="17.5" x14ac:dyDescent="0.35">
      <c r="A18" s="452" t="s">
        <v>66</v>
      </c>
      <c r="B18" s="445">
        <v>5</v>
      </c>
      <c r="C18" s="431" t="s">
        <v>449</v>
      </c>
      <c r="D18" s="431" t="s">
        <v>453</v>
      </c>
      <c r="E18" s="431" t="s">
        <v>424</v>
      </c>
      <c r="F18" s="453" t="s">
        <v>114</v>
      </c>
      <c r="G18" s="445"/>
      <c r="H18" s="449">
        <v>0.25</v>
      </c>
      <c r="I18" s="445" t="s">
        <v>71</v>
      </c>
      <c r="J18" s="431"/>
      <c r="K18" s="450">
        <v>400</v>
      </c>
      <c r="L18" s="431" t="s">
        <v>13</v>
      </c>
      <c r="M18" s="431"/>
      <c r="N18" s="456">
        <v>20</v>
      </c>
      <c r="O18" s="458">
        <v>10</v>
      </c>
      <c r="P18" s="430">
        <f t="shared" si="1"/>
        <v>21.333333333333332</v>
      </c>
      <c r="Q18" s="430">
        <f t="shared" si="2"/>
        <v>68.13333333333334</v>
      </c>
      <c r="R18" s="431">
        <f>IF(Eingabe!$I$34=0,0.05,0.2)</f>
        <v>0.05</v>
      </c>
    </row>
    <row r="19" spans="1:18" ht="17.5" x14ac:dyDescent="0.35">
      <c r="A19" s="455" t="s">
        <v>67</v>
      </c>
      <c r="B19" s="445">
        <v>2000</v>
      </c>
      <c r="C19" s="431" t="s">
        <v>450</v>
      </c>
      <c r="D19" s="431" t="s">
        <v>454</v>
      </c>
      <c r="E19" s="431" t="s">
        <v>425</v>
      </c>
      <c r="F19" s="431"/>
      <c r="G19" s="431"/>
      <c r="H19" s="431"/>
      <c r="I19" s="445" t="s">
        <v>96</v>
      </c>
      <c r="J19" s="431"/>
      <c r="K19" s="450">
        <v>350</v>
      </c>
      <c r="L19" s="431" t="s">
        <v>13</v>
      </c>
      <c r="M19" s="431"/>
      <c r="N19" s="456">
        <v>30</v>
      </c>
      <c r="O19" s="458">
        <v>15</v>
      </c>
      <c r="P19" s="430">
        <f t="shared" si="1"/>
        <v>32</v>
      </c>
      <c r="Q19" s="430">
        <f t="shared" si="2"/>
        <v>102.2</v>
      </c>
      <c r="R19" s="431">
        <f>IF(Eingabe!$I$34=0,0.07,0.3)</f>
        <v>7.0000000000000007E-2</v>
      </c>
    </row>
    <row r="20" spans="1:18" ht="17.5" x14ac:dyDescent="0.35">
      <c r="A20" s="452" t="s">
        <v>92</v>
      </c>
      <c r="B20" s="445">
        <v>1</v>
      </c>
      <c r="C20" s="431" t="s">
        <v>451</v>
      </c>
      <c r="D20" s="431" t="s">
        <v>227</v>
      </c>
      <c r="E20" s="431" t="s">
        <v>426</v>
      </c>
      <c r="F20" s="429">
        <f>IF(Eingabe!I34&gt;0,2,1)</f>
        <v>1</v>
      </c>
      <c r="G20" s="453">
        <f ca="1">F21+G21+F22+G22</f>
        <v>1</v>
      </c>
      <c r="H20" s="431"/>
      <c r="I20" s="445" t="s">
        <v>72</v>
      </c>
      <c r="J20" s="431"/>
      <c r="K20" s="450">
        <v>300</v>
      </c>
      <c r="L20" s="431" t="s">
        <v>13</v>
      </c>
      <c r="M20" s="431"/>
      <c r="N20" s="456">
        <v>40</v>
      </c>
      <c r="O20" s="458">
        <v>20</v>
      </c>
      <c r="P20" s="430">
        <f t="shared" si="1"/>
        <v>42.666666666666664</v>
      </c>
      <c r="Q20" s="430">
        <f t="shared" si="2"/>
        <v>136.26666666666668</v>
      </c>
      <c r="R20" s="431">
        <f>IF(Eingabe!$I$34=0,0.2,0.4)</f>
        <v>0.2</v>
      </c>
    </row>
    <row r="21" spans="1:18" ht="17.5" x14ac:dyDescent="0.35">
      <c r="A21" s="431"/>
      <c r="B21" s="431"/>
      <c r="C21" s="431"/>
      <c r="D21" s="431">
        <v>1.2999999999999999E-2</v>
      </c>
      <c r="E21" s="431"/>
      <c r="F21" s="431">
        <f ca="1">IF(AND(F20=1,Eingabe!P75&gt;(4.5*(1+(9.5+Eingabe!I8)*0.028))),1,0)</f>
        <v>1</v>
      </c>
      <c r="G21" s="453">
        <f ca="1">IF(AND(F20=2,Eingabe!P75&gt;(4*(1+(9.5+Eingabe!I8)*0.028))),1,0)</f>
        <v>0</v>
      </c>
      <c r="H21" s="431"/>
      <c r="I21" s="445"/>
      <c r="J21" s="431"/>
      <c r="K21" s="459" t="s">
        <v>81</v>
      </c>
      <c r="L21" s="460" t="s">
        <v>81</v>
      </c>
      <c r="M21" s="431"/>
      <c r="N21" s="456">
        <v>70</v>
      </c>
      <c r="O21" s="458">
        <v>25</v>
      </c>
      <c r="P21" s="430">
        <f t="shared" si="1"/>
        <v>53.333333333333336</v>
      </c>
      <c r="Q21" s="430">
        <f t="shared" si="2"/>
        <v>170.33333333333334</v>
      </c>
      <c r="R21" s="431">
        <f>IF(Eingabe!$I$34=0,0.4,0.5)</f>
        <v>0.4</v>
      </c>
    </row>
    <row r="22" spans="1:18" ht="18" thickBot="1" x14ac:dyDescent="0.4">
      <c r="A22" s="445" t="s">
        <v>73</v>
      </c>
      <c r="B22" s="445" t="s">
        <v>74</v>
      </c>
      <c r="C22" s="445" t="s">
        <v>75</v>
      </c>
      <c r="D22" s="445" t="s">
        <v>95</v>
      </c>
      <c r="E22" s="445"/>
      <c r="F22" s="431">
        <f ca="1">IF(AND(F20=1,Eingabe!P75&lt;(3.5*(1+(9.5+Eingabe!I8)*0.028))),-1,0)</f>
        <v>0</v>
      </c>
      <c r="G22" s="453">
        <f ca="1">IF(AND(F20=2,Eingabe!P75&lt;(3*(1+(9.5+Eingabe!I8)*0.028))),-1,0)</f>
        <v>0</v>
      </c>
      <c r="H22" s="431"/>
      <c r="I22" s="431"/>
      <c r="J22" s="431"/>
      <c r="K22" s="431" t="s">
        <v>488</v>
      </c>
      <c r="L22" s="431"/>
      <c r="M22" s="431"/>
      <c r="N22" s="456">
        <v>100</v>
      </c>
      <c r="O22" s="458">
        <v>30</v>
      </c>
      <c r="P22" s="430">
        <f t="shared" si="1"/>
        <v>64</v>
      </c>
      <c r="Q22" s="430">
        <f t="shared" si="2"/>
        <v>204.4</v>
      </c>
      <c r="R22" s="431">
        <v>0.7</v>
      </c>
    </row>
    <row r="23" spans="1:18" ht="18.5" x14ac:dyDescent="0.45">
      <c r="A23" s="461">
        <v>30</v>
      </c>
      <c r="B23" s="462">
        <f>B28-D21*5</f>
        <v>0.93500000000000005</v>
      </c>
      <c r="C23" s="463"/>
      <c r="D23" s="464">
        <v>0.5</v>
      </c>
      <c r="E23" s="465"/>
      <c r="F23" s="466" t="s">
        <v>125</v>
      </c>
      <c r="G23" s="431"/>
      <c r="H23" s="431"/>
      <c r="I23" s="431"/>
      <c r="J23" s="431"/>
      <c r="K23" s="431">
        <v>10</v>
      </c>
      <c r="L23" s="431" t="s">
        <v>486</v>
      </c>
      <c r="M23" s="431"/>
      <c r="N23" s="456">
        <v>150</v>
      </c>
      <c r="O23" s="458">
        <v>40</v>
      </c>
      <c r="P23" s="430">
        <f t="shared" si="1"/>
        <v>85.333333333333329</v>
      </c>
      <c r="Q23" s="430">
        <f t="shared" si="2"/>
        <v>272.53333333333336</v>
      </c>
      <c r="R23" s="431">
        <v>0.75</v>
      </c>
    </row>
    <row r="24" spans="1:18" ht="17.5" x14ac:dyDescent="0.35">
      <c r="A24" s="467">
        <v>31</v>
      </c>
      <c r="B24" s="468">
        <f>B28-D21*4</f>
        <v>0.94799999999999995</v>
      </c>
      <c r="C24" s="463"/>
      <c r="D24" s="464">
        <v>0.52</v>
      </c>
      <c r="E24" s="431"/>
      <c r="F24" s="469" t="s">
        <v>308</v>
      </c>
      <c r="G24" s="431"/>
      <c r="H24" s="431"/>
      <c r="I24" s="431" t="s">
        <v>124</v>
      </c>
      <c r="J24" s="431"/>
      <c r="K24" s="431">
        <v>11</v>
      </c>
      <c r="L24" s="431" t="s">
        <v>486</v>
      </c>
      <c r="M24" s="431"/>
      <c r="N24" s="456">
        <v>200</v>
      </c>
      <c r="O24" s="458">
        <v>50</v>
      </c>
      <c r="P24" s="430">
        <f t="shared" si="1"/>
        <v>106.66666666666667</v>
      </c>
      <c r="Q24" s="430">
        <f t="shared" si="2"/>
        <v>340.66666666666669</v>
      </c>
      <c r="R24" s="431">
        <v>0.77</v>
      </c>
    </row>
    <row r="25" spans="1:18" ht="17.5" x14ac:dyDescent="0.35">
      <c r="A25" s="467">
        <v>32</v>
      </c>
      <c r="B25" s="468">
        <f>B28-D21*3</f>
        <v>0.96099999999999997</v>
      </c>
      <c r="C25" s="463"/>
      <c r="D25" s="464">
        <v>0.54</v>
      </c>
      <c r="E25" s="431"/>
      <c r="F25" s="469" t="s">
        <v>98</v>
      </c>
      <c r="G25" s="431"/>
      <c r="H25" s="431"/>
      <c r="I25" s="431" t="s">
        <v>126</v>
      </c>
      <c r="J25" s="431"/>
      <c r="K25" s="431">
        <v>12</v>
      </c>
      <c r="L25" s="431" t="s">
        <v>486</v>
      </c>
      <c r="M25" s="431"/>
      <c r="N25" s="456">
        <v>250</v>
      </c>
      <c r="O25" s="458">
        <v>60</v>
      </c>
      <c r="P25" s="430">
        <f t="shared" si="1"/>
        <v>128</v>
      </c>
      <c r="Q25" s="430">
        <f t="shared" si="2"/>
        <v>408.8</v>
      </c>
      <c r="R25" s="431">
        <v>0.79</v>
      </c>
    </row>
    <row r="26" spans="1:18" ht="17.5" x14ac:dyDescent="0.35">
      <c r="A26" s="467">
        <v>33</v>
      </c>
      <c r="B26" s="468">
        <f>B28-D21*2</f>
        <v>0.97399999999999998</v>
      </c>
      <c r="C26" s="463"/>
      <c r="D26" s="464">
        <v>0.56000000000000005</v>
      </c>
      <c r="E26" s="431"/>
      <c r="F26" s="469" t="s">
        <v>110</v>
      </c>
      <c r="G26" s="431"/>
      <c r="H26" s="431"/>
      <c r="I26" s="431" t="s">
        <v>207</v>
      </c>
      <c r="J26" s="431"/>
      <c r="K26" s="431">
        <v>13</v>
      </c>
      <c r="L26" s="431" t="s">
        <v>486</v>
      </c>
      <c r="M26" s="431"/>
      <c r="N26" s="456">
        <v>300</v>
      </c>
      <c r="O26" s="458">
        <v>68</v>
      </c>
      <c r="P26" s="430">
        <f t="shared" si="1"/>
        <v>145.06666666666666</v>
      </c>
      <c r="Q26" s="430">
        <f t="shared" si="2"/>
        <v>463.30666666666667</v>
      </c>
      <c r="R26" s="431">
        <v>0.8</v>
      </c>
    </row>
    <row r="27" spans="1:18" ht="17.5" x14ac:dyDescent="0.35">
      <c r="A27" s="467">
        <v>34</v>
      </c>
      <c r="B27" s="468">
        <f>B28-D21</f>
        <v>0.98699999999999999</v>
      </c>
      <c r="C27" s="463"/>
      <c r="D27" s="464">
        <v>0.57999999999999996</v>
      </c>
      <c r="E27" s="431"/>
      <c r="F27" s="469" t="s">
        <v>60</v>
      </c>
      <c r="G27" s="431"/>
      <c r="H27" s="431"/>
      <c r="I27" s="431"/>
      <c r="J27" s="431"/>
      <c r="K27" s="431">
        <v>14</v>
      </c>
      <c r="L27" s="431" t="s">
        <v>486</v>
      </c>
      <c r="M27" s="431"/>
      <c r="N27" s="456">
        <v>350</v>
      </c>
      <c r="O27" s="458">
        <v>75</v>
      </c>
      <c r="P27" s="430">
        <f t="shared" si="1"/>
        <v>160</v>
      </c>
      <c r="Q27" s="430">
        <f t="shared" si="2"/>
        <v>511</v>
      </c>
      <c r="R27" s="470">
        <v>0.81</v>
      </c>
    </row>
    <row r="28" spans="1:18" ht="17.5" x14ac:dyDescent="0.35">
      <c r="A28" s="467">
        <v>35</v>
      </c>
      <c r="B28" s="468">
        <v>1</v>
      </c>
      <c r="C28" s="463"/>
      <c r="D28" s="464">
        <v>0.6</v>
      </c>
      <c r="E28" s="431"/>
      <c r="F28" s="469" t="s">
        <v>327</v>
      </c>
      <c r="G28" s="431"/>
      <c r="H28" s="431"/>
      <c r="I28" s="431"/>
      <c r="J28" s="431"/>
      <c r="K28" s="431">
        <v>15</v>
      </c>
      <c r="L28" s="431" t="s">
        <v>486</v>
      </c>
      <c r="M28" s="431"/>
      <c r="N28" s="456">
        <v>400</v>
      </c>
      <c r="O28" s="458">
        <v>80</v>
      </c>
      <c r="P28" s="430">
        <f t="shared" si="1"/>
        <v>170.66666666666666</v>
      </c>
      <c r="Q28" s="430">
        <f t="shared" si="2"/>
        <v>545.06666666666672</v>
      </c>
      <c r="R28" s="470">
        <v>0.82</v>
      </c>
    </row>
    <row r="29" spans="1:18" ht="17.5" x14ac:dyDescent="0.35">
      <c r="A29" s="467">
        <v>36</v>
      </c>
      <c r="B29" s="468">
        <f>B28+D21</f>
        <v>1.0129999999999999</v>
      </c>
      <c r="C29" s="463"/>
      <c r="D29" s="464">
        <v>0.62</v>
      </c>
      <c r="E29" s="431"/>
      <c r="F29" s="469" t="s">
        <v>39</v>
      </c>
      <c r="G29" s="431"/>
      <c r="H29" s="431"/>
      <c r="I29" s="431" t="s">
        <v>111</v>
      </c>
      <c r="J29" s="431"/>
      <c r="K29" s="431">
        <v>16</v>
      </c>
      <c r="L29" s="431" t="s">
        <v>486</v>
      </c>
      <c r="M29" s="431"/>
      <c r="N29" s="456">
        <v>450</v>
      </c>
      <c r="O29" s="458">
        <v>84</v>
      </c>
      <c r="P29" s="430">
        <f t="shared" si="1"/>
        <v>179.2</v>
      </c>
      <c r="Q29" s="430">
        <f t="shared" si="2"/>
        <v>572.32000000000005</v>
      </c>
      <c r="R29" s="470">
        <v>0.84</v>
      </c>
    </row>
    <row r="30" spans="1:18" ht="17.5" x14ac:dyDescent="0.35">
      <c r="A30" s="467">
        <v>37</v>
      </c>
      <c r="B30" s="468">
        <f>B28+D21*2</f>
        <v>1.026</v>
      </c>
      <c r="C30" s="463"/>
      <c r="D30" s="464">
        <v>0.64</v>
      </c>
      <c r="E30" s="431"/>
      <c r="F30" s="469" t="s">
        <v>52</v>
      </c>
      <c r="G30" s="431"/>
      <c r="H30" s="431"/>
      <c r="I30" s="431" t="s">
        <v>84</v>
      </c>
      <c r="J30" s="431"/>
      <c r="K30" s="431">
        <v>17</v>
      </c>
      <c r="L30" s="431" t="s">
        <v>486</v>
      </c>
      <c r="M30" s="431"/>
      <c r="N30" s="456">
        <v>500</v>
      </c>
      <c r="O30" s="458">
        <v>87</v>
      </c>
      <c r="P30" s="430">
        <f t="shared" si="1"/>
        <v>185.6</v>
      </c>
      <c r="Q30" s="430">
        <f t="shared" si="2"/>
        <v>592.76</v>
      </c>
      <c r="R30" s="470">
        <v>0.86</v>
      </c>
    </row>
    <row r="31" spans="1:18" ht="17.5" x14ac:dyDescent="0.35">
      <c r="A31" s="467">
        <v>38</v>
      </c>
      <c r="B31" s="468">
        <f>B28+D21*3</f>
        <v>1.0389999999999999</v>
      </c>
      <c r="C31" s="463"/>
      <c r="D31" s="464">
        <v>0.66</v>
      </c>
      <c r="E31" s="431"/>
      <c r="F31" s="469" t="s">
        <v>50</v>
      </c>
      <c r="G31" s="431"/>
      <c r="H31" s="431"/>
      <c r="I31" s="431" t="s">
        <v>83</v>
      </c>
      <c r="J31" s="431"/>
      <c r="K31" s="431">
        <v>18</v>
      </c>
      <c r="L31" s="431" t="s">
        <v>486</v>
      </c>
      <c r="M31" s="431"/>
      <c r="N31" s="456">
        <v>550</v>
      </c>
      <c r="O31" s="458">
        <v>90</v>
      </c>
      <c r="P31" s="430">
        <f t="shared" si="1"/>
        <v>192</v>
      </c>
      <c r="Q31" s="430">
        <f t="shared" si="2"/>
        <v>613.20000000000005</v>
      </c>
      <c r="R31" s="470">
        <v>0.88</v>
      </c>
    </row>
    <row r="32" spans="1:18" ht="18" thickBot="1" x14ac:dyDescent="0.4">
      <c r="A32" s="467">
        <v>39</v>
      </c>
      <c r="B32" s="468">
        <f>B28+D21*4</f>
        <v>1.052</v>
      </c>
      <c r="C32" s="463"/>
      <c r="D32" s="464">
        <v>0.68</v>
      </c>
      <c r="E32" s="431"/>
      <c r="F32" s="469" t="s">
        <v>343</v>
      </c>
      <c r="G32" s="431"/>
      <c r="H32" s="431"/>
      <c r="I32" s="431" t="s">
        <v>279</v>
      </c>
      <c r="J32" s="431"/>
      <c r="K32" s="431">
        <v>19</v>
      </c>
      <c r="L32" s="431" t="s">
        <v>486</v>
      </c>
      <c r="M32" s="431"/>
      <c r="N32" s="456">
        <v>600</v>
      </c>
      <c r="O32" s="458">
        <v>93</v>
      </c>
      <c r="P32" s="430">
        <f t="shared" si="1"/>
        <v>198.4</v>
      </c>
      <c r="Q32" s="430">
        <f t="shared" si="2"/>
        <v>633.64</v>
      </c>
      <c r="R32" s="470">
        <v>0.9</v>
      </c>
    </row>
    <row r="33" spans="1:18" ht="18" thickBot="1" x14ac:dyDescent="0.4">
      <c r="A33" s="467">
        <v>40</v>
      </c>
      <c r="B33" s="468">
        <f>B28+D21*5</f>
        <v>1.0649999999999999</v>
      </c>
      <c r="C33" s="471">
        <f>C34-D21</f>
        <v>0.80499999999999983</v>
      </c>
      <c r="D33" s="472">
        <f t="shared" ref="D33:D47" si="3">D34-0.02</f>
        <v>0.69999999999999973</v>
      </c>
      <c r="E33" s="431"/>
      <c r="F33" s="469" t="s">
        <v>342</v>
      </c>
      <c r="G33" s="431"/>
      <c r="H33" s="431"/>
      <c r="I33" s="431"/>
      <c r="J33" s="431"/>
      <c r="K33" s="431">
        <v>20</v>
      </c>
      <c r="L33" s="431" t="s">
        <v>486</v>
      </c>
      <c r="M33" s="431"/>
      <c r="N33" s="456">
        <v>650</v>
      </c>
      <c r="O33" s="458">
        <v>95</v>
      </c>
      <c r="P33" s="430">
        <f t="shared" si="1"/>
        <v>202.66666666666666</v>
      </c>
      <c r="Q33" s="430">
        <f t="shared" si="2"/>
        <v>647.26666666666665</v>
      </c>
      <c r="R33" s="470">
        <v>0.92</v>
      </c>
    </row>
    <row r="34" spans="1:18" ht="18" thickBot="1" x14ac:dyDescent="0.4">
      <c r="A34" s="467">
        <v>41</v>
      </c>
      <c r="B34" s="468">
        <f>B28+D21*6</f>
        <v>1.0780000000000001</v>
      </c>
      <c r="C34" s="471">
        <f>C35-D21</f>
        <v>0.81799999999999984</v>
      </c>
      <c r="D34" s="472">
        <f t="shared" si="3"/>
        <v>0.71999999999999975</v>
      </c>
      <c r="E34" s="473"/>
      <c r="F34" s="469" t="s">
        <v>336</v>
      </c>
      <c r="G34" s="431"/>
      <c r="H34" s="431"/>
      <c r="I34" s="474" t="s">
        <v>111</v>
      </c>
      <c r="J34" s="475" t="s">
        <v>112</v>
      </c>
      <c r="K34" s="431"/>
      <c r="L34" s="445" t="s">
        <v>419</v>
      </c>
      <c r="M34" s="431">
        <v>30000</v>
      </c>
      <c r="N34" s="456">
        <v>700</v>
      </c>
      <c r="O34" s="458">
        <v>97</v>
      </c>
      <c r="P34" s="430">
        <f t="shared" si="1"/>
        <v>206.93333333333334</v>
      </c>
      <c r="Q34" s="430">
        <f t="shared" si="2"/>
        <v>660.89333333333332</v>
      </c>
      <c r="R34" s="470">
        <v>0.94</v>
      </c>
    </row>
    <row r="35" spans="1:18" ht="18" thickBot="1" x14ac:dyDescent="0.4">
      <c r="A35" s="467">
        <v>42</v>
      </c>
      <c r="B35" s="468">
        <f>B28+D21*7</f>
        <v>1.091</v>
      </c>
      <c r="C35" s="471">
        <f>C36-D21</f>
        <v>0.83099999999999985</v>
      </c>
      <c r="D35" s="472">
        <f t="shared" si="3"/>
        <v>0.73999999999999977</v>
      </c>
      <c r="E35" s="431"/>
      <c r="F35" s="469" t="s">
        <v>46</v>
      </c>
      <c r="G35" s="431"/>
      <c r="H35" s="431"/>
      <c r="I35" s="474">
        <v>-6</v>
      </c>
      <c r="J35" s="475">
        <f>1/(1+(9.5+I35)*0.03)</f>
        <v>0.90497737556561086</v>
      </c>
      <c r="K35" s="476"/>
      <c r="L35" s="445" t="s">
        <v>420</v>
      </c>
      <c r="M35" s="431">
        <v>45000</v>
      </c>
      <c r="N35" s="456">
        <v>750</v>
      </c>
      <c r="O35" s="458">
        <v>99</v>
      </c>
      <c r="P35" s="430">
        <f t="shared" si="1"/>
        <v>211.2</v>
      </c>
      <c r="Q35" s="430">
        <f t="shared" si="2"/>
        <v>674.52</v>
      </c>
      <c r="R35" s="470">
        <v>0.95499999999999996</v>
      </c>
    </row>
    <row r="36" spans="1:18" ht="18" thickBot="1" x14ac:dyDescent="0.4">
      <c r="A36" s="467">
        <v>43</v>
      </c>
      <c r="B36" s="468">
        <f>B28+D21*8</f>
        <v>1.1040000000000001</v>
      </c>
      <c r="C36" s="471">
        <f>C37-D21</f>
        <v>0.84399999999999986</v>
      </c>
      <c r="D36" s="472">
        <f t="shared" si="3"/>
        <v>0.75999999999999979</v>
      </c>
      <c r="E36" s="477"/>
      <c r="F36" s="469" t="s">
        <v>325</v>
      </c>
      <c r="G36" s="431"/>
      <c r="H36" s="431"/>
      <c r="I36" s="474">
        <v>-6.5</v>
      </c>
      <c r="J36" s="475">
        <f>1/(1+(9.5+I36)*0.03)</f>
        <v>0.9174311926605504</v>
      </c>
      <c r="K36" s="476"/>
      <c r="L36" s="445" t="s">
        <v>421</v>
      </c>
      <c r="M36" s="431">
        <v>60000</v>
      </c>
      <c r="N36" s="456">
        <v>800</v>
      </c>
      <c r="O36" s="458">
        <v>101</v>
      </c>
      <c r="P36" s="430">
        <f t="shared" si="1"/>
        <v>215.46666666666667</v>
      </c>
      <c r="Q36" s="430">
        <f t="shared" si="2"/>
        <v>688.14666666666665</v>
      </c>
      <c r="R36" s="470">
        <v>0.97</v>
      </c>
    </row>
    <row r="37" spans="1:18" ht="18" thickBot="1" x14ac:dyDescent="0.4">
      <c r="A37" s="478">
        <v>44</v>
      </c>
      <c r="B37" s="479">
        <f>B28+D21*9</f>
        <v>1.117</v>
      </c>
      <c r="C37" s="471">
        <f>C38-D21</f>
        <v>0.85699999999999987</v>
      </c>
      <c r="D37" s="472">
        <f t="shared" si="3"/>
        <v>0.7799999999999998</v>
      </c>
      <c r="E37" s="431"/>
      <c r="F37" s="469" t="s">
        <v>341</v>
      </c>
      <c r="G37" s="431"/>
      <c r="H37" s="431"/>
      <c r="I37" s="474">
        <v>-7</v>
      </c>
      <c r="J37" s="475">
        <f>1/(1+(9.5+I37)*0.03)</f>
        <v>0.93023255813953487</v>
      </c>
      <c r="K37" s="476"/>
      <c r="L37" s="445" t="s">
        <v>415</v>
      </c>
      <c r="M37" s="431">
        <v>11000</v>
      </c>
      <c r="N37" s="456">
        <v>850</v>
      </c>
      <c r="O37" s="458">
        <v>103</v>
      </c>
      <c r="P37" s="430">
        <f t="shared" si="1"/>
        <v>219.73333333333332</v>
      </c>
      <c r="Q37" s="430">
        <f t="shared" si="2"/>
        <v>701.77333333333331</v>
      </c>
      <c r="R37" s="470">
        <v>0.98</v>
      </c>
    </row>
    <row r="38" spans="1:18" ht="18" thickBot="1" x14ac:dyDescent="0.4">
      <c r="A38" s="478">
        <v>45</v>
      </c>
      <c r="B38" s="479">
        <f>B37+D21</f>
        <v>1.1299999999999999</v>
      </c>
      <c r="C38" s="471">
        <f>C39-D21</f>
        <v>0.86999999999999988</v>
      </c>
      <c r="D38" s="472">
        <f t="shared" si="3"/>
        <v>0.79999999999999982</v>
      </c>
      <c r="E38" s="431"/>
      <c r="F38" s="469" t="s">
        <v>340</v>
      </c>
      <c r="G38" s="431"/>
      <c r="H38" s="431"/>
      <c r="I38" s="474">
        <v>-7.5</v>
      </c>
      <c r="J38" s="475">
        <f>1/(1+(9.5+I38)*0.03)</f>
        <v>0.94339622641509424</v>
      </c>
      <c r="K38" s="476"/>
      <c r="L38" s="445" t="s">
        <v>416</v>
      </c>
      <c r="M38" s="431">
        <v>10000</v>
      </c>
      <c r="N38" s="456">
        <v>900</v>
      </c>
      <c r="O38" s="458">
        <v>105</v>
      </c>
      <c r="P38" s="430">
        <f t="shared" si="1"/>
        <v>224</v>
      </c>
      <c r="Q38" s="430">
        <f t="shared" si="2"/>
        <v>715.4</v>
      </c>
      <c r="R38" s="470">
        <v>0.99</v>
      </c>
    </row>
    <row r="39" spans="1:18" ht="17.5" x14ac:dyDescent="0.35">
      <c r="A39" s="480">
        <v>46</v>
      </c>
      <c r="B39" s="481"/>
      <c r="C39" s="471">
        <f>C40-D21</f>
        <v>0.8829999999999999</v>
      </c>
      <c r="D39" s="482">
        <f t="shared" si="3"/>
        <v>0.81999999999999984</v>
      </c>
      <c r="E39" s="431"/>
      <c r="F39" s="469" t="s">
        <v>339</v>
      </c>
      <c r="G39" s="431"/>
      <c r="H39" s="431"/>
      <c r="I39" s="474">
        <v>-8</v>
      </c>
      <c r="J39" s="475">
        <f t="shared" ref="J39:J46" si="4">1/(1+(9.5+I39)*0.035)</f>
        <v>0.95011876484560576</v>
      </c>
      <c r="K39" s="476"/>
      <c r="L39" s="431"/>
      <c r="M39" s="431"/>
      <c r="N39" s="456">
        <v>950</v>
      </c>
      <c r="O39" s="458">
        <v>107</v>
      </c>
      <c r="P39" s="430">
        <f t="shared" si="1"/>
        <v>228.26666666666668</v>
      </c>
      <c r="Q39" s="430">
        <f t="shared" si="2"/>
        <v>729.02666666666664</v>
      </c>
      <c r="R39" s="470">
        <f>O39/107</f>
        <v>1</v>
      </c>
    </row>
    <row r="40" spans="1:18" ht="17.5" x14ac:dyDescent="0.35">
      <c r="A40" s="480">
        <v>47</v>
      </c>
      <c r="B40" s="483"/>
      <c r="C40" s="471">
        <f>C41-D21</f>
        <v>0.89599999999999991</v>
      </c>
      <c r="D40" s="482">
        <f t="shared" si="3"/>
        <v>0.83999999999999986</v>
      </c>
      <c r="E40" s="431"/>
      <c r="F40" s="469" t="s">
        <v>338</v>
      </c>
      <c r="G40" s="431"/>
      <c r="H40" s="431"/>
      <c r="I40" s="474">
        <v>-8.5</v>
      </c>
      <c r="J40" s="475">
        <f t="shared" si="4"/>
        <v>0.96618357487922713</v>
      </c>
      <c r="K40" s="476"/>
      <c r="L40" s="431" t="s">
        <v>435</v>
      </c>
      <c r="M40" s="431"/>
      <c r="N40" s="456">
        <v>1000</v>
      </c>
      <c r="O40" s="458">
        <v>109</v>
      </c>
      <c r="P40" s="430">
        <f t="shared" si="1"/>
        <v>232.53333333333333</v>
      </c>
      <c r="Q40" s="430">
        <f t="shared" si="2"/>
        <v>742.65333333333331</v>
      </c>
      <c r="R40" s="470">
        <f t="shared" ref="R40:R52" si="5">O40/108</f>
        <v>1.0092592592592593</v>
      </c>
    </row>
    <row r="41" spans="1:18" ht="17.5" x14ac:dyDescent="0.35">
      <c r="A41" s="480">
        <v>48</v>
      </c>
      <c r="B41" s="483"/>
      <c r="C41" s="471">
        <f>C42-D21</f>
        <v>0.90899999999999992</v>
      </c>
      <c r="D41" s="482">
        <f t="shared" si="3"/>
        <v>0.85999999999999988</v>
      </c>
      <c r="E41" s="431"/>
      <c r="F41" s="469" t="s">
        <v>43</v>
      </c>
      <c r="G41" s="431"/>
      <c r="H41" s="431"/>
      <c r="I41" s="474">
        <v>-9</v>
      </c>
      <c r="J41" s="475">
        <f t="shared" si="4"/>
        <v>0.98280098280098271</v>
      </c>
      <c r="K41" s="476"/>
      <c r="L41" s="431">
        <f ca="1">(Eingabe!G49*0.9-Eingabe!J60)</f>
        <v>-17.423898759743565</v>
      </c>
      <c r="M41" s="431"/>
      <c r="N41" s="456">
        <v>1050</v>
      </c>
      <c r="O41" s="458">
        <v>111</v>
      </c>
      <c r="P41" s="430">
        <f t="shared" si="1"/>
        <v>236.8</v>
      </c>
      <c r="Q41" s="430">
        <f t="shared" si="2"/>
        <v>756.28</v>
      </c>
      <c r="R41" s="470">
        <f t="shared" si="5"/>
        <v>1.0277777777777777</v>
      </c>
    </row>
    <row r="42" spans="1:18" ht="17.5" x14ac:dyDescent="0.35">
      <c r="A42" s="480">
        <v>49</v>
      </c>
      <c r="B42" s="483"/>
      <c r="C42" s="471">
        <f>C43-D21</f>
        <v>0.92199999999999993</v>
      </c>
      <c r="D42" s="482">
        <f t="shared" si="3"/>
        <v>0.87999999999999989</v>
      </c>
      <c r="E42" s="431"/>
      <c r="F42" s="469" t="s">
        <v>33</v>
      </c>
      <c r="G42" s="431"/>
      <c r="H42" s="431"/>
      <c r="I42" s="474">
        <v>-9.5</v>
      </c>
      <c r="J42" s="475">
        <f t="shared" si="4"/>
        <v>1</v>
      </c>
      <c r="K42" s="476"/>
      <c r="L42" s="431"/>
      <c r="M42" s="431"/>
      <c r="N42" s="456">
        <v>1100</v>
      </c>
      <c r="O42" s="458">
        <v>113</v>
      </c>
      <c r="P42" s="430">
        <f t="shared" si="1"/>
        <v>241.06666666666666</v>
      </c>
      <c r="Q42" s="430">
        <f t="shared" si="2"/>
        <v>769.90666666666664</v>
      </c>
      <c r="R42" s="470">
        <f t="shared" si="5"/>
        <v>1.0462962962962963</v>
      </c>
    </row>
    <row r="43" spans="1:18" ht="17.5" x14ac:dyDescent="0.35">
      <c r="A43" s="480">
        <v>50</v>
      </c>
      <c r="B43" s="483"/>
      <c r="C43" s="471">
        <f>C44-D21</f>
        <v>0.93499999999999994</v>
      </c>
      <c r="D43" s="482">
        <f t="shared" si="3"/>
        <v>0.89999999999999991</v>
      </c>
      <c r="E43" s="431"/>
      <c r="F43" s="469" t="s">
        <v>37</v>
      </c>
      <c r="G43" s="431"/>
      <c r="H43" s="431"/>
      <c r="I43" s="474">
        <v>-10</v>
      </c>
      <c r="J43" s="475">
        <f t="shared" si="4"/>
        <v>1.0178117048346056</v>
      </c>
      <c r="K43" s="484" t="s">
        <v>207</v>
      </c>
      <c r="L43" s="432" t="s">
        <v>111</v>
      </c>
      <c r="M43" s="432" t="s">
        <v>126</v>
      </c>
      <c r="N43" s="456">
        <v>1150</v>
      </c>
      <c r="O43" s="458">
        <v>115</v>
      </c>
      <c r="P43" s="430">
        <f t="shared" si="1"/>
        <v>245.33333333333334</v>
      </c>
      <c r="Q43" s="430">
        <f t="shared" si="2"/>
        <v>783.5333333333333</v>
      </c>
      <c r="R43" s="470">
        <f t="shared" si="5"/>
        <v>1.0648148148148149</v>
      </c>
    </row>
    <row r="44" spans="1:18" ht="17.5" x14ac:dyDescent="0.35">
      <c r="A44" s="480">
        <v>51</v>
      </c>
      <c r="B44" s="483"/>
      <c r="C44" s="471">
        <f>C45-D21</f>
        <v>0.94799999999999995</v>
      </c>
      <c r="D44" s="482">
        <f t="shared" si="3"/>
        <v>0.91999999999999993</v>
      </c>
      <c r="E44" s="431"/>
      <c r="F44" s="469" t="s">
        <v>40</v>
      </c>
      <c r="G44" s="431"/>
      <c r="H44" s="431"/>
      <c r="I44" s="474">
        <v>-10.5</v>
      </c>
      <c r="J44" s="475">
        <f t="shared" si="4"/>
        <v>1.0362694300518136</v>
      </c>
      <c r="K44" s="432" t="s">
        <v>386</v>
      </c>
      <c r="L44" s="485"/>
      <c r="M44" s="486" t="s">
        <v>372</v>
      </c>
      <c r="N44" s="456">
        <v>1200</v>
      </c>
      <c r="O44" s="458">
        <v>117</v>
      </c>
      <c r="P44" s="430">
        <f t="shared" si="1"/>
        <v>249.6</v>
      </c>
      <c r="Q44" s="430">
        <f t="shared" si="2"/>
        <v>797.16</v>
      </c>
      <c r="R44" s="470">
        <f t="shared" si="5"/>
        <v>1.0833333333333333</v>
      </c>
    </row>
    <row r="45" spans="1:18" ht="17.5" x14ac:dyDescent="0.35">
      <c r="A45" s="480">
        <v>52</v>
      </c>
      <c r="B45" s="483"/>
      <c r="C45" s="471">
        <f>C46-D21</f>
        <v>0.96099999999999997</v>
      </c>
      <c r="D45" s="482">
        <f t="shared" si="3"/>
        <v>0.94</v>
      </c>
      <c r="E45" s="431"/>
      <c r="F45" s="469" t="s">
        <v>48</v>
      </c>
      <c r="G45" s="431"/>
      <c r="H45" s="431"/>
      <c r="I45" s="474">
        <v>-11</v>
      </c>
      <c r="J45" s="475">
        <f t="shared" si="4"/>
        <v>1.0554089709762533</v>
      </c>
      <c r="K45" s="486" t="s">
        <v>387</v>
      </c>
      <c r="L45" s="486"/>
      <c r="M45" s="486" t="s">
        <v>373</v>
      </c>
      <c r="N45" s="456">
        <v>1250</v>
      </c>
      <c r="O45" s="458">
        <v>119</v>
      </c>
      <c r="P45" s="430">
        <f t="shared" si="1"/>
        <v>253.86666666666667</v>
      </c>
      <c r="Q45" s="430">
        <f t="shared" si="2"/>
        <v>810.78666666666663</v>
      </c>
      <c r="R45" s="470">
        <f t="shared" si="5"/>
        <v>1.1018518518518519</v>
      </c>
    </row>
    <row r="46" spans="1:18" ht="17.5" x14ac:dyDescent="0.35">
      <c r="A46" s="480">
        <v>53</v>
      </c>
      <c r="B46" s="483"/>
      <c r="C46" s="471">
        <f>C47-D21</f>
        <v>0.97399999999999998</v>
      </c>
      <c r="D46" s="482">
        <f t="shared" si="3"/>
        <v>0.96</v>
      </c>
      <c r="E46" s="431"/>
      <c r="F46" s="469" t="s">
        <v>17</v>
      </c>
      <c r="G46" s="431"/>
      <c r="H46" s="431"/>
      <c r="I46" s="474">
        <v>-11.5</v>
      </c>
      <c r="J46" s="475">
        <f t="shared" si="4"/>
        <v>1.0752688172043012</v>
      </c>
      <c r="K46" s="486" t="s">
        <v>388</v>
      </c>
      <c r="L46" s="486"/>
      <c r="M46" s="486" t="s">
        <v>374</v>
      </c>
      <c r="N46" s="456">
        <v>1300</v>
      </c>
      <c r="O46" s="458">
        <v>121</v>
      </c>
      <c r="P46" s="430">
        <f t="shared" si="1"/>
        <v>258.13333333333333</v>
      </c>
      <c r="Q46" s="430">
        <f t="shared" si="2"/>
        <v>824.4133333333333</v>
      </c>
      <c r="R46" s="470">
        <f t="shared" si="5"/>
        <v>1.1203703703703705</v>
      </c>
    </row>
    <row r="47" spans="1:18" ht="17.5" x14ac:dyDescent="0.35">
      <c r="A47" s="480">
        <v>54</v>
      </c>
      <c r="B47" s="483"/>
      <c r="C47" s="471">
        <f>C48-D21</f>
        <v>0.98699999999999999</v>
      </c>
      <c r="D47" s="482">
        <f t="shared" si="3"/>
        <v>0.98</v>
      </c>
      <c r="E47" s="431"/>
      <c r="F47" s="469" t="s">
        <v>298</v>
      </c>
      <c r="G47" s="431"/>
      <c r="H47" s="431"/>
      <c r="I47" s="474">
        <v>-12</v>
      </c>
      <c r="J47" s="475">
        <f>1/(1+(9.5+I47)*0.03)</f>
        <v>1.0810810810810809</v>
      </c>
      <c r="K47" s="486" t="s">
        <v>389</v>
      </c>
      <c r="L47" s="486"/>
      <c r="M47" s="486" t="s">
        <v>375</v>
      </c>
      <c r="N47" s="456">
        <v>1350</v>
      </c>
      <c r="O47" s="458">
        <v>123</v>
      </c>
      <c r="P47" s="430">
        <f t="shared" si="1"/>
        <v>262.39999999999998</v>
      </c>
      <c r="Q47" s="430">
        <f t="shared" si="2"/>
        <v>838.04</v>
      </c>
      <c r="R47" s="470">
        <f t="shared" si="5"/>
        <v>1.1388888888888888</v>
      </c>
    </row>
    <row r="48" spans="1:18" ht="17.5" x14ac:dyDescent="0.35">
      <c r="A48" s="480">
        <v>55</v>
      </c>
      <c r="B48" s="483"/>
      <c r="C48" s="471">
        <v>1</v>
      </c>
      <c r="D48" s="482">
        <v>1</v>
      </c>
      <c r="E48" s="431"/>
      <c r="F48" s="469" t="s">
        <v>16</v>
      </c>
      <c r="G48" s="431"/>
      <c r="H48" s="431"/>
      <c r="I48" s="474">
        <v>-12.5</v>
      </c>
      <c r="J48" s="475">
        <f>1/(1+(9.5+I48)*0.03)</f>
        <v>1.0989010989010988</v>
      </c>
      <c r="K48" s="486" t="s">
        <v>390</v>
      </c>
      <c r="L48" s="486"/>
      <c r="M48" s="486" t="s">
        <v>379</v>
      </c>
      <c r="N48" s="456">
        <v>1400</v>
      </c>
      <c r="O48" s="458">
        <v>125</v>
      </c>
      <c r="P48" s="430">
        <f t="shared" si="1"/>
        <v>266.66666666666669</v>
      </c>
      <c r="Q48" s="430">
        <f t="shared" si="2"/>
        <v>851.66666666666663</v>
      </c>
      <c r="R48" s="470">
        <f t="shared" si="5"/>
        <v>1.1574074074074074</v>
      </c>
    </row>
    <row r="49" spans="1:18" ht="17.5" x14ac:dyDescent="0.35">
      <c r="A49" s="480">
        <v>56</v>
      </c>
      <c r="B49" s="483"/>
      <c r="C49" s="471">
        <f>C48+D21</f>
        <v>1.0129999999999999</v>
      </c>
      <c r="D49" s="482">
        <f t="shared" ref="D49:D58" si="6">D48+0.02</f>
        <v>1.02</v>
      </c>
      <c r="E49" s="431"/>
      <c r="F49" s="469" t="s">
        <v>53</v>
      </c>
      <c r="G49" s="431"/>
      <c r="H49" s="431"/>
      <c r="I49" s="474">
        <v>-13</v>
      </c>
      <c r="J49" s="475">
        <f>1/(1+(9.5+I49)*0.03)</f>
        <v>1.1173184357541899</v>
      </c>
      <c r="K49" s="486" t="s">
        <v>391</v>
      </c>
      <c r="L49" s="486"/>
      <c r="M49" s="486" t="s">
        <v>380</v>
      </c>
      <c r="N49" s="456">
        <v>1450</v>
      </c>
      <c r="O49" s="458">
        <v>127</v>
      </c>
      <c r="P49" s="430">
        <f t="shared" ref="P49:P80" si="7">20*O49*200*24/45000</f>
        <v>270.93333333333334</v>
      </c>
      <c r="Q49" s="430">
        <f t="shared" ref="Q49:Q80" si="8">O49*24*365*35/45000</f>
        <v>865.29333333333329</v>
      </c>
      <c r="R49" s="470">
        <f t="shared" si="5"/>
        <v>1.1759259259259258</v>
      </c>
    </row>
    <row r="50" spans="1:18" ht="17.5" x14ac:dyDescent="0.35">
      <c r="A50" s="480">
        <v>57</v>
      </c>
      <c r="B50" s="483"/>
      <c r="C50" s="471">
        <f>C49+D21</f>
        <v>1.0259999999999998</v>
      </c>
      <c r="D50" s="482">
        <f t="shared" si="6"/>
        <v>1.04</v>
      </c>
      <c r="E50" s="431"/>
      <c r="F50" s="469" t="s">
        <v>35</v>
      </c>
      <c r="G50" s="431"/>
      <c r="H50" s="431"/>
      <c r="I50" s="474">
        <v>-13.5</v>
      </c>
      <c r="J50" s="475">
        <f>1/(1+(9.5+I50)*0.03)</f>
        <v>1.1363636363636365</v>
      </c>
      <c r="K50" s="487" t="s">
        <v>392</v>
      </c>
      <c r="L50" s="487"/>
      <c r="M50" s="487" t="s">
        <v>376</v>
      </c>
      <c r="N50" s="456">
        <v>1500</v>
      </c>
      <c r="O50" s="458">
        <v>129</v>
      </c>
      <c r="P50" s="430">
        <f t="shared" si="7"/>
        <v>275.2</v>
      </c>
      <c r="Q50" s="430">
        <f t="shared" si="8"/>
        <v>878.92</v>
      </c>
      <c r="R50" s="470">
        <f t="shared" si="5"/>
        <v>1.1944444444444444</v>
      </c>
    </row>
    <row r="51" spans="1:18" ht="17.5" x14ac:dyDescent="0.35">
      <c r="A51" s="480">
        <v>58</v>
      </c>
      <c r="B51" s="483"/>
      <c r="C51" s="471">
        <f>C50+D21</f>
        <v>1.0389999999999997</v>
      </c>
      <c r="D51" s="482">
        <f t="shared" si="6"/>
        <v>1.06</v>
      </c>
      <c r="E51" s="431"/>
      <c r="F51" s="469" t="s">
        <v>38</v>
      </c>
      <c r="G51" s="431"/>
      <c r="H51" s="431"/>
      <c r="I51" s="474">
        <v>-14</v>
      </c>
      <c r="J51" s="475">
        <f>1/(1+(9.5+I51)*0.029)</f>
        <v>1.1500862564692353</v>
      </c>
      <c r="K51" s="487" t="s">
        <v>393</v>
      </c>
      <c r="L51" s="488"/>
      <c r="M51" s="487" t="s">
        <v>377</v>
      </c>
      <c r="N51" s="456">
        <v>1550</v>
      </c>
      <c r="O51" s="458">
        <v>131</v>
      </c>
      <c r="P51" s="430">
        <f t="shared" si="7"/>
        <v>279.46666666666664</v>
      </c>
      <c r="Q51" s="430">
        <f t="shared" si="8"/>
        <v>892.54666666666662</v>
      </c>
      <c r="R51" s="470">
        <f t="shared" si="5"/>
        <v>1.212962962962963</v>
      </c>
    </row>
    <row r="52" spans="1:18" ht="17.5" x14ac:dyDescent="0.35">
      <c r="A52" s="480">
        <v>59</v>
      </c>
      <c r="B52" s="483"/>
      <c r="C52" s="471">
        <f>C51+D21</f>
        <v>1.0519999999999996</v>
      </c>
      <c r="D52" s="482">
        <f t="shared" si="6"/>
        <v>1.08</v>
      </c>
      <c r="E52" s="431"/>
      <c r="F52" s="469" t="s">
        <v>34</v>
      </c>
      <c r="G52" s="431"/>
      <c r="H52" s="431"/>
      <c r="I52" s="474">
        <v>-14.5</v>
      </c>
      <c r="J52" s="475">
        <f>1/(1+(9.5+I52)*0.028)</f>
        <v>1.1627906976744187</v>
      </c>
      <c r="K52" s="486"/>
      <c r="L52" s="486"/>
      <c r="M52" s="431"/>
      <c r="N52" s="456">
        <v>1600</v>
      </c>
      <c r="O52" s="458">
        <v>133</v>
      </c>
      <c r="P52" s="430">
        <f t="shared" si="7"/>
        <v>283.73333333333335</v>
      </c>
      <c r="Q52" s="430">
        <f t="shared" si="8"/>
        <v>906.17333333333329</v>
      </c>
      <c r="R52" s="470">
        <f t="shared" si="5"/>
        <v>1.2314814814814814</v>
      </c>
    </row>
    <row r="53" spans="1:18" ht="17.5" x14ac:dyDescent="0.35">
      <c r="A53" s="480">
        <v>60</v>
      </c>
      <c r="B53" s="483"/>
      <c r="C53" s="471">
        <f>C52+D21</f>
        <v>1.0649999999999995</v>
      </c>
      <c r="D53" s="482">
        <f t="shared" si="6"/>
        <v>1.1000000000000001</v>
      </c>
      <c r="E53" s="431"/>
      <c r="F53" s="469" t="s">
        <v>45</v>
      </c>
      <c r="G53" s="431"/>
      <c r="H53" s="431"/>
      <c r="I53" s="474">
        <v>-15</v>
      </c>
      <c r="J53" s="475">
        <f>1/(1+(9.5+I53)*0.027)</f>
        <v>1.1743981209630063</v>
      </c>
      <c r="K53" s="476"/>
      <c r="L53" s="431"/>
      <c r="M53" s="431"/>
      <c r="N53" s="456">
        <v>1650</v>
      </c>
      <c r="O53" s="458">
        <v>135</v>
      </c>
      <c r="P53" s="430">
        <f t="shared" si="7"/>
        <v>288</v>
      </c>
      <c r="Q53" s="430">
        <f t="shared" si="8"/>
        <v>919.8</v>
      </c>
      <c r="R53" s="470">
        <f t="shared" ref="R53:R66" si="9">O53/109</f>
        <v>1.238532110091743</v>
      </c>
    </row>
    <row r="54" spans="1:18" ht="18" thickBot="1" x14ac:dyDescent="0.4">
      <c r="A54" s="480">
        <v>61</v>
      </c>
      <c r="B54" s="483"/>
      <c r="C54" s="471">
        <f>C53+D21</f>
        <v>1.0779999999999994</v>
      </c>
      <c r="D54" s="482">
        <f t="shared" si="6"/>
        <v>1.1200000000000001</v>
      </c>
      <c r="E54" s="430"/>
      <c r="F54" s="469" t="s">
        <v>345</v>
      </c>
      <c r="G54" s="431"/>
      <c r="H54" s="431"/>
      <c r="I54" s="474">
        <v>-15.5</v>
      </c>
      <c r="J54" s="475">
        <f>1/(1+(9.5+I54)*0.026)</f>
        <v>1.1848341232227488</v>
      </c>
      <c r="K54" s="489" t="s">
        <v>216</v>
      </c>
      <c r="L54" s="431"/>
      <c r="M54" s="431"/>
      <c r="N54" s="456">
        <v>1700</v>
      </c>
      <c r="O54" s="458">
        <v>137</v>
      </c>
      <c r="P54" s="430">
        <f t="shared" si="7"/>
        <v>292.26666666666665</v>
      </c>
      <c r="Q54" s="430">
        <f t="shared" si="8"/>
        <v>933.42666666666662</v>
      </c>
      <c r="R54" s="470">
        <f t="shared" si="9"/>
        <v>1.2568807339449541</v>
      </c>
    </row>
    <row r="55" spans="1:18" ht="18" thickTop="1" x14ac:dyDescent="0.35">
      <c r="A55" s="480">
        <v>62</v>
      </c>
      <c r="B55" s="483"/>
      <c r="C55" s="471">
        <f>C54+D21</f>
        <v>1.0909999999999993</v>
      </c>
      <c r="D55" s="482">
        <f t="shared" si="6"/>
        <v>1.1400000000000001</v>
      </c>
      <c r="E55" s="431"/>
      <c r="F55" s="469" t="s">
        <v>344</v>
      </c>
      <c r="G55" s="431"/>
      <c r="H55" s="431"/>
      <c r="I55" s="474">
        <v>-16</v>
      </c>
      <c r="J55" s="475">
        <f>1/(1+(9.5+I55)*0.025)</f>
        <v>1.1940298507462686</v>
      </c>
      <c r="K55" s="490" t="s">
        <v>210</v>
      </c>
      <c r="L55" s="431"/>
      <c r="M55" s="431"/>
      <c r="N55" s="456">
        <v>1750</v>
      </c>
      <c r="O55" s="458">
        <v>139</v>
      </c>
      <c r="P55" s="430">
        <f t="shared" si="7"/>
        <v>296.53333333333336</v>
      </c>
      <c r="Q55" s="430">
        <f t="shared" si="8"/>
        <v>947.05333333333328</v>
      </c>
      <c r="R55" s="470">
        <f t="shared" si="9"/>
        <v>1.275229357798165</v>
      </c>
    </row>
    <row r="56" spans="1:18" ht="17.5" x14ac:dyDescent="0.35">
      <c r="A56" s="480">
        <v>63</v>
      </c>
      <c r="B56" s="483"/>
      <c r="C56" s="471">
        <f>C55+D21</f>
        <v>1.1039999999999992</v>
      </c>
      <c r="D56" s="482">
        <f t="shared" si="6"/>
        <v>1.1600000000000001</v>
      </c>
      <c r="E56" s="431"/>
      <c r="F56" s="469" t="s">
        <v>346</v>
      </c>
      <c r="G56" s="431"/>
      <c r="H56" s="431"/>
      <c r="I56" s="474">
        <v>-16.5</v>
      </c>
      <c r="J56" s="475">
        <f>1/(1+(9.5+I56)*0.024)</f>
        <v>1.2019230769230769</v>
      </c>
      <c r="K56" s="490" t="s">
        <v>211</v>
      </c>
      <c r="L56" s="431"/>
      <c r="M56" s="431"/>
      <c r="N56" s="456">
        <v>1800</v>
      </c>
      <c r="O56" s="458">
        <v>141</v>
      </c>
      <c r="P56" s="430">
        <f t="shared" si="7"/>
        <v>300.8</v>
      </c>
      <c r="Q56" s="430">
        <f t="shared" si="8"/>
        <v>960.68</v>
      </c>
      <c r="R56" s="470">
        <f t="shared" si="9"/>
        <v>1.2935779816513762</v>
      </c>
    </row>
    <row r="57" spans="1:18" ht="17.5" x14ac:dyDescent="0.35">
      <c r="A57" s="480">
        <v>64</v>
      </c>
      <c r="B57" s="483"/>
      <c r="C57" s="471">
        <f>C56+D21</f>
        <v>1.1169999999999991</v>
      </c>
      <c r="D57" s="482">
        <f t="shared" si="6"/>
        <v>1.1800000000000002</v>
      </c>
      <c r="E57" s="431"/>
      <c r="F57" s="469" t="s">
        <v>347</v>
      </c>
      <c r="G57" s="431"/>
      <c r="H57" s="431"/>
      <c r="I57" s="474">
        <v>-17</v>
      </c>
      <c r="J57" s="475">
        <f>1/(1+(9.5+I57)*0.023)</f>
        <v>1.2084592145015105</v>
      </c>
      <c r="K57" s="490" t="s">
        <v>297</v>
      </c>
      <c r="L57" s="431"/>
      <c r="M57" s="431"/>
      <c r="N57" s="456">
        <v>1850</v>
      </c>
      <c r="O57" s="458">
        <v>143</v>
      </c>
      <c r="P57" s="430">
        <f t="shared" si="7"/>
        <v>305.06666666666666</v>
      </c>
      <c r="Q57" s="430">
        <f t="shared" si="8"/>
        <v>974.30666666666662</v>
      </c>
      <c r="R57" s="470">
        <f t="shared" si="9"/>
        <v>1.3119266055045871</v>
      </c>
    </row>
    <row r="58" spans="1:18" ht="18" thickBot="1" x14ac:dyDescent="0.4">
      <c r="A58" s="491">
        <v>65</v>
      </c>
      <c r="B58" s="492"/>
      <c r="C58" s="493">
        <f>C57+D21</f>
        <v>1.129999999999999</v>
      </c>
      <c r="D58" s="494">
        <f t="shared" si="6"/>
        <v>1.2000000000000002</v>
      </c>
      <c r="E58" s="431"/>
      <c r="F58" s="469" t="s">
        <v>15</v>
      </c>
      <c r="G58" s="431"/>
      <c r="H58" s="431"/>
      <c r="I58" s="474">
        <v>-17.5</v>
      </c>
      <c r="J58" s="475">
        <f>1/(1+(9.5+I58)*0.022)</f>
        <v>1.2135922330097086</v>
      </c>
      <c r="K58" s="490" t="s">
        <v>212</v>
      </c>
      <c r="L58" s="431"/>
      <c r="M58" s="431"/>
      <c r="N58" s="456">
        <v>1900</v>
      </c>
      <c r="O58" s="458">
        <v>145</v>
      </c>
      <c r="P58" s="430">
        <f t="shared" si="7"/>
        <v>309.33333333333331</v>
      </c>
      <c r="Q58" s="430">
        <f t="shared" si="8"/>
        <v>987.93333333333328</v>
      </c>
      <c r="R58" s="470">
        <f t="shared" si="9"/>
        <v>1.3302752293577982</v>
      </c>
    </row>
    <row r="59" spans="1:18" ht="17.5" x14ac:dyDescent="0.35">
      <c r="A59" s="431"/>
      <c r="B59" s="431"/>
      <c r="C59" s="431"/>
      <c r="D59" s="431"/>
      <c r="E59" s="431"/>
      <c r="F59" s="469" t="s">
        <v>41</v>
      </c>
      <c r="G59" s="431"/>
      <c r="H59" s="431"/>
      <c r="I59" s="495"/>
      <c r="J59" s="431"/>
      <c r="K59" s="490" t="s">
        <v>213</v>
      </c>
      <c r="L59" s="431"/>
      <c r="M59" s="431"/>
      <c r="N59" s="456">
        <v>1950</v>
      </c>
      <c r="O59" s="458">
        <v>147</v>
      </c>
      <c r="P59" s="430">
        <f t="shared" si="7"/>
        <v>313.60000000000002</v>
      </c>
      <c r="Q59" s="430">
        <f t="shared" si="8"/>
        <v>1001.56</v>
      </c>
      <c r="R59" s="470">
        <f t="shared" si="9"/>
        <v>1.3486238532110091</v>
      </c>
    </row>
    <row r="60" spans="1:18" ht="17.5" x14ac:dyDescent="0.35">
      <c r="A60" s="433" t="s">
        <v>208</v>
      </c>
      <c r="B60" s="433"/>
      <c r="C60" s="431"/>
      <c r="D60" s="431"/>
      <c r="E60" s="431"/>
      <c r="F60" s="469" t="s">
        <v>42</v>
      </c>
      <c r="G60" s="431"/>
      <c r="H60" s="431"/>
      <c r="I60" s="496">
        <f>ROUND((Eingabe!I8+0.25)/0.5,0.5)*0.5</f>
        <v>-13</v>
      </c>
      <c r="J60" s="475">
        <f>_xlfn.XLOOKUP(I60,Tabelle9[Spalte1],Tabelle9[Spalte2])</f>
        <v>1.1173184357541899</v>
      </c>
      <c r="K60" s="490" t="s">
        <v>209</v>
      </c>
      <c r="L60" s="431"/>
      <c r="M60" s="431"/>
      <c r="N60" s="456">
        <v>2000</v>
      </c>
      <c r="O60" s="458">
        <v>149</v>
      </c>
      <c r="P60" s="430">
        <f t="shared" si="7"/>
        <v>317.86666666666667</v>
      </c>
      <c r="Q60" s="430">
        <f t="shared" si="8"/>
        <v>1015.1866666666666</v>
      </c>
      <c r="R60" s="470">
        <f t="shared" si="9"/>
        <v>1.3669724770642202</v>
      </c>
    </row>
    <row r="61" spans="1:18" ht="17.5" x14ac:dyDescent="0.35">
      <c r="A61" s="433" t="s">
        <v>207</v>
      </c>
      <c r="B61" s="433"/>
      <c r="C61" s="431"/>
      <c r="D61" s="431"/>
      <c r="E61" s="431"/>
      <c r="F61" s="469" t="s">
        <v>231</v>
      </c>
      <c r="G61" s="431"/>
      <c r="H61" s="431"/>
      <c r="I61" s="496">
        <f>ROUND((Eingabe!I8-0.25)/0.5,0.5)*0.5</f>
        <v>-13.5</v>
      </c>
      <c r="J61" s="475">
        <f>_xlfn.XLOOKUP(I61,Tabelle9[Spalte1],Tabelle9[Spalte2])</f>
        <v>1.1363636363636365</v>
      </c>
      <c r="K61" s="490" t="s">
        <v>214</v>
      </c>
      <c r="L61" s="431"/>
      <c r="M61" s="431"/>
      <c r="N61" s="456">
        <v>2050</v>
      </c>
      <c r="O61" s="458">
        <v>150.5</v>
      </c>
      <c r="P61" s="430">
        <f t="shared" si="7"/>
        <v>321.06666666666666</v>
      </c>
      <c r="Q61" s="430">
        <f t="shared" si="8"/>
        <v>1025.4066666666668</v>
      </c>
      <c r="R61" s="470">
        <f t="shared" si="9"/>
        <v>1.3807339449541285</v>
      </c>
    </row>
    <row r="62" spans="1:18" ht="17.5" x14ac:dyDescent="0.35">
      <c r="A62" s="433" t="s">
        <v>126</v>
      </c>
      <c r="B62" s="433"/>
      <c r="C62" s="431"/>
      <c r="D62" s="431"/>
      <c r="E62" s="431"/>
      <c r="F62" s="469" t="s">
        <v>49</v>
      </c>
      <c r="G62" s="431"/>
      <c r="H62" s="431"/>
      <c r="I62" s="497">
        <f>I61-I60</f>
        <v>-0.5</v>
      </c>
      <c r="J62" s="475">
        <f>J61-J60</f>
        <v>1.9045200609446589E-2</v>
      </c>
      <c r="K62" s="490" t="s">
        <v>215</v>
      </c>
      <c r="L62" s="431"/>
      <c r="M62" s="431"/>
      <c r="N62" s="456">
        <v>2100</v>
      </c>
      <c r="O62" s="458">
        <v>152</v>
      </c>
      <c r="P62" s="430">
        <f t="shared" si="7"/>
        <v>324.26666666666665</v>
      </c>
      <c r="Q62" s="430">
        <f t="shared" si="8"/>
        <v>1035.6266666666668</v>
      </c>
      <c r="R62" s="470">
        <f t="shared" si="9"/>
        <v>1.3944954128440368</v>
      </c>
    </row>
    <row r="63" spans="1:18" ht="17.5" x14ac:dyDescent="0.35">
      <c r="A63" s="433"/>
      <c r="B63" s="432"/>
      <c r="C63" s="431"/>
      <c r="D63" s="431"/>
      <c r="E63" s="431"/>
      <c r="F63" s="431"/>
      <c r="G63" s="431"/>
      <c r="H63" s="431"/>
      <c r="I63" s="497">
        <f>Eingabe!I8-I60</f>
        <v>0</v>
      </c>
      <c r="J63" s="475">
        <f>IF(I60=I61,J60,J60+J62*I63/I62)</f>
        <v>1.1173184357541899</v>
      </c>
      <c r="K63" s="431"/>
      <c r="L63" s="431"/>
      <c r="M63" s="431"/>
      <c r="N63" s="456">
        <v>2150</v>
      </c>
      <c r="O63" s="458">
        <v>153.5</v>
      </c>
      <c r="P63" s="430">
        <f t="shared" si="7"/>
        <v>327.46666666666664</v>
      </c>
      <c r="Q63" s="430">
        <f t="shared" si="8"/>
        <v>1045.8466666666666</v>
      </c>
      <c r="R63" s="470">
        <f t="shared" si="9"/>
        <v>1.4082568807339451</v>
      </c>
    </row>
    <row r="64" spans="1:18" ht="17.5" x14ac:dyDescent="0.35">
      <c r="A64" s="432"/>
      <c r="B64" s="432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56">
        <v>2200</v>
      </c>
      <c r="O64" s="458">
        <v>155</v>
      </c>
      <c r="P64" s="430">
        <f t="shared" si="7"/>
        <v>330.66666666666669</v>
      </c>
      <c r="Q64" s="430">
        <f t="shared" si="8"/>
        <v>1056.0666666666666</v>
      </c>
      <c r="R64" s="470">
        <f t="shared" si="9"/>
        <v>1.4220183486238531</v>
      </c>
    </row>
    <row r="65" spans="1:18" ht="17.5" x14ac:dyDescent="0.35">
      <c r="A65" s="498"/>
      <c r="B65" s="498"/>
      <c r="C65" s="499"/>
      <c r="D65" s="500"/>
      <c r="E65" s="498"/>
      <c r="F65" s="498"/>
      <c r="G65" s="498"/>
      <c r="H65" s="498"/>
      <c r="I65" s="501"/>
      <c r="J65" s="499"/>
      <c r="K65" s="499"/>
      <c r="L65" s="499"/>
      <c r="M65" s="499"/>
      <c r="N65" s="456">
        <v>2250</v>
      </c>
      <c r="O65" s="458">
        <v>156.5</v>
      </c>
      <c r="P65" s="430">
        <f t="shared" si="7"/>
        <v>333.86666666666667</v>
      </c>
      <c r="Q65" s="430">
        <f t="shared" si="8"/>
        <v>1066.2866666666666</v>
      </c>
      <c r="R65" s="470">
        <f t="shared" si="9"/>
        <v>1.4357798165137614</v>
      </c>
    </row>
    <row r="66" spans="1:18" ht="17.5" x14ac:dyDescent="0.35">
      <c r="A66" s="498"/>
      <c r="B66" s="500"/>
      <c r="C66" s="499"/>
      <c r="D66" s="499"/>
      <c r="E66" s="502"/>
      <c r="F66" s="500"/>
      <c r="G66" s="500"/>
      <c r="H66" s="503"/>
      <c r="I66" s="500"/>
      <c r="J66" s="500"/>
      <c r="K66" s="503"/>
      <c r="L66" s="499"/>
      <c r="M66" s="498"/>
      <c r="N66" s="456">
        <v>2300</v>
      </c>
      <c r="O66" s="458">
        <v>158</v>
      </c>
      <c r="P66" s="430">
        <f t="shared" si="7"/>
        <v>337.06666666666666</v>
      </c>
      <c r="Q66" s="430">
        <f t="shared" si="8"/>
        <v>1076.5066666666667</v>
      </c>
      <c r="R66" s="470">
        <f t="shared" si="9"/>
        <v>1.4495412844036697</v>
      </c>
    </row>
    <row r="67" spans="1:18" ht="17.5" x14ac:dyDescent="0.35">
      <c r="A67" s="498"/>
      <c r="B67" s="504"/>
      <c r="C67" s="504"/>
      <c r="D67" s="504"/>
      <c r="E67" s="500"/>
      <c r="F67" s="504"/>
      <c r="G67" s="505"/>
      <c r="H67" s="505"/>
      <c r="I67" s="500"/>
      <c r="J67" s="500"/>
      <c r="K67" s="502"/>
      <c r="L67" s="504"/>
      <c r="M67" s="504"/>
      <c r="N67" s="456">
        <v>2350</v>
      </c>
      <c r="O67" s="458">
        <v>159.5</v>
      </c>
      <c r="P67" s="430">
        <f t="shared" si="7"/>
        <v>340.26666666666665</v>
      </c>
      <c r="Q67" s="430">
        <f t="shared" si="8"/>
        <v>1086.7266666666667</v>
      </c>
      <c r="R67" s="470">
        <f t="shared" ref="R67:R80" si="10">O67/110</f>
        <v>1.45</v>
      </c>
    </row>
    <row r="68" spans="1:18" ht="17.5" x14ac:dyDescent="0.35">
      <c r="A68" s="506"/>
      <c r="B68" s="507"/>
      <c r="C68" s="508"/>
      <c r="D68" s="507"/>
      <c r="E68" s="499"/>
      <c r="F68" s="692" t="s">
        <v>85</v>
      </c>
      <c r="G68" s="692"/>
      <c r="H68" s="431">
        <f>Q80/P80</f>
        <v>3.1937499999999996</v>
      </c>
      <c r="I68" s="499"/>
      <c r="J68" s="692" t="s">
        <v>495</v>
      </c>
      <c r="K68" s="692"/>
      <c r="L68" s="508"/>
      <c r="M68" s="507"/>
      <c r="N68" s="456">
        <v>2400</v>
      </c>
      <c r="O68" s="458">
        <v>161</v>
      </c>
      <c r="P68" s="430">
        <f t="shared" si="7"/>
        <v>343.46666666666664</v>
      </c>
      <c r="Q68" s="430">
        <f t="shared" si="8"/>
        <v>1096.9466666666667</v>
      </c>
      <c r="R68" s="470">
        <f t="shared" si="10"/>
        <v>1.4636363636363636</v>
      </c>
    </row>
    <row r="69" spans="1:18" ht="17.5" x14ac:dyDescent="0.35">
      <c r="A69" s="506"/>
      <c r="B69" s="507"/>
      <c r="C69" s="508"/>
      <c r="D69" s="507"/>
      <c r="E69" s="499"/>
      <c r="F69" s="509" t="str">
        <f>Eingabe!$D$64</f>
        <v>Link3 Eco-/Duo-/Comfort-/PowerLink</v>
      </c>
      <c r="G69" s="509"/>
      <c r="H69" s="504"/>
      <c r="I69" s="499"/>
      <c r="J69" s="718">
        <f>IF(Eingabe!J66="ja",20%,IF(H75=20%,"FEHLER",H75))</f>
        <v>0</v>
      </c>
      <c r="K69" s="719">
        <f ca="1">Eingabe!E73</f>
        <v>2309.5940472277111</v>
      </c>
      <c r="L69" s="508"/>
      <c r="M69" s="507"/>
      <c r="N69" s="456">
        <v>2450</v>
      </c>
      <c r="O69" s="458">
        <v>162.5</v>
      </c>
      <c r="P69" s="430">
        <f t="shared" si="7"/>
        <v>346.66666666666669</v>
      </c>
      <c r="Q69" s="430">
        <f t="shared" si="8"/>
        <v>1107.1666666666667</v>
      </c>
      <c r="R69" s="470">
        <f t="shared" si="10"/>
        <v>1.4772727272727273</v>
      </c>
    </row>
    <row r="70" spans="1:18" ht="17.5" x14ac:dyDescent="0.35">
      <c r="A70" s="506"/>
      <c r="B70" s="507"/>
      <c r="C70" s="508"/>
      <c r="D70" s="507"/>
      <c r="E70" s="499"/>
      <c r="F70" s="720"/>
      <c r="G70" s="720"/>
      <c r="H70" s="508"/>
      <c r="I70" s="499"/>
      <c r="J70" s="718"/>
      <c r="K70" s="719"/>
      <c r="L70" s="508"/>
      <c r="M70" s="507"/>
      <c r="N70" s="456">
        <v>2500</v>
      </c>
      <c r="O70" s="458">
        <v>164</v>
      </c>
      <c r="P70" s="430">
        <f t="shared" si="7"/>
        <v>349.86666666666667</v>
      </c>
      <c r="Q70" s="430">
        <f t="shared" si="8"/>
        <v>1117.3866666666668</v>
      </c>
      <c r="R70" s="470">
        <f t="shared" si="10"/>
        <v>1.490909090909091</v>
      </c>
    </row>
    <row r="71" spans="1:18" ht="17.5" x14ac:dyDescent="0.35">
      <c r="A71" s="506"/>
      <c r="B71" s="507"/>
      <c r="C71" s="508"/>
      <c r="D71" s="507"/>
      <c r="E71" s="499"/>
      <c r="F71" s="510" t="s">
        <v>483</v>
      </c>
      <c r="G71" s="511">
        <f>_xlfn.XLOOKUP(Eingabe!G66,X!N17:N80,X!O17:O80)</f>
        <v>30</v>
      </c>
      <c r="H71" s="512">
        <f>_xlfn.XLOOKUP(Eingabe!G66,X!N17:N80,X!R17:R80)</f>
        <v>0.7</v>
      </c>
      <c r="I71" s="499"/>
      <c r="J71" s="717">
        <f>IFERROR(IF(Eingabe!D64="Puffer- und WW-Speicher",A75+D75+D75+IF(J69&gt;0,J69,H75),A75+D75+F75+IF(J69&gt;0,J69,H75)),"FEHLER")</f>
        <v>0</v>
      </c>
      <c r="K71" s="717">
        <f>_xlfn.XLOOKUP(Eingabe!D64,Schichtenspeicher!B7:B47,Schichtenspeicher!Q7:Q47)</f>
        <v>8.2999999999999963E-2</v>
      </c>
      <c r="L71" s="508"/>
      <c r="M71" s="507"/>
      <c r="N71" s="456">
        <v>2550</v>
      </c>
      <c r="O71" s="458">
        <v>165.5</v>
      </c>
      <c r="P71" s="430">
        <f t="shared" si="7"/>
        <v>353.06666666666666</v>
      </c>
      <c r="Q71" s="430">
        <f t="shared" si="8"/>
        <v>1127.6066666666666</v>
      </c>
      <c r="R71" s="470">
        <f t="shared" si="10"/>
        <v>1.5045454545454546</v>
      </c>
    </row>
    <row r="72" spans="1:18" ht="17.5" x14ac:dyDescent="0.35">
      <c r="A72" s="506"/>
      <c r="B72" s="507"/>
      <c r="C72" s="508"/>
      <c r="D72" s="507"/>
      <c r="E72" s="499"/>
      <c r="F72" s="510" t="s">
        <v>78</v>
      </c>
      <c r="G72" s="508">
        <f>_xlfn.XLOOKUP(Eingabe!D66,X!N17:N80,X!P17:P80)</f>
        <v>224</v>
      </c>
      <c r="H72" s="513">
        <f>_xlfn.XLOOKUP(Eingabe!D66,X!N17:N80,X!R17:R80)</f>
        <v>0.99</v>
      </c>
      <c r="I72" s="499"/>
      <c r="J72" s="717"/>
      <c r="K72" s="717"/>
      <c r="L72" s="508"/>
      <c r="M72" s="507"/>
      <c r="N72" s="456">
        <v>2600</v>
      </c>
      <c r="O72" s="458">
        <v>167</v>
      </c>
      <c r="P72" s="430">
        <f t="shared" si="7"/>
        <v>356.26666666666665</v>
      </c>
      <c r="Q72" s="430">
        <f t="shared" si="8"/>
        <v>1137.8266666666666</v>
      </c>
      <c r="R72" s="470">
        <f t="shared" si="10"/>
        <v>1.5181818181818181</v>
      </c>
    </row>
    <row r="73" spans="1:18" ht="17.5" x14ac:dyDescent="0.35">
      <c r="A73" s="506"/>
      <c r="B73" s="507"/>
      <c r="C73" s="508"/>
      <c r="D73" s="507"/>
      <c r="E73" s="499"/>
      <c r="F73" s="510" t="s">
        <v>497</v>
      </c>
      <c r="G73" s="508">
        <f>_xlfn.XLOOKUP(Eingabe!D66,X!N17:N80,X!P17:P80)</f>
        <v>224</v>
      </c>
      <c r="H73" s="513">
        <f>_xlfn.XLOOKUP(Eingabe!D66,X!N17:N80,X!R17:R80)</f>
        <v>0.99</v>
      </c>
      <c r="I73" s="499"/>
      <c r="J73" s="514">
        <f ca="1">K71*K69</f>
        <v>191.69630591989994</v>
      </c>
      <c r="K73" s="515">
        <f ca="1">J73+J74</f>
        <v>413.45630591989993</v>
      </c>
      <c r="L73" s="508"/>
      <c r="M73" s="507"/>
      <c r="N73" s="456">
        <v>2650</v>
      </c>
      <c r="O73" s="458">
        <v>168.5</v>
      </c>
      <c r="P73" s="430">
        <f t="shared" si="7"/>
        <v>359.46666666666664</v>
      </c>
      <c r="Q73" s="430">
        <f t="shared" si="8"/>
        <v>1148.0466666666666</v>
      </c>
      <c r="R73" s="470">
        <f t="shared" si="10"/>
        <v>1.5318181818181817</v>
      </c>
    </row>
    <row r="74" spans="1:18" ht="17.5" x14ac:dyDescent="0.35">
      <c r="A74" s="506"/>
      <c r="B74" s="507"/>
      <c r="C74" s="508"/>
      <c r="D74" s="507"/>
      <c r="E74" s="499"/>
      <c r="F74" s="510"/>
      <c r="G74" s="511">
        <f>IF(F69="Puffer- und WW-Speicher",G71*H71+G72*H72,G73*H73)</f>
        <v>221.76</v>
      </c>
      <c r="H74" s="512"/>
      <c r="I74" s="499"/>
      <c r="J74" s="514">
        <f>G74</f>
        <v>221.76</v>
      </c>
      <c r="K74" s="515">
        <f>IF(Eingabe!F40="ja",Eingabe!J40,0)</f>
        <v>0</v>
      </c>
      <c r="L74" s="508"/>
      <c r="M74" s="507"/>
      <c r="N74" s="456">
        <v>2700</v>
      </c>
      <c r="O74" s="458">
        <v>170</v>
      </c>
      <c r="P74" s="430">
        <f t="shared" si="7"/>
        <v>362.66666666666669</v>
      </c>
      <c r="Q74" s="430">
        <f t="shared" si="8"/>
        <v>1158.2666666666667</v>
      </c>
      <c r="R74" s="470">
        <f t="shared" si="10"/>
        <v>1.5454545454545454</v>
      </c>
    </row>
    <row r="75" spans="1:18" ht="17.5" x14ac:dyDescent="0.35">
      <c r="A75" s="506"/>
      <c r="B75" s="507"/>
      <c r="C75" s="508"/>
      <c r="D75" s="507"/>
      <c r="E75" s="499"/>
      <c r="F75" s="507"/>
      <c r="G75" s="500"/>
      <c r="H75" s="516"/>
      <c r="I75" s="499"/>
      <c r="J75" s="514">
        <f>K71*L75*0.6+IF(Eingabe!J66="ja",0.13*K69,0)</f>
        <v>28.385999999999989</v>
      </c>
      <c r="K75" s="514">
        <f ca="1">K73+K74+J75</f>
        <v>441.8423059198999</v>
      </c>
      <c r="L75" s="508">
        <f>0.75*(Eingabe!H38-Eingabe!E38)</f>
        <v>570</v>
      </c>
      <c r="M75" s="507"/>
      <c r="N75" s="456">
        <v>2750</v>
      </c>
      <c r="O75" s="458">
        <v>171.5</v>
      </c>
      <c r="P75" s="430">
        <f t="shared" si="7"/>
        <v>365.86666666666667</v>
      </c>
      <c r="Q75" s="430">
        <f t="shared" si="8"/>
        <v>1168.4866666666667</v>
      </c>
      <c r="R75" s="470">
        <f t="shared" si="10"/>
        <v>1.5590909090909091</v>
      </c>
    </row>
    <row r="76" spans="1:18" ht="17.5" x14ac:dyDescent="0.35">
      <c r="A76" s="506"/>
      <c r="B76" s="507"/>
      <c r="C76" s="508"/>
      <c r="D76" s="507"/>
      <c r="E76" s="499"/>
      <c r="F76" s="507"/>
      <c r="G76" s="500"/>
      <c r="H76" s="516"/>
      <c r="I76" s="499"/>
      <c r="J76" s="499"/>
      <c r="K76" s="499"/>
      <c r="L76" s="508"/>
      <c r="M76" s="507"/>
      <c r="N76" s="456">
        <v>2800</v>
      </c>
      <c r="O76" s="458">
        <v>173</v>
      </c>
      <c r="P76" s="430">
        <f t="shared" si="7"/>
        <v>369.06666666666666</v>
      </c>
      <c r="Q76" s="430">
        <f t="shared" si="8"/>
        <v>1178.7066666666667</v>
      </c>
      <c r="R76" s="470">
        <f t="shared" si="10"/>
        <v>1.5727272727272728</v>
      </c>
    </row>
    <row r="77" spans="1:18" ht="17.5" x14ac:dyDescent="0.35">
      <c r="A77" s="506"/>
      <c r="B77" s="507"/>
      <c r="C77" s="508"/>
      <c r="D77" s="507"/>
      <c r="E77" s="499"/>
      <c r="F77" s="507"/>
      <c r="G77" s="500"/>
      <c r="H77" s="516"/>
      <c r="I77" s="499"/>
      <c r="J77" s="499"/>
      <c r="K77" s="499"/>
      <c r="L77" s="508"/>
      <c r="M77" s="507"/>
      <c r="N77" s="456">
        <v>2850</v>
      </c>
      <c r="O77" s="458">
        <v>174.5</v>
      </c>
      <c r="P77" s="430">
        <f t="shared" si="7"/>
        <v>372.26666666666665</v>
      </c>
      <c r="Q77" s="430">
        <f t="shared" si="8"/>
        <v>1188.9266666666667</v>
      </c>
      <c r="R77" s="470">
        <f t="shared" si="10"/>
        <v>1.5863636363636364</v>
      </c>
    </row>
    <row r="78" spans="1:18" ht="17.5" x14ac:dyDescent="0.35">
      <c r="A78" s="506"/>
      <c r="B78" s="507"/>
      <c r="C78" s="508"/>
      <c r="D78" s="507"/>
      <c r="E78" s="499"/>
      <c r="F78" s="507"/>
      <c r="G78" s="500"/>
      <c r="H78" s="516"/>
      <c r="I78" s="499"/>
      <c r="J78" s="499"/>
      <c r="K78" s="499"/>
      <c r="L78" s="508"/>
      <c r="M78" s="507"/>
      <c r="N78" s="456">
        <v>2900</v>
      </c>
      <c r="O78" s="458">
        <v>176</v>
      </c>
      <c r="P78" s="430">
        <f t="shared" si="7"/>
        <v>375.46666666666664</v>
      </c>
      <c r="Q78" s="430">
        <f t="shared" si="8"/>
        <v>1199.1466666666668</v>
      </c>
      <c r="R78" s="470">
        <f t="shared" si="10"/>
        <v>1.6</v>
      </c>
    </row>
    <row r="79" spans="1:18" ht="17.5" x14ac:dyDescent="0.35">
      <c r="A79" s="506"/>
      <c r="B79" s="507"/>
      <c r="C79" s="508"/>
      <c r="D79" s="507"/>
      <c r="E79" s="499"/>
      <c r="F79" s="507"/>
      <c r="G79" s="500"/>
      <c r="H79" s="516"/>
      <c r="I79" s="499"/>
      <c r="J79" s="499"/>
      <c r="K79" s="499"/>
      <c r="L79" s="508"/>
      <c r="M79" s="507"/>
      <c r="N79" s="456">
        <v>2950</v>
      </c>
      <c r="O79" s="458">
        <v>177.5</v>
      </c>
      <c r="P79" s="430">
        <f t="shared" si="7"/>
        <v>378.66666666666669</v>
      </c>
      <c r="Q79" s="430">
        <f t="shared" si="8"/>
        <v>1209.3666666666666</v>
      </c>
      <c r="R79" s="470">
        <f t="shared" si="10"/>
        <v>1.6136363636363635</v>
      </c>
    </row>
    <row r="80" spans="1:18" ht="17.5" x14ac:dyDescent="0.35">
      <c r="A80" s="498"/>
      <c r="B80" s="507"/>
      <c r="C80" s="517"/>
      <c r="D80" s="507"/>
      <c r="E80" s="499"/>
      <c r="F80" s="507"/>
      <c r="G80" s="500"/>
      <c r="H80" s="516"/>
      <c r="I80" s="518"/>
      <c r="J80" s="518"/>
      <c r="K80" s="499"/>
      <c r="L80" s="517"/>
      <c r="M80" s="507"/>
      <c r="N80" s="456">
        <v>3000</v>
      </c>
      <c r="O80" s="458">
        <v>179</v>
      </c>
      <c r="P80" s="430">
        <f t="shared" si="7"/>
        <v>381.86666666666667</v>
      </c>
      <c r="Q80" s="430">
        <f t="shared" si="8"/>
        <v>1219.5866666666666</v>
      </c>
      <c r="R80" s="470">
        <f t="shared" si="10"/>
        <v>1.6272727272727272</v>
      </c>
    </row>
    <row r="81" spans="1:18" ht="17.5" x14ac:dyDescent="0.35">
      <c r="A81" s="498"/>
      <c r="B81" s="498"/>
      <c r="C81" s="517"/>
      <c r="D81" s="519"/>
      <c r="E81" s="519"/>
      <c r="F81" s="498"/>
      <c r="G81" s="498"/>
      <c r="H81" s="520"/>
      <c r="I81" s="498"/>
      <c r="J81" s="498"/>
      <c r="K81" s="498"/>
      <c r="L81" s="498"/>
      <c r="M81" s="498"/>
      <c r="N81" s="431"/>
      <c r="O81" s="431"/>
      <c r="P81" s="431"/>
      <c r="Q81" s="431"/>
      <c r="R81" s="431"/>
    </row>
    <row r="82" spans="1:18" ht="17.5" x14ac:dyDescent="0.35">
      <c r="A82" s="713"/>
      <c r="B82" s="713"/>
      <c r="C82" s="418"/>
      <c r="D82" s="419"/>
      <c r="E82" s="713"/>
      <c r="F82" s="713"/>
      <c r="G82" s="721"/>
      <c r="H82" s="721"/>
      <c r="I82" s="721"/>
      <c r="J82" s="721"/>
      <c r="K82" s="721"/>
      <c r="L82" s="721"/>
      <c r="M82" s="721"/>
      <c r="N82" s="721"/>
      <c r="R82" s="419"/>
    </row>
    <row r="83" spans="1:18" ht="15.5" x14ac:dyDescent="0.35">
      <c r="A83" s="420"/>
      <c r="B83" s="421"/>
      <c r="C83" s="420"/>
      <c r="D83" s="420"/>
      <c r="E83" s="420"/>
      <c r="F83" s="421"/>
      <c r="G83" s="420"/>
      <c r="H83" s="421"/>
      <c r="I83" s="420"/>
      <c r="J83" s="421"/>
      <c r="K83" s="723"/>
      <c r="L83" s="723"/>
      <c r="M83" s="422"/>
      <c r="N83" s="422"/>
    </row>
    <row r="84" spans="1:18" ht="15.5" x14ac:dyDescent="0.35">
      <c r="A84" s="420"/>
      <c r="B84" s="421"/>
      <c r="C84" s="420"/>
      <c r="D84" s="420"/>
      <c r="E84" s="420"/>
      <c r="F84" s="421"/>
      <c r="G84" s="420"/>
      <c r="H84" s="421"/>
      <c r="I84" s="420"/>
      <c r="J84" s="421"/>
      <c r="K84" s="723"/>
      <c r="L84" s="723"/>
      <c r="M84" s="422"/>
      <c r="N84" s="422"/>
    </row>
    <row r="85" spans="1:18" ht="15.65" customHeight="1" x14ac:dyDescent="0.35">
      <c r="A85" s="420"/>
      <c r="B85" s="421"/>
      <c r="C85" s="420"/>
      <c r="D85" s="420"/>
      <c r="E85" s="420"/>
      <c r="F85" s="421"/>
      <c r="G85" s="420"/>
      <c r="H85" s="421"/>
      <c r="I85" s="420"/>
      <c r="J85" s="421"/>
      <c r="K85" s="715"/>
      <c r="L85" s="715"/>
      <c r="M85" s="722"/>
      <c r="N85" s="722"/>
    </row>
    <row r="86" spans="1:18" ht="15.65" customHeight="1" x14ac:dyDescent="0.35">
      <c r="A86" s="420"/>
      <c r="B86" s="421"/>
      <c r="C86" s="420"/>
      <c r="D86" s="420"/>
      <c r="E86" s="420"/>
      <c r="F86" s="421"/>
      <c r="G86" s="420"/>
      <c r="H86" s="421"/>
      <c r="I86" s="420"/>
      <c r="J86" s="421"/>
      <c r="K86" s="715"/>
      <c r="L86" s="715"/>
      <c r="M86" s="722"/>
      <c r="N86" s="722"/>
    </row>
    <row r="87" spans="1:18" ht="15.5" x14ac:dyDescent="0.35">
      <c r="A87" s="420"/>
      <c r="B87" s="421"/>
      <c r="C87" s="420"/>
      <c r="D87" s="420"/>
      <c r="E87" s="420"/>
      <c r="F87" s="421"/>
      <c r="G87" s="420"/>
      <c r="H87" s="421"/>
      <c r="I87" s="420"/>
      <c r="J87" s="421"/>
      <c r="K87" s="423"/>
      <c r="L87" s="716"/>
      <c r="M87" s="424"/>
    </row>
    <row r="88" spans="1:18" ht="15.5" x14ac:dyDescent="0.35">
      <c r="A88" s="420"/>
      <c r="B88" s="421"/>
      <c r="C88" s="420"/>
      <c r="D88" s="420"/>
      <c r="E88" s="420"/>
      <c r="F88" s="421"/>
      <c r="G88" s="420"/>
      <c r="H88" s="420"/>
      <c r="I88" s="420"/>
      <c r="J88" s="421"/>
      <c r="K88" s="423"/>
      <c r="L88" s="716"/>
      <c r="M88" s="424"/>
    </row>
    <row r="89" spans="1:18" ht="17.5" x14ac:dyDescent="0.35">
      <c r="B89" s="714"/>
      <c r="C89" s="714"/>
      <c r="E89" s="714"/>
      <c r="F89" s="714"/>
      <c r="G89" s="714"/>
      <c r="H89" s="714"/>
      <c r="I89" s="714"/>
      <c r="J89" s="714"/>
      <c r="K89" s="423"/>
      <c r="L89" s="423"/>
      <c r="M89" s="425"/>
      <c r="O89" s="426"/>
      <c r="P89" s="427"/>
      <c r="Q89" s="428"/>
    </row>
    <row r="90" spans="1:18" x14ac:dyDescent="0.35">
      <c r="O90" s="426"/>
      <c r="P90" s="427"/>
      <c r="Q90" s="428"/>
    </row>
    <row r="91" spans="1:18" x14ac:dyDescent="0.35">
      <c r="O91" s="426"/>
      <c r="P91" s="427"/>
      <c r="Q91" s="428"/>
    </row>
  </sheetData>
  <sheetProtection algorithmName="SHA-512" hashValue="p0MUf/WFtstXs6BzP+Hawozg7PqF/ImRKM6/zVhCfGYNUx6Ngu/nR6gamw8Nt8TzK7S//yFAP0mZYw/Pyt6EvA==" saltValue="v5v6P6/vVMxDtlu/wJFBWQ==" spinCount="100000" sheet="1" objects="1" scenarios="1"/>
  <mergeCells count="57">
    <mergeCell ref="M82:N82"/>
    <mergeCell ref="M85:N85"/>
    <mergeCell ref="M86:N86"/>
    <mergeCell ref="G82:H82"/>
    <mergeCell ref="G89:H89"/>
    <mergeCell ref="I82:J82"/>
    <mergeCell ref="I89:J89"/>
    <mergeCell ref="K82:L82"/>
    <mergeCell ref="K83:L84"/>
    <mergeCell ref="A82:B82"/>
    <mergeCell ref="B89:C89"/>
    <mergeCell ref="E82:F82"/>
    <mergeCell ref="E89:F89"/>
    <mergeCell ref="K11:L12"/>
    <mergeCell ref="A11:D12"/>
    <mergeCell ref="K85:K86"/>
    <mergeCell ref="L85:L86"/>
    <mergeCell ref="L87:L88"/>
    <mergeCell ref="J68:K68"/>
    <mergeCell ref="J71:J72"/>
    <mergeCell ref="K71:K72"/>
    <mergeCell ref="J69:J70"/>
    <mergeCell ref="K69:K70"/>
    <mergeCell ref="F70:G70"/>
    <mergeCell ref="F68:G68"/>
    <mergeCell ref="F11:I12"/>
    <mergeCell ref="E7:E8"/>
    <mergeCell ref="J11:J12"/>
    <mergeCell ref="E11:E12"/>
    <mergeCell ref="F7:I8"/>
    <mergeCell ref="F9:I10"/>
    <mergeCell ref="E9:E10"/>
    <mergeCell ref="I1:I2"/>
    <mergeCell ref="M2:P2"/>
    <mergeCell ref="K1:L2"/>
    <mergeCell ref="J1:J2"/>
    <mergeCell ref="A3:D3"/>
    <mergeCell ref="M1:O1"/>
    <mergeCell ref="E1:E2"/>
    <mergeCell ref="A1:D2"/>
    <mergeCell ref="F1:H2"/>
    <mergeCell ref="N8:O8"/>
    <mergeCell ref="J9:J10"/>
    <mergeCell ref="A4:D4"/>
    <mergeCell ref="A5:D5"/>
    <mergeCell ref="A6:D6"/>
    <mergeCell ref="K3:L4"/>
    <mergeCell ref="I3:I4"/>
    <mergeCell ref="K5:L6"/>
    <mergeCell ref="F3:H4"/>
    <mergeCell ref="I5:I6"/>
    <mergeCell ref="A7:D8"/>
    <mergeCell ref="A9:D10"/>
    <mergeCell ref="F5:H6"/>
    <mergeCell ref="K7:L8"/>
    <mergeCell ref="K9:L10"/>
    <mergeCell ref="J7:J8"/>
  </mergeCells>
  <pageMargins left="0.7" right="0.7" top="0.78740157499999996" bottom="0.78740157499999996" header="0.3" footer="0.3"/>
  <drawing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I G 3 V g u O h / G l A A A A 9 g A A A B I A H A B D b 2 5 m a W c v U G F j a 2 F n Z S 5 4 b W w g o h g A K K A U A A A A A A A A A A A A A A A A A A A A A A A A A A A A h Y 9 N D o I w G E S v Q r q n P 0 i M I R 9 l o e 4 k M T E x b p t S o R G K o c V y N x c e y S u I U d S d y 3 n z F j P 3 6 w 2 y o a m D i + q s b k 2 K G K Y o U E a 2 h T Z l i n p 3 D B c o 4 7 A V 8 i R K F Y y y s c l g i x R V z p 0 T Q r z 3 2 M 9 w 2 5 U k o p S R Q 7 7 Z y U o 1 A n 1 k / V 8 O t b F O G K k Q h / 1 r D I 8 w Y 3 M c 0 x h T I B O E X J u v E I 1 7 n + 0 P h G V f u 7 5 T v F D h a g 1 k i k D e H / g D U E s D B B Q A A g A I A I S B t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g b d W K I p H u A 4 A A A A R A A A A E w A c A E Z v c m 1 1 b G F z L 1 N l Y 3 R p b 2 4 x L m 0 g o h g A K K A U A A A A A A A A A A A A A A A A A A A A A A A A A A A A K 0 5 N L s n M z 1 M I h t C G 1 g B Q S w E C L Q A U A A I A C A C E g b d W C 4 6 H 8 a U A A A D 2 A A A A E g A A A A A A A A A A A A A A A A A A A A A A Q 2 9 u Z m l n L 1 B h Y 2 t h Z 2 U u e G 1 s U E s B A i 0 A F A A C A A g A h I G 3 V g / K 6 a u k A A A A 6 Q A A A B M A A A A A A A A A A A A A A A A A 8 Q A A A F t D b 2 5 0 Z W 5 0 X 1 R 5 c G V z X S 5 4 b W x Q S w E C L Q A U A A I A C A C E g b d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a E d G Z K m V k y M Q + u j e w 7 y A A A A A A A C A A A A A A A Q Z g A A A A E A A C A A A A D x n f 7 x G i D + x a D k D k D R / q Y u e R 1 C f + + S R G 7 f x l G q w U j u U Q A A A A A O g A A A A A I A A C A A A A D A P 1 W E u D Q i 6 y Z d I 7 C z Q c E I o w m O c / E w 7 i 3 p B / J c r a d 7 s F A A A A D V 9 a O e W W B O C a k + Q l 1 S 2 a C b X / I Z Z G / 7 v E Z X 1 u 9 c + f 2 W e g v P H R J I X c H O Q g v l V D g 1 J E T N a X g x z P H + v P U g + g d r I 0 D t H d i W W t z u o D H w o I Y K P 6 Q e I k A A A A B T P / G m Z h v 1 j r M + M M L j q F w n m M e q b y c n q J N X J 3 P 2 i D w b R W q s I E Q A Z X a R J i G / / c O h i A 3 S B 1 / J w W q l 3 4 d 7 H V I Q h 9 y l < / D a t a M a s h u p > 
</file>

<file path=customXml/itemProps1.xml><?xml version="1.0" encoding="utf-8"?>
<ds:datastoreItem xmlns:ds="http://schemas.openxmlformats.org/officeDocument/2006/customXml" ds:itemID="{BB50157E-518E-4AA5-8AD4-9934F70F31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ERLÄUTERUNG</vt:lpstr>
      <vt:lpstr>Eingabe</vt:lpstr>
      <vt:lpstr>WP-Ranglisten</vt:lpstr>
      <vt:lpstr>Schichtenspeicher</vt:lpstr>
      <vt:lpstr>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Falko Schling</dc:creator>
  <cp:lastModifiedBy>Falko Schling</cp:lastModifiedBy>
  <cp:lastPrinted>2024-01-23T16:18:48Z</cp:lastPrinted>
  <dcterms:created xsi:type="dcterms:W3CDTF">2023-03-15T05:12:53Z</dcterms:created>
  <dcterms:modified xsi:type="dcterms:W3CDTF">2026-02-27T12:17:11Z</dcterms:modified>
</cp:coreProperties>
</file>