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iagrams/data2.xml" ContentType="application/vnd.openxmlformats-officedocument.drawingml.diagramData+xml"/>
  <Override PartName="/xl/diagrams/layout2.xml" ContentType="application/vnd.openxmlformats-officedocument.drawingml.diagramLayout+xml"/>
  <Override PartName="/xl/diagrams/quickStyle2.xml" ContentType="application/vnd.openxmlformats-officedocument.drawingml.diagramStyle+xml"/>
  <Override PartName="/xl/diagrams/colors2.xml" ContentType="application/vnd.openxmlformats-officedocument.drawingml.diagramColors+xml"/>
  <Override PartName="/xl/diagrams/drawing2.xml" ContentType="application/vnd.ms-office.drawingml.diagram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burnsmcd.sharepoint.com/sites/SWRR/Shared Documents/General/Projects/ETCOG/181312_SWInfrastruct/Studies/DELIVERABLES/FINAL/"/>
    </mc:Choice>
  </mc:AlternateContent>
  <xr:revisionPtr revIDLastSave="0" documentId="13_ncr:1_{1DCD96B6-6760-4271-8C74-CDE970B7BF90}" xr6:coauthVersionLast="47" xr6:coauthVersionMax="47" xr10:uidLastSave="{00000000-0000-0000-0000-000000000000}"/>
  <bookViews>
    <workbookView xWindow="-120" yWindow="-120" windowWidth="38640" windowHeight="21120" tabRatio="888" activeTab="8" xr2:uid="{67EE3FC8-37B1-41AB-B00A-5259A1D58320}"/>
  </bookViews>
  <sheets>
    <sheet name="Cover Page" sheetId="35" r:id="rId1"/>
    <sheet name="Quick Start Guide" sheetId="36" r:id="rId2"/>
    <sheet name="User Manual" sheetId="1" r:id="rId3"/>
    <sheet name="FAQ" sheetId="34" r:id="rId4"/>
    <sheet name="Program Dashboard" sheetId="16" r:id="rId5"/>
    <sheet name="Monthly Tracker" sheetId="9" r:id="rId6"/>
    <sheet name="Facility Survey" sheetId="25" r:id="rId7"/>
    <sheet name="Observation Checklist" sheetId="24" r:id="rId8"/>
    <sheet name="Waste Composition" sheetId="10" r:id="rId9"/>
    <sheet name="Container Capacity Calculator" sheetId="20" r:id="rId10"/>
    <sheet name="Container Cost Calculator" sheetId="22" r:id="rId11"/>
    <sheet name="Financial Calculator" sheetId="4" r:id="rId12"/>
    <sheet name="Job Creation Calculator" sheetId="5" r:id="rId13"/>
    <sheet name="Carbon Calculator" sheetId="23" r:id="rId14"/>
    <sheet name="WARM Results" sheetId="33" state="hidden" r:id="rId15"/>
  </sheets>
  <externalReferences>
    <externalReference r:id="rId16"/>
  </externalReferences>
  <definedNames>
    <definedName name="_Fill" hidden="1">#REF!</definedName>
    <definedName name="_xlnm._FilterDatabase" localSheetId="14" hidden="1">'WARM Results'!$C$15:$J$60</definedName>
    <definedName name="_xlnm._FilterDatabase" localSheetId="8" hidden="1">'Waste Composition'!$B$46:$H$58</definedName>
    <definedName name="_Order1" hidden="1">0</definedName>
    <definedName name="_Order2" hidden="1">0</definedName>
    <definedName name="_Sort" hidden="1">#REF!</definedName>
    <definedName name="anscount" hidden="1">1</definedName>
    <definedName name="Avoided_Utility_Combustion">'[1]Avoided Utility'!$C$25:$M$73</definedName>
    <definedName name="Energy_perTon">'[1]Analysis Results (energy)'!$E$11:$L$72</definedName>
    <definedName name="EnergyUse_Alternative">'[1]Analysis Results (energy)'!$D$141:$S$201</definedName>
    <definedName name="EnergyUse_Baseline">'[1]Analysis Results (energy)'!$D$76:$Q$136</definedName>
    <definedName name="GHG_perTon">#REF!</definedName>
    <definedName name="GHGAlternative_MTCE">'[1]Analysis Results (MTCE)'!$D$127:$S$180</definedName>
    <definedName name="GHGAlternative_MTCO2E">#REF!</definedName>
    <definedName name="GHGBaseline_MTCE">'[1]Analysis Results (MTCE)'!$D$69:$Q$122</definedName>
    <definedName name="GHGBaseline_MTCO2E">#REF!</definedName>
    <definedName name="Grid_Mix_EF">'[1]Avoided Utility'!$C$80:$F$89</definedName>
    <definedName name="Labor_Hours_Alternative">'[1]Analysis Results (Labor Hours)'!$D$141:$S$201</definedName>
    <definedName name="Labor_Hours_Baseline">'[1]Analysis Results (Labor Hours)'!$D$76:$Q$136</definedName>
    <definedName name="LF_Avoided_Utility_Ratio">'[1]Avoided Utility'!$D$7:$E$16</definedName>
    <definedName name="LF_Collection_Scenario">'[1]Landfill Gas Collection'!$B$11:$W$71</definedName>
    <definedName name="MTCESheets">#REF!</definedName>
    <definedName name="MTCO2ESheets">#REF!</definedName>
    <definedName name="_xlnm.Print_Area" localSheetId="9">'Container Capacity Calculator'!$B$20:$L$42</definedName>
    <definedName name="_xlnm.Print_Area" localSheetId="10">'Container Cost Calculator'!$B$1:$J$64</definedName>
    <definedName name="_xlnm.Print_Area" localSheetId="6">'Facility Survey'!$A$1:$E$35</definedName>
    <definedName name="_xlnm.Print_Area" localSheetId="11">'Financial Calculator'!$A$44:$E$120</definedName>
    <definedName name="_xlnm.Print_Area" localSheetId="12">'Job Creation Calculator'!$B$19:$E$65</definedName>
    <definedName name="_xlnm.Print_Area" localSheetId="5">'Monthly Tracker'!$A$26:$H$71</definedName>
    <definedName name="_xlnm.Print_Area" localSheetId="7">'Observation Checklist'!$A$1:$G$42</definedName>
    <definedName name="_xlnm.Print_Area" localSheetId="4">'Program Dashboard'!$A$3:$O$54</definedName>
    <definedName name="_xlnm.Print_Area" localSheetId="1">'Quick Start Guide'!$A$1:$L$88</definedName>
    <definedName name="_xlnm.Print_Area" localSheetId="2">'User Manual'!$A$1:$V$87</definedName>
    <definedName name="_xlnm.Print_Area" localSheetId="8">'Waste Composition'!$A$1:$X$85</definedName>
    <definedName name="sencount" hidden="1">2</definedName>
    <definedName name="Table0_NetImpact">OFFSET('[1]Production + EOL Data'!$J$6,0,0,20-COUNTBLANK('[1]Production + EOL Data'!$J$6:$J$25))</definedName>
    <definedName name="Table1_Anaerobic">OFFSET('[1]Production + EOL Data'!$I$6,0,0,20-COUNTBLANK('[1]Production + EOL Data'!$I$6:$I$25))</definedName>
    <definedName name="Table1_Combustion">OFFSET('[1]Production + EOL Data'!$G$6,0,0,20-COUNTBLANK('[1]Production + EOL Data'!$G$6:$G$25))</definedName>
    <definedName name="Table1_Composting">OFFSET('[1]Production + EOL Data'!$H$6,0,0,20-COUNTBLANK('[1]Production + EOL Data'!$H$6:$H$25))</definedName>
    <definedName name="Table1_Label">OFFSET('[1]Production + EOL Data'!$C$6,0,0,20-COUNTBLANK('[1]Production + EOL Data'!$C$6:$C$25))</definedName>
    <definedName name="Table1_Landfilling">OFFSET('[1]Production + EOL Data'!$F$6,0,0,20-COUNTBLANK('[1]Production + EOL Data'!$F$6:$F$25))</definedName>
    <definedName name="Table1_Production">OFFSET('[1]Production + EOL Data'!$D$6,0,0,20-COUNTBLANK('[1]Production + EOL Data'!$D$6:$D$25))</definedName>
    <definedName name="Table1_Recycling">OFFSET('[1]Production + EOL Data'!$E$6,0,0,20-COUNTBLANK('[1]Production + EOL Data'!$E$6:$E$25))</definedName>
    <definedName name="Table3_Labels">OFFSET('[1]Production + EOL Data'!$B$56,0,0,10-COUNTBLANK('[1]Production + EOL Data'!$B$56:$B$65))</definedName>
    <definedName name="Table3_Weights">OFFSET('[1]Production + EOL Data'!$C$56,0,0,10-COUNTBLANK('[1]Production + EOL Data'!$C$56:$C$65))</definedName>
    <definedName name="Table4_Anaerobic">OFFSET('[1]Production + EOL Data'!$I$72,0,0,20-COUNTBLANK('[1]Production + EOL Data'!$I$72:$I$91))</definedName>
    <definedName name="Table4_Combustion">OFFSET('[1]Production + EOL Data'!$G$72,0,0,20-COUNTBLANK('[1]Production + EOL Data'!$G$72:$G$91))</definedName>
    <definedName name="Table4_Composting">OFFSET('[1]Production + EOL Data'!$H$72,0,0,20-COUNTBLANK('[1]Production + EOL Data'!$H$72:$H$91))</definedName>
    <definedName name="Table4_Label">OFFSET('[1]Production + EOL Data'!$C$72,0,0,20-COUNTBLANK('[1]Production + EOL Data'!$C$72:$C$91))</definedName>
    <definedName name="Table4_Landfilling">OFFSET('[1]Production + EOL Data'!$F$72,0,0,20-COUNTBLANK('[1]Production + EOL Data'!$F$72:$F$91))</definedName>
    <definedName name="Table4_NetImpact">OFFSET('[1]Production + EOL Data'!$J$72,0,0,20-COUNTBLANK('[1]Production + EOL Data'!$J$72:$J$91))</definedName>
    <definedName name="Table4_Production">OFFSET('[1]Production + EOL Data'!$D$72,0,0,20-COUNTBLANK('[1]Production + EOL Data'!$D$72:$D$91))</definedName>
    <definedName name="Table4_Recycling">OFFSET('[1]Production + EOL Data'!$E$72,0,0,20-COUNTBLANK('[1]Production + EOL Data'!$E$72:$E$91))</definedName>
    <definedName name="Taxes_Alternative">'[1]Analysis Results (Taxes)'!$D$141:$S$201</definedName>
    <definedName name="Taxes_Baseline">'[1]Analysis Results (Taxes)'!$D$76:$Q$136</definedName>
    <definedName name="Wages_Alternative">'[1]Analysis Results (Wages)'!$D$141:$S$201</definedName>
    <definedName name="Wages_Baseline">'[1]Analysis Results (Wages)'!$D$76:$Q$136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19" i="4" l="1"/>
  <c r="A20" i="36"/>
  <c r="A19" i="36"/>
  <c r="A18" i="36"/>
  <c r="A17" i="36"/>
  <c r="A16" i="36"/>
  <c r="A14" i="36"/>
  <c r="A13" i="36"/>
  <c r="A12" i="36"/>
  <c r="A11" i="36"/>
  <c r="A10" i="36"/>
  <c r="G134" i="23" l="1"/>
  <c r="F63" i="23"/>
  <c r="F98" i="23" s="1"/>
  <c r="F64" i="23"/>
  <c r="D63" i="23"/>
  <c r="F62" i="23"/>
  <c r="L63" i="23" l="1"/>
  <c r="T63" i="23"/>
  <c r="D98" i="23"/>
  <c r="D134" i="23"/>
  <c r="N63" i="23"/>
  <c r="N98" i="23" s="1"/>
  <c r="V63" i="23"/>
  <c r="V98" i="23" s="1"/>
  <c r="C50" i="1"/>
  <c r="T98" i="23" l="1"/>
  <c r="L98" i="23"/>
  <c r="L62" i="23"/>
  <c r="D64" i="5"/>
  <c r="D71" i="5"/>
  <c r="C80" i="10" l="1"/>
  <c r="C79" i="10"/>
  <c r="C44" i="10"/>
  <c r="K79" i="10"/>
  <c r="D48" i="10" l="1"/>
  <c r="H48" i="10" s="1"/>
  <c r="D73" i="10"/>
  <c r="D90" i="10"/>
  <c r="D91" i="10"/>
  <c r="D106" i="10"/>
  <c r="D108" i="10"/>
  <c r="D109" i="10"/>
  <c r="D116" i="10"/>
  <c r="D118" i="10"/>
  <c r="H73" i="10" l="1"/>
  <c r="E73" i="10"/>
  <c r="C63" i="23" s="1"/>
  <c r="D110" i="10"/>
  <c r="D117" i="10" s="1"/>
  <c r="K44" i="10"/>
  <c r="K29" i="20" s="1"/>
  <c r="L48" i="10" l="1"/>
  <c r="P48" i="10" s="1"/>
  <c r="L73" i="10"/>
  <c r="C134" i="23"/>
  <c r="E134" i="23" s="1"/>
  <c r="E63" i="23"/>
  <c r="C98" i="23"/>
  <c r="C67" i="4"/>
  <c r="B14" i="22"/>
  <c r="H63" i="23" l="1"/>
  <c r="E98" i="23"/>
  <c r="H98" i="23" s="1"/>
  <c r="P73" i="10"/>
  <c r="M73" i="10"/>
  <c r="C62" i="4"/>
  <c r="C69" i="4" s="1"/>
  <c r="K63" i="23" l="1"/>
  <c r="D66" i="4"/>
  <c r="D61" i="4"/>
  <c r="K98" i="23" l="1"/>
  <c r="M98" i="23" s="1"/>
  <c r="P98" i="23" s="1"/>
  <c r="M63" i="23"/>
  <c r="P63" i="23" s="1"/>
  <c r="C49" i="1"/>
  <c r="C48" i="1"/>
  <c r="C47" i="1"/>
  <c r="C46" i="1"/>
  <c r="C45" i="1"/>
  <c r="C44" i="1"/>
  <c r="C43" i="1"/>
  <c r="C42" i="1"/>
  <c r="C41" i="1"/>
  <c r="C40" i="1"/>
  <c r="D28" i="16" l="1"/>
  <c r="D95" i="23"/>
  <c r="D97" i="23"/>
  <c r="G132" i="23"/>
  <c r="G138" i="23"/>
  <c r="G137" i="23"/>
  <c r="G135" i="23"/>
  <c r="G133" i="23"/>
  <c r="G131" i="23"/>
  <c r="G130" i="23"/>
  <c r="G129" i="23"/>
  <c r="G128" i="23"/>
  <c r="G127" i="23"/>
  <c r="G126" i="23"/>
  <c r="G125" i="23"/>
  <c r="G124" i="23"/>
  <c r="G123" i="23"/>
  <c r="G122" i="23"/>
  <c r="G121" i="23"/>
  <c r="G120" i="23"/>
  <c r="G119" i="23"/>
  <c r="G118" i="23"/>
  <c r="G117" i="23"/>
  <c r="G116" i="23"/>
  <c r="G115" i="23"/>
  <c r="G114" i="23"/>
  <c r="G113" i="23"/>
  <c r="G112" i="23"/>
  <c r="G109" i="23"/>
  <c r="G111" i="23"/>
  <c r="G110" i="23"/>
  <c r="D131" i="23"/>
  <c r="D133" i="23"/>
  <c r="B139" i="23"/>
  <c r="F61" i="23"/>
  <c r="F96" i="23" s="1"/>
  <c r="F99" i="23"/>
  <c r="D64" i="23"/>
  <c r="F97" i="23"/>
  <c r="F60" i="23"/>
  <c r="F95" i="23" s="1"/>
  <c r="D61" i="23"/>
  <c r="D132" i="23" s="1"/>
  <c r="F59" i="23"/>
  <c r="F94" i="23" s="1"/>
  <c r="D59" i="23"/>
  <c r="D130" i="23" s="1"/>
  <c r="F58" i="23"/>
  <c r="F93" i="23" s="1"/>
  <c r="D58" i="23"/>
  <c r="D129" i="23" s="1"/>
  <c r="F57" i="23"/>
  <c r="F92" i="23" s="1"/>
  <c r="D57" i="23"/>
  <c r="D128" i="23" s="1"/>
  <c r="F56" i="23"/>
  <c r="F91" i="23" s="1"/>
  <c r="D56" i="23"/>
  <c r="D127" i="23" s="1"/>
  <c r="F55" i="23"/>
  <c r="F90" i="23" s="1"/>
  <c r="D55" i="23"/>
  <c r="D126" i="23" s="1"/>
  <c r="F54" i="23"/>
  <c r="F89" i="23" s="1"/>
  <c r="D54" i="23"/>
  <c r="D125" i="23" s="1"/>
  <c r="D46" i="23"/>
  <c r="D117" i="23" s="1"/>
  <c r="D45" i="23"/>
  <c r="D116" i="23" s="1"/>
  <c r="F45" i="23"/>
  <c r="F80" i="23" s="1"/>
  <c r="D135" i="23" l="1"/>
  <c r="D99" i="23"/>
  <c r="D93" i="23"/>
  <c r="D92" i="23"/>
  <c r="D81" i="23"/>
  <c r="D80" i="23"/>
  <c r="D91" i="23"/>
  <c r="D89" i="23"/>
  <c r="D96" i="23"/>
  <c r="D94" i="23"/>
  <c r="D90" i="23"/>
  <c r="G139" i="23"/>
  <c r="B67" i="23" l="1"/>
  <c r="B102" i="23" s="1"/>
  <c r="B66" i="23"/>
  <c r="B101" i="23" s="1"/>
  <c r="B39" i="23"/>
  <c r="B74" i="23" s="1"/>
  <c r="B40" i="23"/>
  <c r="B75" i="23" s="1"/>
  <c r="B41" i="23"/>
  <c r="B76" i="23" s="1"/>
  <c r="B42" i="23"/>
  <c r="B77" i="23" s="1"/>
  <c r="B43" i="23"/>
  <c r="B78" i="23" s="1"/>
  <c r="B44" i="23"/>
  <c r="B79" i="23" s="1"/>
  <c r="B45" i="23"/>
  <c r="B80" i="23" s="1"/>
  <c r="B46" i="23"/>
  <c r="B81" i="23" s="1"/>
  <c r="B47" i="23"/>
  <c r="B82" i="23" s="1"/>
  <c r="B48" i="23"/>
  <c r="B83" i="23" s="1"/>
  <c r="B49" i="23"/>
  <c r="B84" i="23" s="1"/>
  <c r="B50" i="23"/>
  <c r="B85" i="23" s="1"/>
  <c r="B51" i="23"/>
  <c r="B86" i="23" s="1"/>
  <c r="B52" i="23"/>
  <c r="B87" i="23" s="1"/>
  <c r="B53" i="23"/>
  <c r="B88" i="23" s="1"/>
  <c r="B54" i="23"/>
  <c r="B89" i="23" s="1"/>
  <c r="B55" i="23"/>
  <c r="B90" i="23" s="1"/>
  <c r="B56" i="23"/>
  <c r="B91" i="23" s="1"/>
  <c r="B57" i="23"/>
  <c r="B92" i="23" s="1"/>
  <c r="B58" i="23"/>
  <c r="B93" i="23" s="1"/>
  <c r="B59" i="23"/>
  <c r="B94" i="23" s="1"/>
  <c r="B60" i="23"/>
  <c r="B95" i="23" s="1"/>
  <c r="B61" i="23"/>
  <c r="B96" i="23" s="1"/>
  <c r="B62" i="23"/>
  <c r="B97" i="23" s="1"/>
  <c r="B64" i="23"/>
  <c r="B99" i="23" s="1"/>
  <c r="B38" i="23"/>
  <c r="B73" i="23" s="1"/>
  <c r="B90" i="4"/>
  <c r="B91" i="4"/>
  <c r="B92" i="4"/>
  <c r="B93" i="4"/>
  <c r="B94" i="4"/>
  <c r="B95" i="4"/>
  <c r="B96" i="4"/>
  <c r="B97" i="4"/>
  <c r="B98" i="4"/>
  <c r="B99" i="4"/>
  <c r="B100" i="4"/>
  <c r="B101" i="4"/>
  <c r="B102" i="4"/>
  <c r="B103" i="4"/>
  <c r="B104" i="4"/>
  <c r="B105" i="4"/>
  <c r="B106" i="4"/>
  <c r="B107" i="4"/>
  <c r="B108" i="4"/>
  <c r="B109" i="4"/>
  <c r="B110" i="4"/>
  <c r="B111" i="4"/>
  <c r="B112" i="4"/>
  <c r="B113" i="4"/>
  <c r="B115" i="4"/>
  <c r="B89" i="4"/>
  <c r="G219" i="9"/>
  <c r="F30" i="9"/>
  <c r="A1" i="10" a="1"/>
  <c r="A1" i="10" s="1"/>
  <c r="B68" i="1"/>
  <c r="B65" i="1"/>
  <c r="J60" i="23" l="1"/>
  <c r="J95" i="23" s="1"/>
  <c r="B131" i="23"/>
  <c r="J48" i="23"/>
  <c r="J83" i="23" s="1"/>
  <c r="B119" i="23"/>
  <c r="R46" i="23"/>
  <c r="R81" i="23" s="1"/>
  <c r="B117" i="23"/>
  <c r="J47" i="23"/>
  <c r="J82" i="23" s="1"/>
  <c r="B118" i="23"/>
  <c r="R58" i="23"/>
  <c r="R93" i="23" s="1"/>
  <c r="B129" i="23"/>
  <c r="R57" i="23"/>
  <c r="R92" i="23" s="1"/>
  <c r="B128" i="23"/>
  <c r="J45" i="23"/>
  <c r="J80" i="23" s="1"/>
  <c r="B116" i="23"/>
  <c r="R44" i="23"/>
  <c r="R79" i="23" s="1"/>
  <c r="B115" i="23"/>
  <c r="J42" i="23"/>
  <c r="J77" i="23" s="1"/>
  <c r="B113" i="23"/>
  <c r="J41" i="23"/>
  <c r="J76" i="23" s="1"/>
  <c r="B112" i="23"/>
  <c r="J59" i="23"/>
  <c r="J94" i="23" s="1"/>
  <c r="B130" i="23"/>
  <c r="R40" i="23"/>
  <c r="R75" i="23" s="1"/>
  <c r="B111" i="23"/>
  <c r="R39" i="23"/>
  <c r="R74" i="23" s="1"/>
  <c r="B110" i="23"/>
  <c r="R56" i="23"/>
  <c r="R91" i="23" s="1"/>
  <c r="B127" i="23"/>
  <c r="R55" i="23"/>
  <c r="R90" i="23" s="1"/>
  <c r="B126" i="23"/>
  <c r="J43" i="23"/>
  <c r="J78" i="23" s="1"/>
  <c r="B114" i="23"/>
  <c r="J54" i="23"/>
  <c r="J89" i="23" s="1"/>
  <c r="B125" i="23"/>
  <c r="J53" i="23"/>
  <c r="J88" i="23" s="1"/>
  <c r="B124" i="23"/>
  <c r="J38" i="23"/>
  <c r="J73" i="23" s="1"/>
  <c r="B109" i="23"/>
  <c r="R52" i="23"/>
  <c r="R87" i="23" s="1"/>
  <c r="B123" i="23"/>
  <c r="R64" i="23"/>
  <c r="R99" i="23" s="1"/>
  <c r="B135" i="23"/>
  <c r="R51" i="23"/>
  <c r="R86" i="23" s="1"/>
  <c r="B122" i="23"/>
  <c r="J62" i="23"/>
  <c r="J97" i="23" s="1"/>
  <c r="B133" i="23"/>
  <c r="R50" i="23"/>
  <c r="R85" i="23" s="1"/>
  <c r="B121" i="23"/>
  <c r="R66" i="23"/>
  <c r="R101" i="23" s="1"/>
  <c r="B137" i="23"/>
  <c r="R61" i="23"/>
  <c r="R96" i="23" s="1"/>
  <c r="B132" i="23"/>
  <c r="R49" i="23"/>
  <c r="R84" i="23" s="1"/>
  <c r="B120" i="23"/>
  <c r="R67" i="23"/>
  <c r="R102" i="23" s="1"/>
  <c r="B138" i="23"/>
  <c r="J44" i="23"/>
  <c r="J79" i="23" s="1"/>
  <c r="J58" i="23"/>
  <c r="J93" i="23" s="1"/>
  <c r="J46" i="23"/>
  <c r="J81" i="23" s="1"/>
  <c r="R60" i="23"/>
  <c r="R95" i="23" s="1"/>
  <c r="R45" i="23"/>
  <c r="R80" i="23" s="1"/>
  <c r="R43" i="23"/>
  <c r="R78" i="23" s="1"/>
  <c r="J67" i="23"/>
  <c r="J102" i="23" s="1"/>
  <c r="J52" i="23"/>
  <c r="J87" i="23" s="1"/>
  <c r="R48" i="23"/>
  <c r="R83" i="23" s="1"/>
  <c r="R47" i="23"/>
  <c r="R82" i="23" s="1"/>
  <c r="J40" i="23"/>
  <c r="J75" i="23" s="1"/>
  <c r="R38" i="23"/>
  <c r="R73" i="23" s="1"/>
  <c r="J57" i="23"/>
  <c r="J92" i="23" s="1"/>
  <c r="R59" i="23"/>
  <c r="R94" i="23" s="1"/>
  <c r="J56" i="23"/>
  <c r="J91" i="23" s="1"/>
  <c r="J55" i="23"/>
  <c r="J90" i="23" s="1"/>
  <c r="R54" i="23"/>
  <c r="R89" i="23" s="1"/>
  <c r="R42" i="23"/>
  <c r="R77" i="23" s="1"/>
  <c r="J64" i="23"/>
  <c r="J99" i="23" s="1"/>
  <c r="J51" i="23"/>
  <c r="J86" i="23" s="1"/>
  <c r="J39" i="23"/>
  <c r="J74" i="23" s="1"/>
  <c r="R53" i="23"/>
  <c r="R88" i="23" s="1"/>
  <c r="R41" i="23"/>
  <c r="R76" i="23" s="1"/>
  <c r="J50" i="23"/>
  <c r="J85" i="23" s="1"/>
  <c r="J61" i="23"/>
  <c r="J96" i="23" s="1"/>
  <c r="R62" i="23"/>
  <c r="R97" i="23" s="1"/>
  <c r="J66" i="23"/>
  <c r="J101" i="23" s="1"/>
  <c r="J49" i="23"/>
  <c r="J84" i="23" s="1"/>
  <c r="G32" i="9"/>
  <c r="G185" i="9"/>
  <c r="G100" i="9"/>
  <c r="G117" i="9"/>
  <c r="G134" i="9"/>
  <c r="G151" i="9"/>
  <c r="G168" i="9"/>
  <c r="G66" i="9"/>
  <c r="G202" i="9"/>
  <c r="G49" i="9"/>
  <c r="G83" i="9"/>
  <c r="D78" i="5"/>
  <c r="D79" i="5" s="1"/>
  <c r="C37" i="5" s="1"/>
  <c r="F78" i="5"/>
  <c r="F79" i="5" s="1"/>
  <c r="D49" i="5" s="1"/>
  <c r="E78" i="5"/>
  <c r="E79" i="5" s="1"/>
  <c r="D43" i="5" s="1"/>
  <c r="G78" i="5"/>
  <c r="G79" i="5" s="1"/>
  <c r="C55" i="5" s="1"/>
  <c r="C78" i="5"/>
  <c r="B62" i="1"/>
  <c r="C79" i="5" l="1"/>
  <c r="C31" i="5" s="1"/>
  <c r="C43" i="5"/>
  <c r="D37" i="5"/>
  <c r="D55" i="5"/>
  <c r="C49" i="5"/>
  <c r="T58" i="23"/>
  <c r="T93" i="23" s="1"/>
  <c r="T62" i="23"/>
  <c r="T97" i="23" s="1"/>
  <c r="D31" i="5" l="1"/>
  <c r="S44" i="10" l="1"/>
  <c r="C74" i="4"/>
  <c r="C57" i="22"/>
  <c r="D41" i="23"/>
  <c r="D76" i="23" s="1"/>
  <c r="Q29" i="20" l="1"/>
  <c r="T73" i="10"/>
  <c r="T65" i="10"/>
  <c r="X65" i="10" s="1"/>
  <c r="C25" i="20"/>
  <c r="T41" i="23"/>
  <c r="T76" i="23" s="1"/>
  <c r="D112" i="23"/>
  <c r="D57" i="22"/>
  <c r="E57" i="22"/>
  <c r="V64" i="23"/>
  <c r="V99" i="23" s="1"/>
  <c r="N60" i="23"/>
  <c r="N95" i="23" s="1"/>
  <c r="N59" i="23"/>
  <c r="N94" i="23" s="1"/>
  <c r="N58" i="23"/>
  <c r="N93" i="23" s="1"/>
  <c r="N57" i="23"/>
  <c r="N92" i="23" s="1"/>
  <c r="N56" i="23"/>
  <c r="N91" i="23" s="1"/>
  <c r="N55" i="23"/>
  <c r="N90" i="23" s="1"/>
  <c r="N54" i="23"/>
  <c r="N89" i="23" s="1"/>
  <c r="F53" i="23"/>
  <c r="F52" i="23"/>
  <c r="F51" i="23"/>
  <c r="F50" i="23"/>
  <c r="F49" i="23"/>
  <c r="F48" i="23"/>
  <c r="F47" i="23"/>
  <c r="F46" i="23"/>
  <c r="N45" i="23"/>
  <c r="N80" i="23" s="1"/>
  <c r="F44" i="23"/>
  <c r="F43" i="23"/>
  <c r="F42" i="23"/>
  <c r="F77" i="23" s="1"/>
  <c r="F41" i="23"/>
  <c r="F40" i="23"/>
  <c r="F39" i="23"/>
  <c r="F38" i="23"/>
  <c r="F73" i="23" s="1"/>
  <c r="D67" i="23"/>
  <c r="D66" i="23"/>
  <c r="D101" i="23" s="1"/>
  <c r="T64" i="23"/>
  <c r="T99" i="23" s="1"/>
  <c r="L97" i="23"/>
  <c r="T61" i="23"/>
  <c r="T96" i="23" s="1"/>
  <c r="T60" i="23"/>
  <c r="T95" i="23" s="1"/>
  <c r="T59" i="23"/>
  <c r="T94" i="23" s="1"/>
  <c r="T57" i="23"/>
  <c r="T92" i="23" s="1"/>
  <c r="D53" i="23"/>
  <c r="D52" i="23"/>
  <c r="D51" i="23"/>
  <c r="D50" i="23"/>
  <c r="D49" i="23"/>
  <c r="D48" i="23"/>
  <c r="D47" i="23"/>
  <c r="D44" i="23"/>
  <c r="D43" i="23"/>
  <c r="D42" i="23"/>
  <c r="L41" i="23"/>
  <c r="L76" i="23" s="1"/>
  <c r="D40" i="23"/>
  <c r="D39" i="23"/>
  <c r="L64" i="23"/>
  <c r="L99" i="23" s="1"/>
  <c r="L58" i="23"/>
  <c r="L93" i="23" s="1"/>
  <c r="D38" i="23"/>
  <c r="S60" i="33"/>
  <c r="R60" i="33"/>
  <c r="Q60" i="33"/>
  <c r="P60" i="33"/>
  <c r="O60" i="33"/>
  <c r="N60" i="33"/>
  <c r="M60" i="33"/>
  <c r="L60" i="33"/>
  <c r="I60" i="33"/>
  <c r="H60" i="33"/>
  <c r="G60" i="33"/>
  <c r="F60" i="33"/>
  <c r="E60" i="33"/>
  <c r="D60" i="33"/>
  <c r="C83" i="4"/>
  <c r="C84" i="4" s="1"/>
  <c r="X73" i="10" l="1"/>
  <c r="U73" i="10"/>
  <c r="S63" i="23" s="1"/>
  <c r="C114" i="4"/>
  <c r="D73" i="23"/>
  <c r="D68" i="23"/>
  <c r="T74" i="10"/>
  <c r="X74" i="10" s="1"/>
  <c r="T63" i="10"/>
  <c r="X63" i="10" s="1"/>
  <c r="T57" i="10"/>
  <c r="X57" i="10" s="1"/>
  <c r="T69" i="10"/>
  <c r="X69" i="10" s="1"/>
  <c r="T66" i="10"/>
  <c r="X66" i="10" s="1"/>
  <c r="T56" i="10"/>
  <c r="X56" i="10" s="1"/>
  <c r="T77" i="10"/>
  <c r="X77" i="10" s="1"/>
  <c r="T50" i="10"/>
  <c r="X50" i="10" s="1"/>
  <c r="T61" i="10"/>
  <c r="X61" i="10" s="1"/>
  <c r="T60" i="10"/>
  <c r="X60" i="10" s="1"/>
  <c r="T67" i="10"/>
  <c r="X67" i="10" s="1"/>
  <c r="T62" i="10"/>
  <c r="X62" i="10" s="1"/>
  <c r="T59" i="10"/>
  <c r="X59" i="10" s="1"/>
  <c r="T54" i="10"/>
  <c r="X54" i="10" s="1"/>
  <c r="T64" i="10"/>
  <c r="X64" i="10" s="1"/>
  <c r="T48" i="10"/>
  <c r="X48" i="10" s="1"/>
  <c r="T49" i="10"/>
  <c r="X49" i="10" s="1"/>
  <c r="T71" i="10"/>
  <c r="X71" i="10" s="1"/>
  <c r="T53" i="10"/>
  <c r="X53" i="10" s="1"/>
  <c r="T72" i="10"/>
  <c r="X72" i="10" s="1"/>
  <c r="T70" i="10"/>
  <c r="X70" i="10" s="1"/>
  <c r="T76" i="10"/>
  <c r="X76" i="10" s="1"/>
  <c r="T55" i="10"/>
  <c r="X55" i="10" s="1"/>
  <c r="T51" i="10"/>
  <c r="X51" i="10" s="1"/>
  <c r="T68" i="10"/>
  <c r="X68" i="10" s="1"/>
  <c r="T52" i="10"/>
  <c r="X52" i="10" s="1"/>
  <c r="T58" i="10"/>
  <c r="X58" i="10" s="1"/>
  <c r="D18" i="16"/>
  <c r="N38" i="23"/>
  <c r="N73" i="23" s="1"/>
  <c r="D122" i="23"/>
  <c r="D86" i="23"/>
  <c r="N39" i="23"/>
  <c r="N74" i="23" s="1"/>
  <c r="F74" i="23"/>
  <c r="N51" i="23"/>
  <c r="N86" i="23" s="1"/>
  <c r="F86" i="23"/>
  <c r="N40" i="23"/>
  <c r="N75" i="23" s="1"/>
  <c r="F75" i="23"/>
  <c r="D124" i="23"/>
  <c r="D88" i="23"/>
  <c r="D120" i="23"/>
  <c r="D84" i="23"/>
  <c r="D121" i="23"/>
  <c r="D85" i="23"/>
  <c r="N50" i="23"/>
  <c r="N85" i="23" s="1"/>
  <c r="F85" i="23"/>
  <c r="N52" i="23"/>
  <c r="N87" i="23" s="1"/>
  <c r="F87" i="23"/>
  <c r="N41" i="23"/>
  <c r="N76" i="23" s="1"/>
  <c r="F76" i="23"/>
  <c r="N43" i="23"/>
  <c r="N78" i="23" s="1"/>
  <c r="F78" i="23"/>
  <c r="N53" i="23"/>
  <c r="N88" i="23" s="1"/>
  <c r="F88" i="23"/>
  <c r="N49" i="23"/>
  <c r="N84" i="23" s="1"/>
  <c r="F84" i="23"/>
  <c r="D123" i="23"/>
  <c r="D87" i="23"/>
  <c r="D111" i="23"/>
  <c r="D75" i="23"/>
  <c r="N44" i="23"/>
  <c r="N79" i="23" s="1"/>
  <c r="F79" i="23"/>
  <c r="D114" i="23"/>
  <c r="D78" i="23"/>
  <c r="D138" i="23"/>
  <c r="D102" i="23"/>
  <c r="D118" i="23"/>
  <c r="D82" i="23"/>
  <c r="N47" i="23"/>
  <c r="N82" i="23" s="1"/>
  <c r="F82" i="23"/>
  <c r="D110" i="23"/>
  <c r="D74" i="23"/>
  <c r="D113" i="23"/>
  <c r="D77" i="23"/>
  <c r="D115" i="23"/>
  <c r="D79" i="23"/>
  <c r="N46" i="23"/>
  <c r="N81" i="23" s="1"/>
  <c r="F81" i="23"/>
  <c r="D119" i="23"/>
  <c r="D83" i="23"/>
  <c r="N48" i="23"/>
  <c r="N83" i="23" s="1"/>
  <c r="F83" i="23"/>
  <c r="T66" i="23"/>
  <c r="T101" i="23" s="1"/>
  <c r="D137" i="23"/>
  <c r="T38" i="23"/>
  <c r="T73" i="23" s="1"/>
  <c r="D109" i="23"/>
  <c r="L66" i="23"/>
  <c r="N61" i="23"/>
  <c r="N96" i="23" s="1"/>
  <c r="V61" i="23"/>
  <c r="V96" i="23" s="1"/>
  <c r="N64" i="23"/>
  <c r="N99" i="23" s="1"/>
  <c r="N62" i="23"/>
  <c r="N97" i="23" s="1"/>
  <c r="V62" i="23"/>
  <c r="V97" i="23" s="1"/>
  <c r="L60" i="23"/>
  <c r="L95" i="23" s="1"/>
  <c r="L61" i="23"/>
  <c r="L96" i="23" s="1"/>
  <c r="L59" i="23"/>
  <c r="L94" i="23" s="1"/>
  <c r="L57" i="23"/>
  <c r="L92" i="23" s="1"/>
  <c r="L55" i="23"/>
  <c r="L90" i="23" s="1"/>
  <c r="T55" i="23"/>
  <c r="T90" i="23" s="1"/>
  <c r="L67" i="23"/>
  <c r="T67" i="23"/>
  <c r="T102" i="23" s="1"/>
  <c r="L40" i="23"/>
  <c r="L75" i="23" s="1"/>
  <c r="T40" i="23"/>
  <c r="T75" i="23" s="1"/>
  <c r="L44" i="23"/>
  <c r="L79" i="23" s="1"/>
  <c r="T44" i="23"/>
  <c r="T79" i="23" s="1"/>
  <c r="L46" i="23"/>
  <c r="L81" i="23" s="1"/>
  <c r="T46" i="23"/>
  <c r="T81" i="23" s="1"/>
  <c r="L48" i="23"/>
  <c r="L83" i="23" s="1"/>
  <c r="T48" i="23"/>
  <c r="T83" i="23" s="1"/>
  <c r="L56" i="23"/>
  <c r="L91" i="23" s="1"/>
  <c r="T56" i="23"/>
  <c r="L42" i="23"/>
  <c r="L77" i="23" s="1"/>
  <c r="T42" i="23"/>
  <c r="T77" i="23" s="1"/>
  <c r="L43" i="23"/>
  <c r="L78" i="23" s="1"/>
  <c r="T43" i="23"/>
  <c r="T78" i="23" s="1"/>
  <c r="L52" i="23"/>
  <c r="L87" i="23" s="1"/>
  <c r="T52" i="23"/>
  <c r="T87" i="23" s="1"/>
  <c r="L39" i="23"/>
  <c r="L74" i="23" s="1"/>
  <c r="T39" i="23"/>
  <c r="T74" i="23" s="1"/>
  <c r="L45" i="23"/>
  <c r="L80" i="23" s="1"/>
  <c r="T45" i="23"/>
  <c r="T80" i="23" s="1"/>
  <c r="L47" i="23"/>
  <c r="L82" i="23" s="1"/>
  <c r="T47" i="23"/>
  <c r="T82" i="23" s="1"/>
  <c r="L49" i="23"/>
  <c r="L84" i="23" s="1"/>
  <c r="T49" i="23"/>
  <c r="T84" i="23" s="1"/>
  <c r="L50" i="23"/>
  <c r="L85" i="23" s="1"/>
  <c r="T50" i="23"/>
  <c r="T85" i="23" s="1"/>
  <c r="L53" i="23"/>
  <c r="L88" i="23" s="1"/>
  <c r="T53" i="23"/>
  <c r="T88" i="23" s="1"/>
  <c r="L54" i="23"/>
  <c r="L89" i="23" s="1"/>
  <c r="T54" i="23"/>
  <c r="L51" i="23"/>
  <c r="L86" i="23" s="1"/>
  <c r="T51" i="23"/>
  <c r="T86" i="23" s="1"/>
  <c r="N42" i="23"/>
  <c r="N77" i="23" s="1"/>
  <c r="L38" i="23"/>
  <c r="L73" i="23" s="1"/>
  <c r="B83" i="1"/>
  <c r="B71" i="1"/>
  <c r="B74" i="1"/>
  <c r="B56" i="1"/>
  <c r="B59" i="1"/>
  <c r="B77" i="1"/>
  <c r="B80" i="1"/>
  <c r="M35" i="9"/>
  <c r="N35" i="9"/>
  <c r="O35" i="9"/>
  <c r="P35" i="9"/>
  <c r="Q35" i="9"/>
  <c r="R35" i="9"/>
  <c r="S35" i="9"/>
  <c r="T35" i="9"/>
  <c r="U35" i="9"/>
  <c r="V35" i="9"/>
  <c r="M36" i="9"/>
  <c r="N36" i="9"/>
  <c r="O36" i="9"/>
  <c r="P36" i="9"/>
  <c r="Q36" i="9"/>
  <c r="R36" i="9"/>
  <c r="S36" i="9"/>
  <c r="T36" i="9"/>
  <c r="U36" i="9"/>
  <c r="V36" i="9"/>
  <c r="M37" i="9"/>
  <c r="N37" i="9"/>
  <c r="O37" i="9"/>
  <c r="P37" i="9"/>
  <c r="Q37" i="9"/>
  <c r="R37" i="9"/>
  <c r="S37" i="9"/>
  <c r="T37" i="9"/>
  <c r="U37" i="9"/>
  <c r="V37" i="9"/>
  <c r="L37" i="9"/>
  <c r="K37" i="9"/>
  <c r="L36" i="9"/>
  <c r="L35" i="9"/>
  <c r="E220" i="9"/>
  <c r="C220" i="9"/>
  <c r="F219" i="9"/>
  <c r="H219" i="9" s="1"/>
  <c r="D228" i="9" s="1"/>
  <c r="F218" i="9"/>
  <c r="F217" i="9"/>
  <c r="E203" i="9"/>
  <c r="C203" i="9"/>
  <c r="F202" i="9"/>
  <c r="H202" i="9" s="1"/>
  <c r="D211" i="9" s="1"/>
  <c r="F201" i="9"/>
  <c r="F200" i="9"/>
  <c r="E186" i="9"/>
  <c r="C186" i="9"/>
  <c r="F185" i="9"/>
  <c r="H185" i="9" s="1"/>
  <c r="D194" i="9" s="1"/>
  <c r="F184" i="9"/>
  <c r="F183" i="9"/>
  <c r="E169" i="9"/>
  <c r="C169" i="9"/>
  <c r="F168" i="9"/>
  <c r="H168" i="9" s="1"/>
  <c r="D177" i="9" s="1"/>
  <c r="F167" i="9"/>
  <c r="F166" i="9"/>
  <c r="E152" i="9"/>
  <c r="C152" i="9"/>
  <c r="F151" i="9"/>
  <c r="H151" i="9" s="1"/>
  <c r="D160" i="9" s="1"/>
  <c r="F150" i="9"/>
  <c r="F149" i="9"/>
  <c r="E135" i="9"/>
  <c r="C135" i="9"/>
  <c r="F134" i="9"/>
  <c r="H134" i="9" s="1"/>
  <c r="D143" i="9" s="1"/>
  <c r="F133" i="9"/>
  <c r="F132" i="9"/>
  <c r="E118" i="9"/>
  <c r="C118" i="9"/>
  <c r="F117" i="9"/>
  <c r="H117" i="9" s="1"/>
  <c r="D126" i="9" s="1"/>
  <c r="F116" i="9"/>
  <c r="F115" i="9"/>
  <c r="E101" i="9"/>
  <c r="C101" i="9"/>
  <c r="F100" i="9"/>
  <c r="H100" i="9" s="1"/>
  <c r="D109" i="9" s="1"/>
  <c r="F99" i="9"/>
  <c r="F98" i="9"/>
  <c r="E84" i="9"/>
  <c r="C84" i="9"/>
  <c r="F83" i="9"/>
  <c r="H83" i="9" s="1"/>
  <c r="D92" i="9" s="1"/>
  <c r="F82" i="9"/>
  <c r="F81" i="9"/>
  <c r="E67" i="9"/>
  <c r="C67" i="9"/>
  <c r="F66" i="9"/>
  <c r="H66" i="9" s="1"/>
  <c r="D75" i="9" s="1"/>
  <c r="F65" i="9"/>
  <c r="F64" i="9"/>
  <c r="E50" i="9"/>
  <c r="C50" i="9"/>
  <c r="F49" i="9"/>
  <c r="H49" i="9" s="1"/>
  <c r="D58" i="9" s="1"/>
  <c r="F48" i="9"/>
  <c r="F47" i="9"/>
  <c r="E33" i="9"/>
  <c r="C33" i="9"/>
  <c r="F32" i="9"/>
  <c r="H32" i="9" s="1"/>
  <c r="D41" i="9" s="1"/>
  <c r="U63" i="23" l="1"/>
  <c r="S98" i="23"/>
  <c r="W63" i="23"/>
  <c r="F134" i="23"/>
  <c r="H134" i="23" s="1"/>
  <c r="I134" i="23" s="1"/>
  <c r="D114" i="4"/>
  <c r="E114" i="4" s="1"/>
  <c r="U66" i="10"/>
  <c r="S56" i="23" s="1"/>
  <c r="S91" i="23" s="1"/>
  <c r="W91" i="23" s="1"/>
  <c r="U51" i="10"/>
  <c r="S41" i="23" s="1"/>
  <c r="S76" i="23" s="1"/>
  <c r="W76" i="23" s="1"/>
  <c r="U70" i="10"/>
  <c r="S60" i="23" s="1"/>
  <c r="S95" i="23" s="1"/>
  <c r="U95" i="23" s="1"/>
  <c r="U53" i="10"/>
  <c r="S43" i="23" s="1"/>
  <c r="S78" i="23" s="1"/>
  <c r="U78" i="23" s="1"/>
  <c r="U61" i="10"/>
  <c r="S51" i="23" s="1"/>
  <c r="S86" i="23" s="1"/>
  <c r="W86" i="23" s="1"/>
  <c r="U55" i="10"/>
  <c r="S45" i="23" s="1"/>
  <c r="W45" i="23" s="1"/>
  <c r="T81" i="10"/>
  <c r="X81" i="10"/>
  <c r="U72" i="10"/>
  <c r="S62" i="23" s="1"/>
  <c r="U62" i="23" s="1"/>
  <c r="U54" i="10"/>
  <c r="S44" i="23" s="1"/>
  <c r="S79" i="23" s="1"/>
  <c r="W79" i="23" s="1"/>
  <c r="U62" i="10"/>
  <c r="S52" i="23" s="1"/>
  <c r="S87" i="23" s="1"/>
  <c r="W87" i="23" s="1"/>
  <c r="U60" i="10"/>
  <c r="S50" i="23" s="1"/>
  <c r="S85" i="23" s="1"/>
  <c r="W85" i="23" s="1"/>
  <c r="U58" i="10"/>
  <c r="S48" i="23" s="1"/>
  <c r="S83" i="23" s="1"/>
  <c r="U83" i="23" s="1"/>
  <c r="U57" i="10"/>
  <c r="S47" i="23" s="1"/>
  <c r="S82" i="23" s="1"/>
  <c r="W82" i="23" s="1"/>
  <c r="U64" i="10"/>
  <c r="S54" i="23" s="1"/>
  <c r="W54" i="23" s="1"/>
  <c r="U56" i="10"/>
  <c r="S46" i="23" s="1"/>
  <c r="U46" i="23" s="1"/>
  <c r="U52" i="10"/>
  <c r="S42" i="23" s="1"/>
  <c r="S77" i="23" s="1"/>
  <c r="W77" i="23" s="1"/>
  <c r="U63" i="10"/>
  <c r="S53" i="23" s="1"/>
  <c r="S88" i="23" s="1"/>
  <c r="W88" i="23" s="1"/>
  <c r="U71" i="10"/>
  <c r="S61" i="23" s="1"/>
  <c r="S96" i="23" s="1"/>
  <c r="U48" i="10"/>
  <c r="S38" i="23" s="1"/>
  <c r="S73" i="23" s="1"/>
  <c r="U59" i="10"/>
  <c r="S49" i="23" s="1"/>
  <c r="S84" i="23" s="1"/>
  <c r="W84" i="23" s="1"/>
  <c r="U74" i="10"/>
  <c r="T80" i="10"/>
  <c r="T79" i="10"/>
  <c r="S80" i="10"/>
  <c r="S79" i="10"/>
  <c r="S81" i="10"/>
  <c r="D103" i="23"/>
  <c r="L101" i="23"/>
  <c r="D139" i="23"/>
  <c r="T89" i="23"/>
  <c r="L102" i="23"/>
  <c r="T91" i="23"/>
  <c r="T103" i="23" s="1"/>
  <c r="V41" i="9"/>
  <c r="U41" i="9"/>
  <c r="T41" i="9"/>
  <c r="S41" i="9"/>
  <c r="R41" i="9"/>
  <c r="Q41" i="9"/>
  <c r="P41" i="9"/>
  <c r="O41" i="9"/>
  <c r="N41" i="9"/>
  <c r="M41" i="9"/>
  <c r="L41" i="9"/>
  <c r="K41" i="9"/>
  <c r="K31" i="9"/>
  <c r="T68" i="23"/>
  <c r="Q38" i="9"/>
  <c r="N38" i="9"/>
  <c r="L68" i="23"/>
  <c r="P38" i="9"/>
  <c r="O38" i="9"/>
  <c r="V38" i="9"/>
  <c r="T38" i="9"/>
  <c r="M38" i="9"/>
  <c r="L38" i="9"/>
  <c r="R38" i="9"/>
  <c r="U38" i="9"/>
  <c r="S38" i="9"/>
  <c r="U31" i="9"/>
  <c r="T31" i="9"/>
  <c r="R31" i="9"/>
  <c r="X37" i="9"/>
  <c r="V31" i="9"/>
  <c r="W37" i="9"/>
  <c r="S31" i="9"/>
  <c r="Q31" i="9"/>
  <c r="P31" i="9"/>
  <c r="O31" i="9"/>
  <c r="N31" i="9"/>
  <c r="M31" i="9"/>
  <c r="F135" i="9"/>
  <c r="F118" i="9"/>
  <c r="F203" i="9"/>
  <c r="F152" i="9"/>
  <c r="F169" i="9"/>
  <c r="F186" i="9"/>
  <c r="F101" i="9"/>
  <c r="F50" i="9"/>
  <c r="L31" i="9"/>
  <c r="F67" i="9"/>
  <c r="F220" i="9"/>
  <c r="F84" i="9"/>
  <c r="F31" i="9"/>
  <c r="U41" i="23" l="1"/>
  <c r="U76" i="23"/>
  <c r="X76" i="23" s="1"/>
  <c r="W98" i="23"/>
  <c r="U98" i="23"/>
  <c r="X98" i="23" s="1"/>
  <c r="W41" i="23"/>
  <c r="X63" i="23"/>
  <c r="X41" i="23"/>
  <c r="U56" i="23"/>
  <c r="U91" i="23"/>
  <c r="X91" i="23" s="1"/>
  <c r="W56" i="23"/>
  <c r="S89" i="23"/>
  <c r="W89" i="23" s="1"/>
  <c r="U47" i="23"/>
  <c r="W47" i="23"/>
  <c r="W95" i="23"/>
  <c r="X95" i="23" s="1"/>
  <c r="U54" i="23"/>
  <c r="X54" i="23" s="1"/>
  <c r="U86" i="23"/>
  <c r="X86" i="23" s="1"/>
  <c r="U77" i="23"/>
  <c r="X77" i="23" s="1"/>
  <c r="U82" i="23"/>
  <c r="X82" i="23" s="1"/>
  <c r="S81" i="23"/>
  <c r="W81" i="23" s="1"/>
  <c r="W46" i="23"/>
  <c r="X46" i="23" s="1"/>
  <c r="U60" i="23"/>
  <c r="U42" i="23"/>
  <c r="W43" i="23"/>
  <c r="W51" i="23"/>
  <c r="W42" i="23"/>
  <c r="U61" i="23"/>
  <c r="U51" i="23"/>
  <c r="U45" i="23"/>
  <c r="X45" i="23" s="1"/>
  <c r="S80" i="23"/>
  <c r="W80" i="23" s="1"/>
  <c r="W53" i="23"/>
  <c r="W52" i="23"/>
  <c r="W83" i="23"/>
  <c r="X83" i="23" s="1"/>
  <c r="U79" i="23"/>
  <c r="X79" i="23" s="1"/>
  <c r="U87" i="23"/>
  <c r="X87" i="23" s="1"/>
  <c r="U52" i="23"/>
  <c r="X52" i="23" s="1"/>
  <c r="X79" i="10"/>
  <c r="U43" i="23"/>
  <c r="U80" i="10"/>
  <c r="C69" i="5" s="1"/>
  <c r="S97" i="23"/>
  <c r="U53" i="23"/>
  <c r="W50" i="23"/>
  <c r="W78" i="23"/>
  <c r="X78" i="23" s="1"/>
  <c r="U88" i="23"/>
  <c r="X88" i="23" s="1"/>
  <c r="U49" i="23"/>
  <c r="U85" i="23"/>
  <c r="X85" i="23" s="1"/>
  <c r="X80" i="10"/>
  <c r="U44" i="23"/>
  <c r="W44" i="23"/>
  <c r="U48" i="23"/>
  <c r="W49" i="23"/>
  <c r="U84" i="23"/>
  <c r="X84" i="23" s="1"/>
  <c r="W48" i="23"/>
  <c r="W60" i="23"/>
  <c r="U50" i="23"/>
  <c r="S82" i="10"/>
  <c r="W73" i="23"/>
  <c r="U73" i="23"/>
  <c r="U96" i="23"/>
  <c r="W96" i="23"/>
  <c r="L103" i="23"/>
  <c r="U38" i="23"/>
  <c r="W38" i="23"/>
  <c r="X41" i="9"/>
  <c r="F33" i="9"/>
  <c r="X31" i="9"/>
  <c r="W31" i="9"/>
  <c r="X48" i="23" l="1"/>
  <c r="X53" i="23"/>
  <c r="X60" i="23"/>
  <c r="X49" i="23"/>
  <c r="X38" i="23"/>
  <c r="X47" i="23"/>
  <c r="X44" i="23"/>
  <c r="X96" i="23"/>
  <c r="X56" i="23"/>
  <c r="X42" i="23"/>
  <c r="X43" i="23"/>
  <c r="X50" i="23"/>
  <c r="X51" i="23"/>
  <c r="U89" i="23"/>
  <c r="X89" i="23" s="1"/>
  <c r="X82" i="10"/>
  <c r="U81" i="23"/>
  <c r="X81" i="23" s="1"/>
  <c r="U80" i="23"/>
  <c r="X80" i="23" s="1"/>
  <c r="E29" i="10"/>
  <c r="U97" i="23"/>
  <c r="W97" i="23"/>
  <c r="X73" i="23"/>
  <c r="K35" i="9"/>
  <c r="K36" i="9"/>
  <c r="D59" i="4"/>
  <c r="D62" i="4" s="1"/>
  <c r="D60" i="4"/>
  <c r="D64" i="4"/>
  <c r="D65" i="4"/>
  <c r="A1" i="24" a="1"/>
  <c r="A1" i="24" s="1"/>
  <c r="A1" i="25" a="1"/>
  <c r="A1" i="25" s="1"/>
  <c r="X97" i="23" l="1"/>
  <c r="E48" i="10"/>
  <c r="E29" i="20"/>
  <c r="C24" i="20"/>
  <c r="L63" i="10"/>
  <c r="P63" i="10" s="1"/>
  <c r="D67" i="4"/>
  <c r="C48" i="4" s="1"/>
  <c r="C47" i="4"/>
  <c r="U50" i="10"/>
  <c r="S40" i="23" s="1"/>
  <c r="G30" i="9"/>
  <c r="H30" i="9" s="1"/>
  <c r="D39" i="9" s="1"/>
  <c r="U68" i="10"/>
  <c r="S58" i="23" s="1"/>
  <c r="U65" i="10"/>
  <c r="S55" i="23" s="1"/>
  <c r="U49" i="10"/>
  <c r="S39" i="23" s="1"/>
  <c r="S74" i="23" s="1"/>
  <c r="G217" i="9"/>
  <c r="G81" i="9"/>
  <c r="G183" i="9"/>
  <c r="G200" i="9"/>
  <c r="G64" i="9"/>
  <c r="G149" i="9"/>
  <c r="G132" i="9"/>
  <c r="G115" i="9"/>
  <c r="G47" i="9"/>
  <c r="H47" i="9" s="1"/>
  <c r="G98" i="9"/>
  <c r="G166" i="9"/>
  <c r="U67" i="10"/>
  <c r="S57" i="23" s="1"/>
  <c r="K38" i="9"/>
  <c r="A1" i="16" a="1"/>
  <c r="A1" i="16" s="1"/>
  <c r="A1" i="23" a="1"/>
  <c r="A1" i="23" s="1"/>
  <c r="A1" i="20" a="1"/>
  <c r="A1" i="20" s="1"/>
  <c r="A1" i="22" a="1"/>
  <c r="A1" i="22" s="1"/>
  <c r="E33" i="20" l="1"/>
  <c r="D40" i="20"/>
  <c r="D38" i="20"/>
  <c r="D37" i="20"/>
  <c r="D36" i="20"/>
  <c r="D35" i="20"/>
  <c r="D34" i="20"/>
  <c r="D33" i="20"/>
  <c r="F109" i="23"/>
  <c r="H109" i="23" s="1"/>
  <c r="D89" i="4"/>
  <c r="L56" i="10"/>
  <c r="P56" i="10" s="1"/>
  <c r="L67" i="10"/>
  <c r="P67" i="10" s="1"/>
  <c r="L76" i="10"/>
  <c r="P76" i="10" s="1"/>
  <c r="L54" i="10"/>
  <c r="P54" i="10" s="1"/>
  <c r="L57" i="10"/>
  <c r="P57" i="10" s="1"/>
  <c r="L62" i="10"/>
  <c r="P62" i="10" s="1"/>
  <c r="L53" i="10"/>
  <c r="P53" i="10" s="1"/>
  <c r="L71" i="10"/>
  <c r="P71" i="10" s="1"/>
  <c r="L72" i="10"/>
  <c r="P72" i="10" s="1"/>
  <c r="L49" i="10"/>
  <c r="P49" i="10" s="1"/>
  <c r="L55" i="10"/>
  <c r="P55" i="10" s="1"/>
  <c r="L70" i="10"/>
  <c r="P70" i="10" s="1"/>
  <c r="L51" i="10"/>
  <c r="P51" i="10" s="1"/>
  <c r="L58" i="10"/>
  <c r="P58" i="10" s="1"/>
  <c r="L61" i="10"/>
  <c r="P61" i="10" s="1"/>
  <c r="L59" i="10"/>
  <c r="P59" i="10" s="1"/>
  <c r="L65" i="10"/>
  <c r="P65" i="10" s="1"/>
  <c r="L74" i="10"/>
  <c r="P74" i="10" s="1"/>
  <c r="L69" i="10"/>
  <c r="P69" i="10" s="1"/>
  <c r="L50" i="10"/>
  <c r="P50" i="10" s="1"/>
  <c r="L66" i="10"/>
  <c r="P66" i="10" s="1"/>
  <c r="L52" i="10"/>
  <c r="P52" i="10" s="1"/>
  <c r="M48" i="10"/>
  <c r="L60" i="10"/>
  <c r="P60" i="10" s="1"/>
  <c r="L77" i="10"/>
  <c r="P77" i="10" s="1"/>
  <c r="L68" i="10"/>
  <c r="P68" i="10" s="1"/>
  <c r="L64" i="10"/>
  <c r="P64" i="10" s="1"/>
  <c r="C23" i="20"/>
  <c r="D17" i="16"/>
  <c r="U40" i="23"/>
  <c r="S75" i="23"/>
  <c r="U55" i="23"/>
  <c r="S90" i="23"/>
  <c r="U58" i="23"/>
  <c r="S93" i="23"/>
  <c r="W74" i="23"/>
  <c r="U74" i="23"/>
  <c r="X74" i="23" s="1"/>
  <c r="U57" i="23"/>
  <c r="S92" i="23"/>
  <c r="W55" i="23"/>
  <c r="U69" i="10"/>
  <c r="S59" i="23" s="1"/>
  <c r="W58" i="23"/>
  <c r="W39" i="23"/>
  <c r="U39" i="23"/>
  <c r="W57" i="23"/>
  <c r="G31" i="9"/>
  <c r="W40" i="23"/>
  <c r="W61" i="23"/>
  <c r="X61" i="23" s="1"/>
  <c r="W62" i="23"/>
  <c r="X62" i="23" s="1"/>
  <c r="S64" i="23"/>
  <c r="X38" i="9"/>
  <c r="W38" i="9"/>
  <c r="D22" i="16"/>
  <c r="D69" i="4"/>
  <c r="C73" i="4" s="1"/>
  <c r="E22" i="16"/>
  <c r="X58" i="23" l="1"/>
  <c r="X39" i="23"/>
  <c r="X57" i="23"/>
  <c r="X55" i="23"/>
  <c r="X40" i="23"/>
  <c r="C49" i="4"/>
  <c r="C79" i="4"/>
  <c r="C85" i="4" s="1"/>
  <c r="P79" i="10"/>
  <c r="P80" i="10"/>
  <c r="M76" i="10"/>
  <c r="P81" i="10"/>
  <c r="K80" i="10"/>
  <c r="K81" i="10"/>
  <c r="L79" i="10"/>
  <c r="D16" i="16"/>
  <c r="C26" i="20"/>
  <c r="U79" i="10"/>
  <c r="E28" i="10" s="1"/>
  <c r="U64" i="23"/>
  <c r="S99" i="23"/>
  <c r="W90" i="23"/>
  <c r="U90" i="23"/>
  <c r="X90" i="23" s="1"/>
  <c r="W92" i="23"/>
  <c r="U92" i="23"/>
  <c r="W93" i="23"/>
  <c r="U93" i="23"/>
  <c r="W75" i="23"/>
  <c r="U75" i="23"/>
  <c r="U59" i="23"/>
  <c r="S94" i="23"/>
  <c r="W59" i="23"/>
  <c r="G218" i="9"/>
  <c r="G82" i="9"/>
  <c r="G201" i="9"/>
  <c r="G65" i="9"/>
  <c r="G150" i="9"/>
  <c r="G133" i="9"/>
  <c r="G116" i="9"/>
  <c r="G184" i="9"/>
  <c r="G99" i="9"/>
  <c r="G48" i="9"/>
  <c r="G167" i="9"/>
  <c r="U77" i="10"/>
  <c r="T82" i="10"/>
  <c r="W64" i="23"/>
  <c r="U76" i="10"/>
  <c r="F22" i="16"/>
  <c r="X75" i="23" l="1"/>
  <c r="X92" i="23"/>
  <c r="X93" i="23"/>
  <c r="X59" i="23"/>
  <c r="X64" i="23"/>
  <c r="P82" i="10"/>
  <c r="K82" i="10"/>
  <c r="D74" i="10"/>
  <c r="H74" i="10" s="1"/>
  <c r="D65" i="10"/>
  <c r="H65" i="10" s="1"/>
  <c r="D69" i="10"/>
  <c r="H69" i="10" s="1"/>
  <c r="D68" i="10"/>
  <c r="H68" i="10" s="1"/>
  <c r="D58" i="10"/>
  <c r="H58" i="10" s="1"/>
  <c r="D64" i="10"/>
  <c r="H64" i="10" s="1"/>
  <c r="D62" i="10"/>
  <c r="H62" i="10" s="1"/>
  <c r="D63" i="10"/>
  <c r="H63" i="10" s="1"/>
  <c r="D77" i="10"/>
  <c r="H77" i="10" s="1"/>
  <c r="D117" i="4" s="1"/>
  <c r="D53" i="10"/>
  <c r="H53" i="10" s="1"/>
  <c r="D56" i="10"/>
  <c r="H56" i="10" s="1"/>
  <c r="D72" i="10"/>
  <c r="H72" i="10" s="1"/>
  <c r="D66" i="10"/>
  <c r="H66" i="10" s="1"/>
  <c r="D67" i="10"/>
  <c r="H67" i="10" s="1"/>
  <c r="D50" i="10"/>
  <c r="H50" i="10" s="1"/>
  <c r="D57" i="10"/>
  <c r="H57" i="10" s="1"/>
  <c r="D70" i="10"/>
  <c r="H70" i="10" s="1"/>
  <c r="D60" i="10"/>
  <c r="H60" i="10" s="1"/>
  <c r="D52" i="10"/>
  <c r="H52" i="10" s="1"/>
  <c r="D59" i="10"/>
  <c r="H59" i="10" s="1"/>
  <c r="D55" i="10"/>
  <c r="H55" i="10" s="1"/>
  <c r="D54" i="10"/>
  <c r="H54" i="10" s="1"/>
  <c r="D49" i="10"/>
  <c r="H49" i="10" s="1"/>
  <c r="D61" i="10"/>
  <c r="H61" i="10" s="1"/>
  <c r="D51" i="10"/>
  <c r="H51" i="10" s="1"/>
  <c r="P37" i="20"/>
  <c r="M33" i="22" s="1"/>
  <c r="P35" i="20"/>
  <c r="M31" i="22" s="1"/>
  <c r="P41" i="20"/>
  <c r="M37" i="22" s="1"/>
  <c r="Q35" i="20"/>
  <c r="N31" i="22" s="1"/>
  <c r="R42" i="20"/>
  <c r="O38" i="22" s="1"/>
  <c r="Q38" i="20"/>
  <c r="N34" i="22" s="1"/>
  <c r="R41" i="20"/>
  <c r="O37" i="22" s="1"/>
  <c r="P34" i="20"/>
  <c r="M30" i="22" s="1"/>
  <c r="P33" i="20"/>
  <c r="M29" i="22" s="1"/>
  <c r="Q36" i="20"/>
  <c r="N32" i="22" s="1"/>
  <c r="R40" i="20"/>
  <c r="O36" i="22" s="1"/>
  <c r="R35" i="20"/>
  <c r="O31" i="22" s="1"/>
  <c r="Q41" i="20"/>
  <c r="N37" i="22" s="1"/>
  <c r="Q34" i="20"/>
  <c r="N30" i="22" s="1"/>
  <c r="R38" i="20"/>
  <c r="O34" i="22" s="1"/>
  <c r="R37" i="20"/>
  <c r="O33" i="22" s="1"/>
  <c r="Q42" i="20"/>
  <c r="N38" i="22" s="1"/>
  <c r="R33" i="20"/>
  <c r="O29" i="22" s="1"/>
  <c r="R36" i="20"/>
  <c r="O32" i="22" s="1"/>
  <c r="R34" i="20"/>
  <c r="O30" i="22" s="1"/>
  <c r="P42" i="20"/>
  <c r="M38" i="22" s="1"/>
  <c r="P36" i="20"/>
  <c r="M32" i="22" s="1"/>
  <c r="P38" i="20"/>
  <c r="M34" i="22" s="1"/>
  <c r="Q37" i="20"/>
  <c r="N33" i="22" s="1"/>
  <c r="Q33" i="20"/>
  <c r="N29" i="22" s="1"/>
  <c r="P40" i="20"/>
  <c r="M36" i="22" s="1"/>
  <c r="W68" i="23"/>
  <c r="Q40" i="20"/>
  <c r="N36" i="22" s="1"/>
  <c r="W94" i="23"/>
  <c r="U94" i="23"/>
  <c r="W99" i="23"/>
  <c r="U99" i="23"/>
  <c r="S67" i="23"/>
  <c r="S66" i="23"/>
  <c r="U81" i="10"/>
  <c r="C53" i="4"/>
  <c r="C70" i="5"/>
  <c r="C72" i="5" s="1"/>
  <c r="C23" i="5" s="1"/>
  <c r="H79" i="10" l="1"/>
  <c r="X99" i="23"/>
  <c r="X94" i="23"/>
  <c r="H23" i="22"/>
  <c r="C23" i="22"/>
  <c r="D21" i="16" s="1"/>
  <c r="K45" i="20"/>
  <c r="D79" i="10"/>
  <c r="F118" i="23"/>
  <c r="H118" i="23" s="1"/>
  <c r="D98" i="4"/>
  <c r="D108" i="4"/>
  <c r="F128" i="23"/>
  <c r="H128" i="23" s="1"/>
  <c r="C95" i="4"/>
  <c r="D100" i="4"/>
  <c r="F120" i="23"/>
  <c r="H120" i="23" s="1"/>
  <c r="C101" i="4"/>
  <c r="D113" i="4"/>
  <c r="F133" i="23"/>
  <c r="H133" i="23" s="1"/>
  <c r="D107" i="4"/>
  <c r="F127" i="23"/>
  <c r="H127" i="23" s="1"/>
  <c r="F117" i="23"/>
  <c r="H117" i="23" s="1"/>
  <c r="D97" i="4"/>
  <c r="C102" i="4"/>
  <c r="D111" i="4"/>
  <c r="F131" i="23"/>
  <c r="H131" i="23" s="1"/>
  <c r="C94" i="4"/>
  <c r="C117" i="4"/>
  <c r="F138" i="23"/>
  <c r="H138" i="23" s="1"/>
  <c r="F116" i="23"/>
  <c r="H116" i="23" s="1"/>
  <c r="D96" i="4"/>
  <c r="C104" i="4"/>
  <c r="D91" i="4"/>
  <c r="F111" i="23"/>
  <c r="H111" i="23" s="1"/>
  <c r="F123" i="23"/>
  <c r="H123" i="23" s="1"/>
  <c r="D103" i="4"/>
  <c r="D105" i="4"/>
  <c r="F125" i="23"/>
  <c r="H125" i="23" s="1"/>
  <c r="C99" i="4"/>
  <c r="C90" i="4"/>
  <c r="C93" i="4"/>
  <c r="D109" i="4"/>
  <c r="F129" i="23"/>
  <c r="H129" i="23" s="1"/>
  <c r="D110" i="4"/>
  <c r="F130" i="23"/>
  <c r="H130" i="23" s="1"/>
  <c r="D106" i="4"/>
  <c r="F126" i="23"/>
  <c r="H126" i="23" s="1"/>
  <c r="C92" i="4"/>
  <c r="D115" i="4"/>
  <c r="F135" i="23"/>
  <c r="H135" i="23" s="1"/>
  <c r="E59" i="10"/>
  <c r="C49" i="23" s="1"/>
  <c r="C100" i="4"/>
  <c r="D71" i="10"/>
  <c r="H71" i="10" s="1"/>
  <c r="E70" i="10"/>
  <c r="C60" i="23" s="1"/>
  <c r="C111" i="4"/>
  <c r="E57" i="10"/>
  <c r="C47" i="23" s="1"/>
  <c r="C98" i="4"/>
  <c r="E67" i="10"/>
  <c r="C57" i="23" s="1"/>
  <c r="C108" i="4"/>
  <c r="E66" i="10"/>
  <c r="C56" i="23" s="1"/>
  <c r="C107" i="4"/>
  <c r="E72" i="10"/>
  <c r="C62" i="23" s="1"/>
  <c r="C113" i="4"/>
  <c r="E56" i="10"/>
  <c r="C46" i="23" s="1"/>
  <c r="C97" i="4"/>
  <c r="D76" i="10"/>
  <c r="H76" i="10" s="1"/>
  <c r="C81" i="10"/>
  <c r="E50" i="10"/>
  <c r="C40" i="23" s="1"/>
  <c r="C91" i="4"/>
  <c r="E62" i="10"/>
  <c r="C52" i="23" s="1"/>
  <c r="C103" i="4"/>
  <c r="C109" i="4"/>
  <c r="E68" i="10"/>
  <c r="C58" i="23" s="1"/>
  <c r="C93" i="23" s="1"/>
  <c r="G93" i="23" s="1"/>
  <c r="E69" i="10"/>
  <c r="C59" i="23" s="1"/>
  <c r="C110" i="4"/>
  <c r="E64" i="10"/>
  <c r="C54" i="23" s="1"/>
  <c r="C105" i="4"/>
  <c r="E65" i="10"/>
  <c r="C55" i="23" s="1"/>
  <c r="C106" i="4"/>
  <c r="E74" i="10"/>
  <c r="C115" i="4"/>
  <c r="E55" i="10"/>
  <c r="C45" i="23" s="1"/>
  <c r="C96" i="4"/>
  <c r="E30" i="10"/>
  <c r="E31" i="10" s="1"/>
  <c r="J36" i="20"/>
  <c r="J35" i="20"/>
  <c r="J34" i="20"/>
  <c r="J33" i="20"/>
  <c r="W103" i="23"/>
  <c r="U67" i="23"/>
  <c r="X67" i="23" s="1"/>
  <c r="S102" i="23"/>
  <c r="U102" i="23" s="1"/>
  <c r="X102" i="23" s="1"/>
  <c r="U66" i="23"/>
  <c r="X66" i="23" s="1"/>
  <c r="S101" i="23"/>
  <c r="U82" i="10"/>
  <c r="V73" i="10" s="1"/>
  <c r="S68" i="23"/>
  <c r="Q45" i="20" l="1"/>
  <c r="D80" i="10"/>
  <c r="E45" i="20"/>
  <c r="D49" i="20" s="1"/>
  <c r="D81" i="10"/>
  <c r="E91" i="4"/>
  <c r="E108" i="4"/>
  <c r="E98" i="4"/>
  <c r="E96" i="4"/>
  <c r="H80" i="10"/>
  <c r="E115" i="4"/>
  <c r="C82" i="10"/>
  <c r="E107" i="4"/>
  <c r="E103" i="4"/>
  <c r="E97" i="4"/>
  <c r="E113" i="4"/>
  <c r="D116" i="4"/>
  <c r="H81" i="10"/>
  <c r="E117" i="4"/>
  <c r="F137" i="23"/>
  <c r="H137" i="23" s="1"/>
  <c r="F122" i="23"/>
  <c r="H122" i="23" s="1"/>
  <c r="D102" i="4"/>
  <c r="E102" i="4" s="1"/>
  <c r="F113" i="23"/>
  <c r="H113" i="23" s="1"/>
  <c r="D93" i="4"/>
  <c r="E93" i="4" s="1"/>
  <c r="F121" i="23"/>
  <c r="H121" i="23" s="1"/>
  <c r="D101" i="4"/>
  <c r="E101" i="4" s="1"/>
  <c r="D92" i="4"/>
  <c r="E92" i="4" s="1"/>
  <c r="F112" i="23"/>
  <c r="H112" i="23" s="1"/>
  <c r="D94" i="4"/>
  <c r="E94" i="4" s="1"/>
  <c r="F114" i="23"/>
  <c r="H114" i="23" s="1"/>
  <c r="D90" i="4"/>
  <c r="F110" i="23"/>
  <c r="E111" i="4"/>
  <c r="F115" i="23"/>
  <c r="H115" i="23" s="1"/>
  <c r="D95" i="4"/>
  <c r="E95" i="4" s="1"/>
  <c r="E105" i="4"/>
  <c r="E100" i="4"/>
  <c r="D104" i="4"/>
  <c r="E104" i="4" s="1"/>
  <c r="F124" i="23"/>
  <c r="H124" i="23" s="1"/>
  <c r="D99" i="4"/>
  <c r="E99" i="4" s="1"/>
  <c r="F119" i="23"/>
  <c r="H119" i="23" s="1"/>
  <c r="E106" i="4"/>
  <c r="E110" i="4"/>
  <c r="E109" i="4"/>
  <c r="X68" i="23"/>
  <c r="C31" i="23" s="1"/>
  <c r="E58" i="23"/>
  <c r="E93" i="23" s="1"/>
  <c r="H93" i="23" s="1"/>
  <c r="C111" i="23"/>
  <c r="E111" i="23" s="1"/>
  <c r="I111" i="23" s="1"/>
  <c r="E40" i="23"/>
  <c r="H40" i="23" s="1"/>
  <c r="C75" i="23"/>
  <c r="G75" i="23" s="1"/>
  <c r="C87" i="23"/>
  <c r="G87" i="23" s="1"/>
  <c r="E52" i="23"/>
  <c r="C123" i="23"/>
  <c r="E123" i="23" s="1"/>
  <c r="I123" i="23" s="1"/>
  <c r="E76" i="10"/>
  <c r="C116" i="4"/>
  <c r="C81" i="23"/>
  <c r="G81" i="23" s="1"/>
  <c r="E46" i="23"/>
  <c r="C117" i="23"/>
  <c r="E117" i="23" s="1"/>
  <c r="I117" i="23" s="1"/>
  <c r="C89" i="4"/>
  <c r="E89" i="4" s="1"/>
  <c r="C92" i="23"/>
  <c r="G92" i="23" s="1"/>
  <c r="C128" i="23"/>
  <c r="E128" i="23" s="1"/>
  <c r="I128" i="23" s="1"/>
  <c r="E57" i="23"/>
  <c r="C112" i="4"/>
  <c r="E71" i="10"/>
  <c r="E80" i="10" s="1"/>
  <c r="C129" i="23"/>
  <c r="E129" i="23" s="1"/>
  <c r="I129" i="23" s="1"/>
  <c r="E56" i="23"/>
  <c r="C127" i="23"/>
  <c r="E127" i="23" s="1"/>
  <c r="I127" i="23" s="1"/>
  <c r="C91" i="23"/>
  <c r="G91" i="23" s="1"/>
  <c r="C95" i="23"/>
  <c r="G95" i="23" s="1"/>
  <c r="E60" i="23"/>
  <c r="C131" i="23"/>
  <c r="E131" i="23" s="1"/>
  <c r="I131" i="23" s="1"/>
  <c r="C133" i="23"/>
  <c r="E133" i="23" s="1"/>
  <c r="I133" i="23" s="1"/>
  <c r="C97" i="23"/>
  <c r="E62" i="23"/>
  <c r="C116" i="23"/>
  <c r="E116" i="23" s="1"/>
  <c r="I116" i="23" s="1"/>
  <c r="C80" i="23"/>
  <c r="G80" i="23" s="1"/>
  <c r="E45" i="23"/>
  <c r="E47" i="23"/>
  <c r="C82" i="23"/>
  <c r="G82" i="23" s="1"/>
  <c r="C118" i="23"/>
  <c r="E118" i="23" s="1"/>
  <c r="I118" i="23" s="1"/>
  <c r="C126" i="23"/>
  <c r="E126" i="23" s="1"/>
  <c r="I126" i="23" s="1"/>
  <c r="C90" i="23"/>
  <c r="G90" i="23" s="1"/>
  <c r="C125" i="23"/>
  <c r="E125" i="23" s="1"/>
  <c r="I125" i="23" s="1"/>
  <c r="C89" i="23"/>
  <c r="G89" i="23" s="1"/>
  <c r="C130" i="23"/>
  <c r="E130" i="23" s="1"/>
  <c r="I130" i="23" s="1"/>
  <c r="C94" i="23"/>
  <c r="G94" i="23" s="1"/>
  <c r="E59" i="23"/>
  <c r="C120" i="23"/>
  <c r="E120" i="23" s="1"/>
  <c r="I120" i="23" s="1"/>
  <c r="C84" i="23"/>
  <c r="G84" i="23" s="1"/>
  <c r="E49" i="23"/>
  <c r="U68" i="23"/>
  <c r="U101" i="23"/>
  <c r="X101" i="23" s="1"/>
  <c r="S103" i="23"/>
  <c r="V81" i="10"/>
  <c r="V54" i="10"/>
  <c r="V61" i="10"/>
  <c r="V66" i="10"/>
  <c r="V56" i="10"/>
  <c r="V72" i="10"/>
  <c r="V51" i="10"/>
  <c r="V64" i="10"/>
  <c r="V59" i="10"/>
  <c r="V55" i="10"/>
  <c r="V74" i="10"/>
  <c r="V58" i="10"/>
  <c r="V53" i="10"/>
  <c r="V60" i="10"/>
  <c r="V70" i="10"/>
  <c r="V57" i="10"/>
  <c r="V52" i="10"/>
  <c r="V63" i="10"/>
  <c r="V62" i="10"/>
  <c r="V71" i="10"/>
  <c r="V48" i="10"/>
  <c r="V49" i="10"/>
  <c r="V68" i="10"/>
  <c r="V50" i="10"/>
  <c r="V65" i="10"/>
  <c r="V69" i="10"/>
  <c r="V67" i="10"/>
  <c r="V79" i="10"/>
  <c r="V76" i="10"/>
  <c r="V77" i="10"/>
  <c r="V80" i="10"/>
  <c r="X35" i="9"/>
  <c r="X36" i="9"/>
  <c r="W35" i="9"/>
  <c r="W36" i="9"/>
  <c r="F132" i="23" l="1"/>
  <c r="H132" i="23" s="1"/>
  <c r="D112" i="4"/>
  <c r="E112" i="4" s="1"/>
  <c r="E116" i="4"/>
  <c r="H82" i="10"/>
  <c r="H58" i="23"/>
  <c r="H110" i="23"/>
  <c r="E90" i="4"/>
  <c r="D25" i="20"/>
  <c r="Q57" i="20"/>
  <c r="N50" i="22" s="1"/>
  <c r="P52" i="20"/>
  <c r="M45" i="22" s="1"/>
  <c r="P51" i="20"/>
  <c r="M44" i="22" s="1"/>
  <c r="P49" i="20"/>
  <c r="M42" i="22" s="1"/>
  <c r="R52" i="20"/>
  <c r="O45" i="22" s="1"/>
  <c r="Q56" i="20"/>
  <c r="N49" i="22" s="1"/>
  <c r="Q53" i="20"/>
  <c r="N46" i="22" s="1"/>
  <c r="Q51" i="20"/>
  <c r="N44" i="22" s="1"/>
  <c r="Q49" i="20"/>
  <c r="N42" i="22" s="1"/>
  <c r="P53" i="20"/>
  <c r="M46" i="22" s="1"/>
  <c r="P50" i="20"/>
  <c r="M43" i="22" s="1"/>
  <c r="R58" i="20"/>
  <c r="O51" i="22" s="1"/>
  <c r="R54" i="20"/>
  <c r="O47" i="22" s="1"/>
  <c r="R53" i="20"/>
  <c r="O46" i="22" s="1"/>
  <c r="R51" i="20"/>
  <c r="O44" i="22" s="1"/>
  <c r="R49" i="20"/>
  <c r="O42" i="22" s="1"/>
  <c r="Q54" i="20"/>
  <c r="N47" i="22" s="1"/>
  <c r="R57" i="20"/>
  <c r="O50" i="22" s="1"/>
  <c r="Q58" i="20"/>
  <c r="N51" i="22" s="1"/>
  <c r="P58" i="20"/>
  <c r="M51" i="22" s="1"/>
  <c r="P56" i="20"/>
  <c r="M49" i="22" s="1"/>
  <c r="Q52" i="20"/>
  <c r="N45" i="22" s="1"/>
  <c r="P54" i="20"/>
  <c r="M47" i="22" s="1"/>
  <c r="R56" i="20"/>
  <c r="O49" i="22" s="1"/>
  <c r="R50" i="20"/>
  <c r="O43" i="22" s="1"/>
  <c r="P57" i="20"/>
  <c r="M50" i="22" s="1"/>
  <c r="Q50" i="20"/>
  <c r="N43" i="22" s="1"/>
  <c r="K58" i="20"/>
  <c r="I51" i="22" s="1"/>
  <c r="D24" i="20"/>
  <c r="J57" i="20"/>
  <c r="H50" i="22" s="1"/>
  <c r="L53" i="20"/>
  <c r="J46" i="22" s="1"/>
  <c r="L49" i="20"/>
  <c r="J42" i="22" s="1"/>
  <c r="J53" i="20"/>
  <c r="H46" i="22" s="1"/>
  <c r="J49" i="20"/>
  <c r="H42" i="22" s="1"/>
  <c r="J56" i="20"/>
  <c r="H49" i="22" s="1"/>
  <c r="L54" i="20"/>
  <c r="J47" i="22" s="1"/>
  <c r="K53" i="20"/>
  <c r="I46" i="22" s="1"/>
  <c r="L52" i="20"/>
  <c r="J45" i="22" s="1"/>
  <c r="K50" i="20"/>
  <c r="I43" i="22" s="1"/>
  <c r="L50" i="20"/>
  <c r="J43" i="22" s="1"/>
  <c r="J52" i="20"/>
  <c r="H45" i="22" s="1"/>
  <c r="J50" i="20"/>
  <c r="H43" i="22" s="1"/>
  <c r="L58" i="20"/>
  <c r="J51" i="22" s="1"/>
  <c r="K57" i="20"/>
  <c r="I50" i="22" s="1"/>
  <c r="K56" i="20"/>
  <c r="I49" i="22" s="1"/>
  <c r="K54" i="20"/>
  <c r="I47" i="22" s="1"/>
  <c r="K49" i="20"/>
  <c r="I42" i="22" s="1"/>
  <c r="J51" i="20"/>
  <c r="H44" i="22" s="1"/>
  <c r="L56" i="20"/>
  <c r="J49" i="22" s="1"/>
  <c r="K52" i="20"/>
  <c r="I45" i="22" s="1"/>
  <c r="K51" i="20"/>
  <c r="I44" i="22" s="1"/>
  <c r="L51" i="20"/>
  <c r="J44" i="22" s="1"/>
  <c r="J54" i="20"/>
  <c r="H47" i="22" s="1"/>
  <c r="L57" i="20"/>
  <c r="J50" i="22" s="1"/>
  <c r="J58" i="20"/>
  <c r="H51" i="22" s="1"/>
  <c r="H45" i="23"/>
  <c r="E80" i="23"/>
  <c r="H80" i="23" s="1"/>
  <c r="C61" i="23"/>
  <c r="C29" i="10"/>
  <c r="H57" i="23"/>
  <c r="E92" i="23"/>
  <c r="H92" i="23" s="1"/>
  <c r="H46" i="23"/>
  <c r="E81" i="23"/>
  <c r="H81" i="23" s="1"/>
  <c r="H59" i="23"/>
  <c r="E94" i="23"/>
  <c r="H94" i="23" s="1"/>
  <c r="H47" i="23"/>
  <c r="E82" i="23"/>
  <c r="H82" i="23" s="1"/>
  <c r="H60" i="23"/>
  <c r="E95" i="23"/>
  <c r="H95" i="23" s="1"/>
  <c r="E75" i="23"/>
  <c r="H75" i="23" s="1"/>
  <c r="C118" i="4"/>
  <c r="H62" i="23"/>
  <c r="E97" i="23"/>
  <c r="H97" i="23" s="1"/>
  <c r="D23" i="20"/>
  <c r="E57" i="20"/>
  <c r="D50" i="22" s="1"/>
  <c r="E52" i="20"/>
  <c r="D45" i="22" s="1"/>
  <c r="F58" i="20"/>
  <c r="E51" i="22" s="1"/>
  <c r="E50" i="20"/>
  <c r="D43" i="22" s="1"/>
  <c r="F56" i="20"/>
  <c r="E49" i="22" s="1"/>
  <c r="E58" i="20"/>
  <c r="D51" i="22" s="1"/>
  <c r="D53" i="20"/>
  <c r="C46" i="22" s="1"/>
  <c r="D52" i="20"/>
  <c r="C45" i="22" s="1"/>
  <c r="D58" i="20"/>
  <c r="C51" i="22" s="1"/>
  <c r="D57" i="20"/>
  <c r="C50" i="22" s="1"/>
  <c r="D56" i="20"/>
  <c r="C49" i="22" s="1"/>
  <c r="F54" i="20"/>
  <c r="E47" i="22" s="1"/>
  <c r="F52" i="20"/>
  <c r="E45" i="22" s="1"/>
  <c r="F50" i="20"/>
  <c r="E43" i="22" s="1"/>
  <c r="E54" i="20"/>
  <c r="D47" i="22" s="1"/>
  <c r="E51" i="20"/>
  <c r="D44" i="22" s="1"/>
  <c r="F57" i="20"/>
  <c r="E50" i="22" s="1"/>
  <c r="E49" i="20"/>
  <c r="D42" i="22" s="1"/>
  <c r="E56" i="20"/>
  <c r="D49" i="22" s="1"/>
  <c r="D51" i="20"/>
  <c r="C44" i="22" s="1"/>
  <c r="F53" i="20"/>
  <c r="E46" i="22" s="1"/>
  <c r="D50" i="20"/>
  <c r="C43" i="22" s="1"/>
  <c r="F51" i="20"/>
  <c r="E44" i="22" s="1"/>
  <c r="E53" i="20"/>
  <c r="D46" i="22" s="1"/>
  <c r="D54" i="20"/>
  <c r="C47" i="22" s="1"/>
  <c r="C42" i="22"/>
  <c r="F49" i="20"/>
  <c r="E42" i="22" s="1"/>
  <c r="H52" i="23"/>
  <c r="E87" i="23"/>
  <c r="H87" i="23" s="1"/>
  <c r="H49" i="23"/>
  <c r="E84" i="23"/>
  <c r="H84" i="23" s="1"/>
  <c r="H56" i="23"/>
  <c r="E91" i="23"/>
  <c r="H91" i="23" s="1"/>
  <c r="D27" i="16"/>
  <c r="X103" i="23"/>
  <c r="U103" i="23"/>
  <c r="V82" i="10"/>
  <c r="L81" i="10"/>
  <c r="M77" i="10"/>
  <c r="M81" i="10" s="1"/>
  <c r="D30" i="10" s="1"/>
  <c r="I22" i="22" l="1"/>
  <c r="I23" i="22"/>
  <c r="J23" i="22" s="1"/>
  <c r="I21" i="22"/>
  <c r="D23" i="22"/>
  <c r="D22" i="22"/>
  <c r="E20" i="16" s="1"/>
  <c r="D21" i="22"/>
  <c r="E19" i="16" s="1"/>
  <c r="D118" i="4"/>
  <c r="F139" i="23"/>
  <c r="H139" i="23"/>
  <c r="E118" i="4"/>
  <c r="C120" i="4" s="1"/>
  <c r="C50" i="4" s="1"/>
  <c r="C51" i="4" s="1"/>
  <c r="E61" i="23"/>
  <c r="C132" i="23"/>
  <c r="E132" i="23" s="1"/>
  <c r="I132" i="23" s="1"/>
  <c r="C96" i="23"/>
  <c r="E17" i="16"/>
  <c r="E24" i="20"/>
  <c r="E16" i="16"/>
  <c r="D26" i="20"/>
  <c r="E23" i="20"/>
  <c r="E18" i="16"/>
  <c r="F18" i="16" s="1"/>
  <c r="E25" i="20"/>
  <c r="D31" i="23"/>
  <c r="E27" i="16" s="1"/>
  <c r="K67" i="23"/>
  <c r="C38" i="23"/>
  <c r="E38" i="23" s="1"/>
  <c r="H38" i="23" s="1"/>
  <c r="K66" i="23"/>
  <c r="K101" i="23" s="1"/>
  <c r="M101" i="23" s="1"/>
  <c r="P101" i="23" s="1"/>
  <c r="E55" i="23"/>
  <c r="E52" i="10"/>
  <c r="C42" i="23" s="1"/>
  <c r="E53" i="10"/>
  <c r="C43" i="23" s="1"/>
  <c r="E61" i="10"/>
  <c r="E63" i="10"/>
  <c r="E54" i="10"/>
  <c r="C44" i="23" s="1"/>
  <c r="E58" i="10"/>
  <c r="E60" i="10"/>
  <c r="C50" i="23" s="1"/>
  <c r="C64" i="23"/>
  <c r="E77" i="10"/>
  <c r="E81" i="10" s="1"/>
  <c r="E51" i="10"/>
  <c r="E23" i="22" l="1"/>
  <c r="E21" i="16"/>
  <c r="F21" i="16" s="1"/>
  <c r="I24" i="22"/>
  <c r="D24" i="22"/>
  <c r="E31" i="23"/>
  <c r="F27" i="16" s="1"/>
  <c r="E26" i="20"/>
  <c r="H61" i="23"/>
  <c r="E96" i="23"/>
  <c r="H96" i="23" s="1"/>
  <c r="C73" i="23"/>
  <c r="G73" i="23" s="1"/>
  <c r="C115" i="23"/>
  <c r="E115" i="23" s="1"/>
  <c r="I115" i="23" s="1"/>
  <c r="C79" i="23"/>
  <c r="G79" i="23" s="1"/>
  <c r="C114" i="23"/>
  <c r="E114" i="23" s="1"/>
  <c r="I114" i="23" s="1"/>
  <c r="C78" i="23"/>
  <c r="G78" i="23" s="1"/>
  <c r="C113" i="23"/>
  <c r="E113" i="23" s="1"/>
  <c r="I113" i="23" s="1"/>
  <c r="C77" i="23"/>
  <c r="G77" i="23" s="1"/>
  <c r="H55" i="23"/>
  <c r="E90" i="23"/>
  <c r="H90" i="23" s="1"/>
  <c r="C121" i="23"/>
  <c r="E121" i="23" s="1"/>
  <c r="I121" i="23" s="1"/>
  <c r="C85" i="23"/>
  <c r="G85" i="23" s="1"/>
  <c r="C135" i="23"/>
  <c r="E135" i="23" s="1"/>
  <c r="I135" i="23" s="1"/>
  <c r="C99" i="23"/>
  <c r="M67" i="23"/>
  <c r="P67" i="23" s="1"/>
  <c r="K102" i="23"/>
  <c r="M102" i="23" s="1"/>
  <c r="P102" i="23" s="1"/>
  <c r="C51" i="23"/>
  <c r="C109" i="23"/>
  <c r="E109" i="23" s="1"/>
  <c r="I109" i="23" s="1"/>
  <c r="C48" i="23"/>
  <c r="C41" i="23"/>
  <c r="C53" i="23"/>
  <c r="C88" i="23" s="1"/>
  <c r="G88" i="23" s="1"/>
  <c r="C67" i="23"/>
  <c r="C102" i="23" s="1"/>
  <c r="E50" i="23"/>
  <c r="E64" i="23"/>
  <c r="E44" i="23"/>
  <c r="E43" i="23"/>
  <c r="M66" i="23"/>
  <c r="P66" i="23" s="1"/>
  <c r="E54" i="23"/>
  <c r="E42" i="23"/>
  <c r="E73" i="23" l="1"/>
  <c r="H73" i="23" s="1"/>
  <c r="H50" i="23"/>
  <c r="E85" i="23"/>
  <c r="H85" i="23" s="1"/>
  <c r="C112" i="23"/>
  <c r="E112" i="23" s="1"/>
  <c r="I112" i="23" s="1"/>
  <c r="C76" i="23"/>
  <c r="G76" i="23" s="1"/>
  <c r="C119" i="23"/>
  <c r="E119" i="23" s="1"/>
  <c r="I119" i="23" s="1"/>
  <c r="C83" i="23"/>
  <c r="G83" i="23" s="1"/>
  <c r="C122" i="23"/>
  <c r="E122" i="23" s="1"/>
  <c r="I122" i="23" s="1"/>
  <c r="C86" i="23"/>
  <c r="G86" i="23" s="1"/>
  <c r="H42" i="23"/>
  <c r="E77" i="23"/>
  <c r="H77" i="23" s="1"/>
  <c r="H54" i="23"/>
  <c r="E89" i="23"/>
  <c r="H89" i="23" s="1"/>
  <c r="H43" i="23"/>
  <c r="E78" i="23"/>
  <c r="H78" i="23" s="1"/>
  <c r="H44" i="23"/>
  <c r="E79" i="23"/>
  <c r="H79" i="23" s="1"/>
  <c r="H64" i="23"/>
  <c r="E99" i="23"/>
  <c r="H99" i="23" s="1"/>
  <c r="E51" i="23"/>
  <c r="E41" i="23"/>
  <c r="H41" i="23" s="1"/>
  <c r="E67" i="23"/>
  <c r="C138" i="23"/>
  <c r="E138" i="23" s="1"/>
  <c r="I138" i="23" s="1"/>
  <c r="E48" i="23"/>
  <c r="E53" i="23"/>
  <c r="C124" i="23"/>
  <c r="E124" i="23" s="1"/>
  <c r="I124" i="23" s="1"/>
  <c r="E49" i="10"/>
  <c r="E79" i="10" s="1"/>
  <c r="E82" i="10" s="1"/>
  <c r="F73" i="10" s="1"/>
  <c r="H53" i="23" l="1"/>
  <c r="E88" i="23"/>
  <c r="H88" i="23" s="1"/>
  <c r="H48" i="23"/>
  <c r="E83" i="23"/>
  <c r="H83" i="23" s="1"/>
  <c r="H67" i="23"/>
  <c r="E102" i="23"/>
  <c r="H102" i="23" s="1"/>
  <c r="E76" i="23"/>
  <c r="H76" i="23" s="1"/>
  <c r="H51" i="23"/>
  <c r="E86" i="23"/>
  <c r="H86" i="23" s="1"/>
  <c r="C39" i="23"/>
  <c r="H98" i="9"/>
  <c r="H217" i="9"/>
  <c r="H149" i="9"/>
  <c r="H81" i="9"/>
  <c r="H65" i="9"/>
  <c r="D74" i="9" s="1"/>
  <c r="H116" i="9"/>
  <c r="D125" i="9" s="1"/>
  <c r="H167" i="9"/>
  <c r="D176" i="9" s="1"/>
  <c r="H48" i="9"/>
  <c r="D57" i="9" s="1"/>
  <c r="H31" i="9"/>
  <c r="H82" i="9"/>
  <c r="D91" i="9" s="1"/>
  <c r="H184" i="9"/>
  <c r="D193" i="9" s="1"/>
  <c r="H218" i="9"/>
  <c r="D227" i="9" s="1"/>
  <c r="H99" i="9"/>
  <c r="D108" i="9" s="1"/>
  <c r="H150" i="9"/>
  <c r="D159" i="9" s="1"/>
  <c r="H133" i="9"/>
  <c r="D142" i="9" s="1"/>
  <c r="H201" i="9"/>
  <c r="D210" i="9" s="1"/>
  <c r="A1" i="5" a="1"/>
  <c r="A1" i="5" s="1"/>
  <c r="A1" i="9" a="1"/>
  <c r="A1" i="9" s="1"/>
  <c r="A1" i="4" a="1"/>
  <c r="A1" i="4" s="1"/>
  <c r="D40" i="9" l="1"/>
  <c r="K40" i="9" s="1"/>
  <c r="C28" i="10"/>
  <c r="C110" i="23"/>
  <c r="E110" i="23" s="1"/>
  <c r="I110" i="23" s="1"/>
  <c r="C74" i="23"/>
  <c r="D161" i="9"/>
  <c r="R42" i="9" s="1"/>
  <c r="D110" i="9"/>
  <c r="O42" i="9" s="1"/>
  <c r="D229" i="9"/>
  <c r="V42" i="9" s="1"/>
  <c r="D93" i="9"/>
  <c r="N42" i="9" s="1"/>
  <c r="D178" i="9"/>
  <c r="S42" i="9" s="1"/>
  <c r="D212" i="9"/>
  <c r="U42" i="9" s="1"/>
  <c r="D59" i="9"/>
  <c r="L42" i="9" s="1"/>
  <c r="D76" i="9"/>
  <c r="M42" i="9" s="1"/>
  <c r="D144" i="9"/>
  <c r="Q42" i="9" s="1"/>
  <c r="D195" i="9"/>
  <c r="T42" i="9" s="1"/>
  <c r="D127" i="9"/>
  <c r="P42" i="9" s="1"/>
  <c r="D42" i="9"/>
  <c r="K42" i="9" s="1"/>
  <c r="H33" i="9"/>
  <c r="D34" i="9" s="1"/>
  <c r="H183" i="9"/>
  <c r="D192" i="9" s="1"/>
  <c r="T39" i="9" s="1"/>
  <c r="H132" i="9"/>
  <c r="D141" i="9" s="1"/>
  <c r="Q39" i="9" s="1"/>
  <c r="H50" i="9"/>
  <c r="D51" i="9" s="1"/>
  <c r="H200" i="9"/>
  <c r="H203" i="9" s="1"/>
  <c r="D204" i="9" s="1"/>
  <c r="H166" i="9"/>
  <c r="S29" i="9" s="1"/>
  <c r="H115" i="9"/>
  <c r="P29" i="9" s="1"/>
  <c r="H64" i="9"/>
  <c r="D73" i="9" s="1"/>
  <c r="M39" i="9" s="1"/>
  <c r="E39" i="23"/>
  <c r="U30" i="9"/>
  <c r="U40" i="9"/>
  <c r="Q30" i="9"/>
  <c r="Q40" i="9"/>
  <c r="R40" i="9"/>
  <c r="R30" i="9"/>
  <c r="O40" i="9"/>
  <c r="O30" i="9"/>
  <c r="L40" i="9"/>
  <c r="L30" i="9"/>
  <c r="T30" i="9"/>
  <c r="T40" i="9"/>
  <c r="S30" i="9"/>
  <c r="S40" i="9"/>
  <c r="V40" i="9"/>
  <c r="V30" i="9"/>
  <c r="P40" i="9"/>
  <c r="P30" i="9"/>
  <c r="O29" i="9"/>
  <c r="D107" i="9"/>
  <c r="O39" i="9" s="1"/>
  <c r="H101" i="9"/>
  <c r="D102" i="9" s="1"/>
  <c r="D90" i="9"/>
  <c r="N39" i="9" s="1"/>
  <c r="H84" i="9"/>
  <c r="D85" i="9" s="1"/>
  <c r="N29" i="9"/>
  <c r="R29" i="9"/>
  <c r="D158" i="9"/>
  <c r="R39" i="9" s="1"/>
  <c r="H152" i="9"/>
  <c r="D153" i="9" s="1"/>
  <c r="M30" i="9"/>
  <c r="M40" i="9"/>
  <c r="N30" i="9"/>
  <c r="N40" i="9"/>
  <c r="V29" i="9"/>
  <c r="D226" i="9"/>
  <c r="V39" i="9" s="1"/>
  <c r="H220" i="9"/>
  <c r="K30" i="9"/>
  <c r="G74" i="23" l="1"/>
  <c r="H39" i="23"/>
  <c r="E74" i="23"/>
  <c r="H186" i="9"/>
  <c r="D187" i="9" s="1"/>
  <c r="T33" i="9" s="1"/>
  <c r="T29" i="9"/>
  <c r="H135" i="9"/>
  <c r="D136" i="9" s="1"/>
  <c r="Q33" i="9" s="1"/>
  <c r="Q29" i="9"/>
  <c r="V32" i="9"/>
  <c r="D222" i="9"/>
  <c r="V34" i="9" s="1"/>
  <c r="D221" i="9"/>
  <c r="V33" i="9" s="1"/>
  <c r="U32" i="9"/>
  <c r="D205" i="9"/>
  <c r="U34" i="9" s="1"/>
  <c r="R32" i="9"/>
  <c r="D154" i="9"/>
  <c r="R34" i="9" s="1"/>
  <c r="O32" i="9"/>
  <c r="D103" i="9"/>
  <c r="O34" i="9" s="1"/>
  <c r="N32" i="9"/>
  <c r="D86" i="9"/>
  <c r="N34" i="9" s="1"/>
  <c r="L32" i="9"/>
  <c r="D52" i="9"/>
  <c r="L34" i="9" s="1"/>
  <c r="D35" i="9"/>
  <c r="K34" i="9" s="1"/>
  <c r="K33" i="9"/>
  <c r="H67" i="9"/>
  <c r="D68" i="9" s="1"/>
  <c r="M29" i="9"/>
  <c r="L29" i="9"/>
  <c r="D56" i="9"/>
  <c r="L39" i="9" s="1"/>
  <c r="D209" i="9"/>
  <c r="U39" i="9" s="1"/>
  <c r="U29" i="9"/>
  <c r="K29" i="9"/>
  <c r="K39" i="9"/>
  <c r="H118" i="9"/>
  <c r="D124" i="9"/>
  <c r="P39" i="9" s="1"/>
  <c r="D175" i="9"/>
  <c r="S39" i="9" s="1"/>
  <c r="H169" i="9"/>
  <c r="D170" i="9" s="1"/>
  <c r="N33" i="9"/>
  <c r="G68" i="23"/>
  <c r="X42" i="9"/>
  <c r="O33" i="9"/>
  <c r="U33" i="9"/>
  <c r="W42" i="9"/>
  <c r="R33" i="9"/>
  <c r="L33" i="9"/>
  <c r="K32" i="9"/>
  <c r="C54" i="4"/>
  <c r="H74" i="23" l="1"/>
  <c r="D188" i="9"/>
  <c r="T34" i="9" s="1"/>
  <c r="T32" i="9"/>
  <c r="G103" i="23"/>
  <c r="D137" i="9"/>
  <c r="Q34" i="9" s="1"/>
  <c r="Q32" i="9"/>
  <c r="D119" i="9"/>
  <c r="P33" i="9" s="1"/>
  <c r="S32" i="9"/>
  <c r="D171" i="9"/>
  <c r="S34" i="9" s="1"/>
  <c r="P32" i="9"/>
  <c r="D120" i="9"/>
  <c r="P34" i="9" s="1"/>
  <c r="M32" i="9"/>
  <c r="D69" i="9"/>
  <c r="M34" i="9" s="1"/>
  <c r="M33" i="9"/>
  <c r="X29" i="9"/>
  <c r="W29" i="9"/>
  <c r="X39" i="9"/>
  <c r="S33" i="9"/>
  <c r="A1" i="1" a="1"/>
  <c r="A1" i="1" s="1"/>
  <c r="W32" i="9" l="1"/>
  <c r="X34" i="9"/>
  <c r="C55" i="4"/>
  <c r="E23" i="16" s="1"/>
  <c r="W30" i="9"/>
  <c r="X30" i="9"/>
  <c r="X40" i="9" l="1"/>
  <c r="X33" i="9" l="1"/>
  <c r="X32" i="9"/>
  <c r="C66" i="23" l="1"/>
  <c r="C137" i="23" l="1"/>
  <c r="E137" i="23" s="1"/>
  <c r="C101" i="23"/>
  <c r="C103" i="23" s="1"/>
  <c r="C29" i="22"/>
  <c r="C32" i="22"/>
  <c r="C36" i="22"/>
  <c r="C31" i="22"/>
  <c r="D41" i="20"/>
  <c r="C37" i="22" s="1"/>
  <c r="C30" i="22"/>
  <c r="C34" i="22"/>
  <c r="D42" i="20"/>
  <c r="C38" i="22" s="1"/>
  <c r="C33" i="22"/>
  <c r="F42" i="20"/>
  <c r="E38" i="22" s="1"/>
  <c r="F16" i="16"/>
  <c r="F37" i="20"/>
  <c r="E33" i="22" s="1"/>
  <c r="D29" i="22"/>
  <c r="C68" i="23"/>
  <c r="E66" i="23"/>
  <c r="F34" i="20"/>
  <c r="E30" i="22" s="1"/>
  <c r="E36" i="20"/>
  <c r="D32" i="22" s="1"/>
  <c r="E38" i="20"/>
  <c r="D34" i="22" s="1"/>
  <c r="E40" i="20"/>
  <c r="D36" i="22" s="1"/>
  <c r="F40" i="20"/>
  <c r="E36" i="22" s="1"/>
  <c r="F35" i="20"/>
  <c r="E31" i="22" s="1"/>
  <c r="E41" i="20"/>
  <c r="D37" i="22" s="1"/>
  <c r="F38" i="20"/>
  <c r="E34" i="22" s="1"/>
  <c r="E37" i="20"/>
  <c r="D33" i="22" s="1"/>
  <c r="E35" i="20"/>
  <c r="D31" i="22" s="1"/>
  <c r="E42" i="20"/>
  <c r="D38" i="22" s="1"/>
  <c r="F41" i="20"/>
  <c r="E37" i="22" s="1"/>
  <c r="D82" i="10"/>
  <c r="E34" i="20"/>
  <c r="D30" i="22" s="1"/>
  <c r="F33" i="20"/>
  <c r="E29" i="22" s="1"/>
  <c r="F36" i="20"/>
  <c r="E32" i="22" s="1"/>
  <c r="I137" i="23" l="1"/>
  <c r="I139" i="23" s="1"/>
  <c r="D32" i="23" s="1"/>
  <c r="H21" i="22"/>
  <c r="C21" i="22"/>
  <c r="D19" i="16" s="1"/>
  <c r="F19" i="16" s="1"/>
  <c r="C139" i="23"/>
  <c r="H66" i="23"/>
  <c r="H68" i="23" s="1"/>
  <c r="C29" i="23" s="1"/>
  <c r="E101" i="23"/>
  <c r="H101" i="23" s="1"/>
  <c r="C30" i="10"/>
  <c r="F30" i="10" s="1"/>
  <c r="E139" i="23"/>
  <c r="F48" i="10"/>
  <c r="E68" i="23"/>
  <c r="E28" i="16" l="1"/>
  <c r="E32" i="23"/>
  <c r="F28" i="16" s="1"/>
  <c r="J21" i="22"/>
  <c r="E21" i="22"/>
  <c r="F79" i="10"/>
  <c r="C31" i="10"/>
  <c r="F51" i="10"/>
  <c r="F81" i="10"/>
  <c r="D25" i="16"/>
  <c r="H103" i="23"/>
  <c r="D29" i="23" s="1"/>
  <c r="E103" i="23"/>
  <c r="F76" i="10"/>
  <c r="F80" i="10"/>
  <c r="F77" i="10"/>
  <c r="F74" i="10"/>
  <c r="F62" i="10"/>
  <c r="F50" i="10"/>
  <c r="F65" i="10"/>
  <c r="F70" i="10"/>
  <c r="F71" i="10"/>
  <c r="F72" i="10"/>
  <c r="F53" i="10"/>
  <c r="F55" i="10"/>
  <c r="F63" i="10"/>
  <c r="F68" i="10"/>
  <c r="F54" i="10"/>
  <c r="F61" i="10"/>
  <c r="F64" i="10"/>
  <c r="F57" i="10"/>
  <c r="F60" i="10"/>
  <c r="F52" i="10"/>
  <c r="F69" i="10"/>
  <c r="F56" i="10"/>
  <c r="F67" i="10"/>
  <c r="F49" i="10"/>
  <c r="F59" i="10"/>
  <c r="F66" i="10"/>
  <c r="F58" i="10"/>
  <c r="E29" i="23" l="1"/>
  <c r="F25" i="16" s="1"/>
  <c r="E25" i="16"/>
  <c r="F82" i="10"/>
  <c r="K38" i="23" l="1"/>
  <c r="K73" i="23" l="1"/>
  <c r="O38" i="23"/>
  <c r="M38" i="23"/>
  <c r="M70" i="10"/>
  <c r="M56" i="10"/>
  <c r="M69" i="10"/>
  <c r="K59" i="23" s="1"/>
  <c r="K94" i="23" s="1"/>
  <c r="M72" i="10"/>
  <c r="K62" i="23" s="1"/>
  <c r="K97" i="23" s="1"/>
  <c r="M97" i="23" s="1"/>
  <c r="P97" i="23" s="1"/>
  <c r="M64" i="10"/>
  <c r="L80" i="10"/>
  <c r="L82" i="10" s="1"/>
  <c r="M54" i="10"/>
  <c r="M53" i="10"/>
  <c r="K43" i="23" s="1"/>
  <c r="K78" i="23" s="1"/>
  <c r="M66" i="10"/>
  <c r="K56" i="23" s="1"/>
  <c r="K91" i="23" s="1"/>
  <c r="M61" i="10"/>
  <c r="M52" i="10"/>
  <c r="M67" i="10"/>
  <c r="M71" i="10"/>
  <c r="K61" i="23" s="1"/>
  <c r="K96" i="23" s="1"/>
  <c r="M96" i="23" s="1"/>
  <c r="P96" i="23" s="1"/>
  <c r="M74" i="10"/>
  <c r="K64" i="23" s="1"/>
  <c r="K99" i="23" s="1"/>
  <c r="M99" i="23" s="1"/>
  <c r="P99" i="23" s="1"/>
  <c r="M55" i="10"/>
  <c r="M58" i="10"/>
  <c r="K42" i="20"/>
  <c r="I38" i="22" s="1"/>
  <c r="M50" i="10"/>
  <c r="M62" i="10"/>
  <c r="M63" i="10"/>
  <c r="D35" i="5" s="1"/>
  <c r="M65" i="10"/>
  <c r="K55" i="23" s="1"/>
  <c r="K90" i="23" s="1"/>
  <c r="M51" i="10"/>
  <c r="M68" i="10"/>
  <c r="M57" i="10"/>
  <c r="M60" i="10"/>
  <c r="M59" i="10"/>
  <c r="M49" i="10"/>
  <c r="P38" i="23" l="1"/>
  <c r="C62" i="5"/>
  <c r="C35" i="5"/>
  <c r="K60" i="23"/>
  <c r="K95" i="23" s="1"/>
  <c r="M95" i="23" s="1"/>
  <c r="P95" i="23" s="1"/>
  <c r="C41" i="5"/>
  <c r="C42" i="5" s="1"/>
  <c r="C44" i="5" s="1"/>
  <c r="D41" i="5"/>
  <c r="C29" i="5"/>
  <c r="C30" i="5" s="1"/>
  <c r="C32" i="5" s="1"/>
  <c r="D29" i="5"/>
  <c r="D62" i="5" a="1"/>
  <c r="D62" i="5" s="1"/>
  <c r="C36" i="5"/>
  <c r="C38" i="5" s="1"/>
  <c r="C47" i="5"/>
  <c r="C48" i="5" s="1"/>
  <c r="C50" i="5" s="1"/>
  <c r="D47" i="5"/>
  <c r="C53" i="5"/>
  <c r="C54" i="5" s="1"/>
  <c r="C56" i="5" s="1"/>
  <c r="D53" i="5"/>
  <c r="O90" i="23"/>
  <c r="M90" i="23"/>
  <c r="M94" i="23"/>
  <c r="O94" i="23"/>
  <c r="O91" i="23"/>
  <c r="M91" i="23"/>
  <c r="O78" i="23"/>
  <c r="M78" i="23"/>
  <c r="O73" i="23"/>
  <c r="M73" i="23"/>
  <c r="K54" i="23"/>
  <c r="K50" i="23"/>
  <c r="M62" i="23"/>
  <c r="P62" i="23" s="1"/>
  <c r="K58" i="23"/>
  <c r="K93" i="23" s="1"/>
  <c r="O55" i="23"/>
  <c r="M55" i="23"/>
  <c r="P55" i="23" s="1"/>
  <c r="M56" i="23"/>
  <c r="O56" i="23"/>
  <c r="K57" i="23"/>
  <c r="K92" i="23" s="1"/>
  <c r="K52" i="23"/>
  <c r="L34" i="20"/>
  <c r="J30" i="22" s="1"/>
  <c r="L36" i="20"/>
  <c r="J32" i="22" s="1"/>
  <c r="K37" i="20"/>
  <c r="I33" i="22" s="1"/>
  <c r="O43" i="23"/>
  <c r="M43" i="23"/>
  <c r="F17" i="16"/>
  <c r="M64" i="23"/>
  <c r="P64" i="23" s="1"/>
  <c r="K39" i="23"/>
  <c r="K40" i="23"/>
  <c r="J41" i="20"/>
  <c r="H37" i="22" s="1"/>
  <c r="K46" i="23"/>
  <c r="K51" i="23"/>
  <c r="K86" i="23" s="1"/>
  <c r="K47" i="23"/>
  <c r="K35" i="20"/>
  <c r="I31" i="22" s="1"/>
  <c r="M59" i="23"/>
  <c r="J40" i="20"/>
  <c r="H36" i="22" s="1"/>
  <c r="K41" i="23"/>
  <c r="K76" i="23" s="1"/>
  <c r="K42" i="23"/>
  <c r="K44" i="23"/>
  <c r="L40" i="20"/>
  <c r="J36" i="22" s="1"/>
  <c r="K45" i="23"/>
  <c r="K80" i="23" s="1"/>
  <c r="M80" i="10"/>
  <c r="D29" i="10" s="1"/>
  <c r="F29" i="10" s="1"/>
  <c r="L35" i="20"/>
  <c r="J31" i="22" s="1"/>
  <c r="J38" i="20"/>
  <c r="H34" i="22" s="1"/>
  <c r="K40" i="20"/>
  <c r="I36" i="22" s="1"/>
  <c r="K48" i="23"/>
  <c r="K83" i="23" s="1"/>
  <c r="K38" i="20"/>
  <c r="I34" i="22" s="1"/>
  <c r="M79" i="10"/>
  <c r="D28" i="10" s="1"/>
  <c r="K53" i="23"/>
  <c r="K88" i="23" s="1"/>
  <c r="H30" i="22"/>
  <c r="K33" i="20"/>
  <c r="I29" i="22" s="1"/>
  <c r="H32" i="22"/>
  <c r="K49" i="23"/>
  <c r="K84" i="23" s="1"/>
  <c r="L33" i="20"/>
  <c r="J29" i="22" s="1"/>
  <c r="M61" i="23"/>
  <c r="P61" i="23" s="1"/>
  <c r="J42" i="20"/>
  <c r="H38" i="22" s="1"/>
  <c r="K34" i="20"/>
  <c r="I30" i="22" s="1"/>
  <c r="K41" i="20"/>
  <c r="I37" i="22" s="1"/>
  <c r="H31" i="22"/>
  <c r="L42" i="20"/>
  <c r="J38" i="22" s="1"/>
  <c r="L38" i="20"/>
  <c r="J34" i="22" s="1"/>
  <c r="L41" i="20"/>
  <c r="J37" i="22" s="1"/>
  <c r="K36" i="20"/>
  <c r="I32" i="22" s="1"/>
  <c r="L37" i="20"/>
  <c r="J33" i="22" s="1"/>
  <c r="H29" i="22"/>
  <c r="J37" i="20"/>
  <c r="H33" i="22" s="1"/>
  <c r="P91" i="23" l="1"/>
  <c r="P78" i="23"/>
  <c r="P43" i="23"/>
  <c r="P73" i="23"/>
  <c r="P90" i="23"/>
  <c r="P94" i="23"/>
  <c r="P56" i="23"/>
  <c r="K75" i="23"/>
  <c r="O75" i="23" s="1"/>
  <c r="M40" i="23"/>
  <c r="H22" i="22"/>
  <c r="C22" i="22"/>
  <c r="D20" i="16" s="1"/>
  <c r="F20" i="16" s="1"/>
  <c r="D31" i="10"/>
  <c r="F28" i="10"/>
  <c r="D69" i="5"/>
  <c r="M80" i="23"/>
  <c r="O80" i="23"/>
  <c r="O88" i="23"/>
  <c r="M88" i="23"/>
  <c r="P88" i="23" s="1"/>
  <c r="M47" i="23"/>
  <c r="K82" i="23"/>
  <c r="M92" i="23"/>
  <c r="O92" i="23"/>
  <c r="O76" i="23"/>
  <c r="M76" i="23"/>
  <c r="M84" i="23"/>
  <c r="O84" i="23"/>
  <c r="M86" i="23"/>
  <c r="O86" i="23"/>
  <c r="M46" i="23"/>
  <c r="K81" i="23"/>
  <c r="O52" i="23"/>
  <c r="K87" i="23"/>
  <c r="M44" i="23"/>
  <c r="K79" i="23"/>
  <c r="M39" i="23"/>
  <c r="P39" i="23" s="1"/>
  <c r="K74" i="23"/>
  <c r="M54" i="23"/>
  <c r="K89" i="23"/>
  <c r="M50" i="23"/>
  <c r="K85" i="23"/>
  <c r="M42" i="23"/>
  <c r="K77" i="23"/>
  <c r="M83" i="23"/>
  <c r="O83" i="23"/>
  <c r="O93" i="23"/>
  <c r="M93" i="23"/>
  <c r="P93" i="23" s="1"/>
  <c r="O50" i="23"/>
  <c r="O54" i="23"/>
  <c r="C58" i="5"/>
  <c r="M57" i="23"/>
  <c r="O57" i="23"/>
  <c r="M52" i="23"/>
  <c r="O46" i="23"/>
  <c r="O39" i="23"/>
  <c r="O42" i="23"/>
  <c r="O47" i="23"/>
  <c r="K68" i="23"/>
  <c r="O40" i="23"/>
  <c r="O51" i="23"/>
  <c r="M51" i="23"/>
  <c r="O59" i="23"/>
  <c r="P59" i="23" s="1"/>
  <c r="O44" i="23"/>
  <c r="M41" i="23"/>
  <c r="O41" i="23"/>
  <c r="M82" i="10"/>
  <c r="C63" i="5"/>
  <c r="C65" i="5" s="1"/>
  <c r="O45" i="23"/>
  <c r="M45" i="23"/>
  <c r="M60" i="23"/>
  <c r="P60" i="23" s="1"/>
  <c r="O49" i="23"/>
  <c r="M49" i="23"/>
  <c r="O53" i="23"/>
  <c r="M53" i="23"/>
  <c r="M48" i="23"/>
  <c r="O48" i="23"/>
  <c r="O58" i="23"/>
  <c r="M58" i="23"/>
  <c r="P45" i="23" l="1"/>
  <c r="P76" i="23"/>
  <c r="P49" i="23"/>
  <c r="N79" i="10"/>
  <c r="N73" i="10"/>
  <c r="P51" i="23"/>
  <c r="P47" i="23"/>
  <c r="P42" i="23"/>
  <c r="M75" i="23"/>
  <c r="P75" i="23" s="1"/>
  <c r="P53" i="23"/>
  <c r="P86" i="23"/>
  <c r="P58" i="23"/>
  <c r="P84" i="23"/>
  <c r="P92" i="23"/>
  <c r="P50" i="23"/>
  <c r="P41" i="23"/>
  <c r="P40" i="23"/>
  <c r="P54" i="23"/>
  <c r="P83" i="23"/>
  <c r="P80" i="23"/>
  <c r="P44" i="23"/>
  <c r="P52" i="23"/>
  <c r="P46" i="23"/>
  <c r="P48" i="23"/>
  <c r="P57" i="23"/>
  <c r="J22" i="22"/>
  <c r="H24" i="22"/>
  <c r="J24" i="22" s="1"/>
  <c r="E22" i="22"/>
  <c r="C24" i="22"/>
  <c r="E24" i="22" s="1"/>
  <c r="M82" i="23"/>
  <c r="O82" i="23"/>
  <c r="O79" i="23"/>
  <c r="M79" i="23"/>
  <c r="O81" i="23"/>
  <c r="M81" i="23"/>
  <c r="M77" i="23"/>
  <c r="O77" i="23"/>
  <c r="M87" i="23"/>
  <c r="O87" i="23"/>
  <c r="M89" i="23"/>
  <c r="O89" i="23"/>
  <c r="M85" i="23"/>
  <c r="O85" i="23"/>
  <c r="M74" i="23"/>
  <c r="O74" i="23"/>
  <c r="K103" i="23"/>
  <c r="C22" i="5"/>
  <c r="C24" i="5" s="1"/>
  <c r="D24" i="16" s="1"/>
  <c r="D70" i="5"/>
  <c r="E69" i="5"/>
  <c r="M68" i="23"/>
  <c r="N76" i="10"/>
  <c r="N77" i="10"/>
  <c r="N48" i="10"/>
  <c r="N52" i="10"/>
  <c r="N59" i="10"/>
  <c r="N68" i="10"/>
  <c r="N74" i="10"/>
  <c r="N57" i="10"/>
  <c r="N55" i="10"/>
  <c r="N51" i="10"/>
  <c r="N67" i="10"/>
  <c r="N61" i="10"/>
  <c r="N71" i="10"/>
  <c r="N53" i="10"/>
  <c r="N50" i="10"/>
  <c r="N58" i="10"/>
  <c r="N70" i="10"/>
  <c r="N54" i="10"/>
  <c r="N69" i="10"/>
  <c r="N63" i="10"/>
  <c r="E35" i="5" s="1"/>
  <c r="N56" i="10"/>
  <c r="N64" i="10"/>
  <c r="N72" i="10"/>
  <c r="N49" i="10"/>
  <c r="N62" i="10"/>
  <c r="D30" i="5" s="1"/>
  <c r="N65" i="10"/>
  <c r="N66" i="10"/>
  <c r="N60" i="10"/>
  <c r="N81" i="10"/>
  <c r="N80" i="10"/>
  <c r="O68" i="23"/>
  <c r="E62" i="5"/>
  <c r="D63" i="5"/>
  <c r="P79" i="23" l="1"/>
  <c r="P81" i="23"/>
  <c r="P89" i="23"/>
  <c r="P82" i="23"/>
  <c r="P74" i="23"/>
  <c r="P85" i="23"/>
  <c r="P87" i="23"/>
  <c r="P77" i="23"/>
  <c r="M103" i="23"/>
  <c r="O103" i="23"/>
  <c r="P68" i="23"/>
  <c r="C30" i="23" s="1"/>
  <c r="D72" i="5"/>
  <c r="E70" i="5"/>
  <c r="D48" i="5"/>
  <c r="E29" i="5"/>
  <c r="D36" i="5"/>
  <c r="D38" i="5" s="1"/>
  <c r="E38" i="5" s="1"/>
  <c r="E53" i="5"/>
  <c r="N82" i="10"/>
  <c r="E47" i="5"/>
  <c r="E63" i="5"/>
  <c r="D65" i="5"/>
  <c r="E30" i="5"/>
  <c r="D32" i="5"/>
  <c r="P43" i="9"/>
  <c r="K43" i="9"/>
  <c r="R43" i="9"/>
  <c r="O43" i="9"/>
  <c r="S43" i="9"/>
  <c r="Q43" i="9"/>
  <c r="L43" i="9"/>
  <c r="N43" i="9"/>
  <c r="U43" i="9"/>
  <c r="M43" i="9"/>
  <c r="V43" i="9"/>
  <c r="T43" i="9"/>
  <c r="D26" i="16" l="1"/>
  <c r="C33" i="23"/>
  <c r="P103" i="23"/>
  <c r="E72" i="5"/>
  <c r="D23" i="5"/>
  <c r="E23" i="5" s="1"/>
  <c r="E36" i="5"/>
  <c r="D54" i="5"/>
  <c r="D42" i="5"/>
  <c r="E41" i="5"/>
  <c r="E65" i="5"/>
  <c r="E32" i="5"/>
  <c r="D50" i="5"/>
  <c r="E50" i="5" s="1"/>
  <c r="E48" i="5"/>
  <c r="W43" i="9"/>
  <c r="X43" i="9"/>
  <c r="D30" i="23" l="1"/>
  <c r="E26" i="16" s="1"/>
  <c r="D29" i="16"/>
  <c r="D56" i="5"/>
  <c r="E54" i="5"/>
  <c r="D44" i="5"/>
  <c r="E44" i="5" s="1"/>
  <c r="E42" i="5"/>
  <c r="E56" i="5" l="1"/>
  <c r="D58" i="5"/>
  <c r="D33" i="23"/>
  <c r="E33" i="23" s="1"/>
  <c r="F29" i="16" s="1"/>
  <c r="E30" i="23"/>
  <c r="F26" i="16" s="1"/>
  <c r="D22" i="5" l="1"/>
  <c r="D24" i="5" s="1"/>
  <c r="E58" i="5"/>
  <c r="E29" i="16"/>
  <c r="E24" i="16" l="1"/>
  <c r="F24" i="16" s="1"/>
  <c r="E22" i="5"/>
  <c r="E24" i="5" l="1"/>
  <c r="F31" i="10"/>
  <c r="C34" i="10" l="1"/>
  <c r="E13" i="16" s="1"/>
  <c r="D15" i="16"/>
  <c r="C32" i="10"/>
  <c r="D13" i="16" s="1"/>
  <c r="C33" i="10"/>
  <c r="D14" i="16" s="1"/>
  <c r="E15" i="16"/>
  <c r="C35" i="10"/>
  <c r="E14" i="16" s="1"/>
  <c r="F14" i="16" l="1"/>
  <c r="F13" i="16"/>
  <c r="F15"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<sst xmlns="http://schemas.openxmlformats.org/spreadsheetml/2006/main" count="1683" uniqueCount="675">
  <si>
    <t>PREPARED IN COOPERATION WITH THE TEXAS COMMISSION ON ENVIRONMENTAL QUALITY AND U.S. ENVIRONMENTAL PROTECTION AGENCY</t>
  </si>
  <si>
    <t xml:space="preserve">This project has been funded wholly or in part by the United States Environmental Protection Agency under assistance agreement 4Z – 02F39501 to Texas Commission on Environmental Quality. The contents of this document do not necessarily reflect the views and policies of the Environmental Protection Agency, nor does the EPA endorse trade names or recommend the use of commercial products mentioned in this document. </t>
  </si>
  <si>
    <t>Tab</t>
  </si>
  <si>
    <t>Description</t>
  </si>
  <si>
    <t>User Manual</t>
  </si>
  <si>
    <t>Includes more detailed instructions on how to use this spreadsheet</t>
  </si>
  <si>
    <t>Frequently Asked Questions</t>
  </si>
  <si>
    <t>Snapshot of key outputs and results</t>
  </si>
  <si>
    <t>Tracks monthly trash, recycling, and organics volumes</t>
  </si>
  <si>
    <t>Identifies materials and reduction strategies by area</t>
  </si>
  <si>
    <t>Flags whether current activities are sufficient or deficient and assigns follow-up tasks</t>
  </si>
  <si>
    <t>Waste Composition Tool</t>
  </si>
  <si>
    <t>Field tool for estimating material types and volumes</t>
  </si>
  <si>
    <t>Helps size dumpsters based on current and future needs</t>
  </si>
  <si>
    <t>Shows cost impacts of container size/frequency changes</t>
  </si>
  <si>
    <t>Estimates ROI on waste equipment (e.g., balers)</t>
  </si>
  <si>
    <t>Estimates jobs created by recycling efforts</t>
  </si>
  <si>
    <t>Estimates carbon savings from waste diversion and recycling</t>
  </si>
  <si>
    <t>Important Notes</t>
  </si>
  <si>
    <t>Complete These First:</t>
  </si>
  <si>
    <t>- Facility Survey</t>
  </si>
  <si>
    <t>- Observation Checklist</t>
  </si>
  <si>
    <t>- Waste Composition Tool</t>
  </si>
  <si>
    <t>After that, results from the Waste Composition Tool feed into the other tools.</t>
  </si>
  <si>
    <t>Color Legend (Excel Cells)</t>
  </si>
  <si>
    <t>Color</t>
  </si>
  <si>
    <t>Meaning</t>
  </si>
  <si>
    <t>Blue</t>
  </si>
  <si>
    <t>User input required</t>
  </si>
  <si>
    <t>Green</t>
  </si>
  <si>
    <t>Default values (can be changed)</t>
  </si>
  <si>
    <t>White</t>
  </si>
  <si>
    <t>Calculated outputs (not able to be edited)</t>
  </si>
  <si>
    <t>Gray</t>
  </si>
  <si>
    <t>Not applicable</t>
  </si>
  <si>
    <t>Review the Toolkit:</t>
  </si>
  <si>
    <t>- Read through the entire Excel file to understand all parts of the toolkit</t>
  </si>
  <si>
    <t>2. Conduct a Facility Walkthrough</t>
  </si>
  <si>
    <t>What to do:</t>
  </si>
  <si>
    <t>- Document:</t>
  </si>
  <si>
    <t>- Types of waste produced</t>
  </si>
  <si>
    <t>- Where waste is generated</t>
  </si>
  <si>
    <t>- Opportunities to reduce waste</t>
  </si>
  <si>
    <t>3. Perform a Waste Observation (Visual Audit)</t>
  </si>
  <si>
    <t>Using the Waste Composition Tool:</t>
  </si>
  <si>
    <r>
      <t xml:space="preserve">- Go to onsite waste containers (typically dumpsters) </t>
    </r>
    <r>
      <rPr>
        <b/>
        <sz val="11"/>
        <color theme="1"/>
        <rFont val="Aptos Narrow"/>
        <family val="2"/>
        <scheme val="minor"/>
      </rPr>
      <t>the day before pickup</t>
    </r>
    <r>
      <rPr>
        <sz val="11"/>
        <color theme="1"/>
        <rFont val="Aptos Narrow"/>
        <family val="2"/>
        <scheme val="minor"/>
      </rPr>
      <t>, so they are full.</t>
    </r>
  </si>
  <si>
    <r>
      <t xml:space="preserve">- Visually inspect the contents - </t>
    </r>
    <r>
      <rPr>
        <b/>
        <sz val="11"/>
        <color theme="1"/>
        <rFont val="Aptos Narrow"/>
        <family val="2"/>
        <scheme val="minor"/>
      </rPr>
      <t>do not touch waste</t>
    </r>
    <r>
      <rPr>
        <sz val="11"/>
        <color theme="1"/>
        <rFont val="Aptos Narrow"/>
        <family val="2"/>
        <scheme val="minor"/>
      </rPr>
      <t xml:space="preserve"> (for safety).</t>
    </r>
  </si>
  <si>
    <t>- Estimate and record:</t>
  </si>
  <si>
    <t>- Type of material (e.g., cardboard, food waste, plastic)</t>
  </si>
  <si>
    <r>
      <t>- Volume of each material type (</t>
    </r>
    <r>
      <rPr>
        <b/>
        <sz val="11"/>
        <color theme="1"/>
        <rFont val="Aptos Narrow"/>
        <family val="2"/>
        <scheme val="minor"/>
      </rPr>
      <t>as a percentage</t>
    </r>
    <r>
      <rPr>
        <sz val="11"/>
        <color theme="1"/>
        <rFont val="Aptos Narrow"/>
        <family val="2"/>
        <scheme val="minor"/>
      </rPr>
      <t>)</t>
    </r>
  </si>
  <si>
    <t>- Input the collected field data into the appropriate Excel tabs.</t>
  </si>
  <si>
    <t>- Opportunities to improve</t>
  </si>
  <si>
    <t>5. Use the Toolkit Calculators</t>
  </si>
  <si>
    <t>Tool</t>
  </si>
  <si>
    <t>Purpose</t>
  </si>
  <si>
    <t>Container Capacity Calculator</t>
  </si>
  <si>
    <t>Container Cost Calculator</t>
  </si>
  <si>
    <t>Estimates cost impacts of changing container size or service frequency</t>
  </si>
  <si>
    <t>Financial Calculator</t>
  </si>
  <si>
    <t>Calculates potential savings and ROI from waste-reduction equipment (e.g., balers, compactors)</t>
  </si>
  <si>
    <t>Job Creation Calculator</t>
  </si>
  <si>
    <t>Estimates how recycling may create jobs</t>
  </si>
  <si>
    <t>Carbon Calculator</t>
  </si>
  <si>
    <t>Uses EPA's WARM tool to estimate carbon savings from waste diversion</t>
  </si>
  <si>
    <t>6. Review Results and Track Progress</t>
  </si>
  <si>
    <r>
      <t xml:space="preserve">- Log monthly waste data in the </t>
    </r>
    <r>
      <rPr>
        <b/>
        <sz val="11"/>
        <color theme="1"/>
        <rFont val="Aptos Narrow"/>
        <family val="2"/>
        <scheme val="minor"/>
      </rPr>
      <t>Monthly Tracker</t>
    </r>
  </si>
  <si>
    <r>
      <t xml:space="preserve">- View overall waste and savings in the </t>
    </r>
    <r>
      <rPr>
        <b/>
        <sz val="11"/>
        <color theme="1"/>
        <rFont val="Aptos Narrow"/>
        <family val="2"/>
        <scheme val="minor"/>
      </rPr>
      <t>Summary Dashboard</t>
    </r>
  </si>
  <si>
    <t>- Use results to plan and implement:</t>
  </si>
  <si>
    <t>- Waste reduction strategies</t>
  </si>
  <si>
    <t>- Landfill diversion efforts</t>
  </si>
  <si>
    <t>- Cost-saving initiatives</t>
  </si>
  <si>
    <r>
      <rPr>
        <b/>
        <sz val="11"/>
        <color theme="1"/>
        <rFont val="Aptos Narrow"/>
        <family val="2"/>
        <scheme val="minor"/>
      </rPr>
      <t>Repeat this process monthly</t>
    </r>
    <r>
      <rPr>
        <sz val="11"/>
        <color theme="1"/>
        <rFont val="Aptos Narrow"/>
        <family val="2"/>
        <scheme val="minor"/>
      </rPr>
      <t xml:space="preserve"> to monitor improvements and savings.</t>
    </r>
  </si>
  <si>
    <t>Overview</t>
  </si>
  <si>
    <t>The East Texas Council of Governments (ETCOG) created this Waste Reduction and Recycling Toolkit for area businesses in partnership with Burns &amp; McDonnell Engineering Company, Inc (Burns &amp; McDonnell) as part of ETCOG's Solid Waste Infrastructure for Recycling (SWIFR) project through a grant from the Texas Commission on Environmental Quality (TCEQ). The toolkit's purpose is to provide area businesses with resources to reduce waste generation, decrease waste management costs, increase recycling, and increase organics diversion. This toolkit workbook contains tools intended to be used together to take a comprehensive approach to waste reduction and recycling. The tools can be used as stand-alone tools, as well. The toolkit includes the tools summarized below.</t>
  </si>
  <si>
    <t>Intended Users</t>
  </si>
  <si>
    <t xml:space="preserve">This toolkit can be used by businesses, governmental entities, schools, non-profits, and any other entity interested in reducing waste generation and increasing recycling. </t>
  </si>
  <si>
    <t>How to Use This Toolkit</t>
  </si>
  <si>
    <t>The toolkit is designed to gather information in the field that feeds into calculators. The calculators are summarized in the Summary Dashboard and Monthly Tracker so that the user can enter data to manage waste generation, recycling, and organics diversion.</t>
  </si>
  <si>
    <r>
      <rPr>
        <b/>
        <sz val="11"/>
        <color theme="1"/>
        <rFont val="Aptos Narrow"/>
        <family val="2"/>
        <scheme val="minor"/>
      </rPr>
      <t>STEP 1</t>
    </r>
    <r>
      <rPr>
        <sz val="11"/>
        <color theme="1"/>
        <rFont val="Aptos Narrow"/>
        <family val="2"/>
        <scheme val="minor"/>
      </rPr>
      <t xml:space="preserve"> - First, it is recommended that the user review the entire toolkit and familiarize themselves with its contents. The user can also review the FAQ questions on the next tab.
</t>
    </r>
  </si>
  <si>
    <r>
      <rPr>
        <b/>
        <sz val="11"/>
        <color theme="1"/>
        <rFont val="Aptos Narrow"/>
        <family val="2"/>
        <scheme val="minor"/>
      </rPr>
      <t>STEP 2</t>
    </r>
    <r>
      <rPr>
        <sz val="11"/>
        <color theme="1"/>
        <rFont val="Aptos Narrow"/>
        <family val="2"/>
        <scheme val="minor"/>
      </rPr>
      <t xml:space="preserve"> - Then, the users should print the Facility Survey, Observation Checklist, and Waste Composition tools to take into the field. The user should walk their entire operation using the Facility Survey and Observation Checklist to evaluate waste management at their facility. As the user walks through the facility, they should document all waste materials and identify waste reduction opportunities.</t>
    </r>
  </si>
  <si>
    <r>
      <rPr>
        <b/>
        <sz val="11"/>
        <color theme="1"/>
        <rFont val="Aptos Narrow"/>
        <family val="2"/>
        <scheme val="minor"/>
      </rPr>
      <t>STEP 3</t>
    </r>
    <r>
      <rPr>
        <sz val="11"/>
        <color theme="1"/>
        <rFont val="Aptos Narrow"/>
        <family val="2"/>
        <scheme val="minor"/>
      </rPr>
      <t xml:space="preserve"> - After reviewing the operation with the Facility Survey and Observation Checklist, the user should take the printed Waste Composition tool to their onsite waste container locations, often located in dumpsters. The user should evaluate the container the day before service so that the containers are full. The Waste Composition tool is designed to use as a visual inspection of the waste for safety purposes and ease of use. When at the collection container location, the user should look inside the containers to visually estimate and document the quantity of materials by the material</t>
    </r>
    <r>
      <rPr>
        <sz val="11"/>
        <rFont val="Aptos Narrow"/>
        <family val="2"/>
        <scheme val="minor"/>
      </rPr>
      <t xml:space="preserve"> type by percentage</t>
    </r>
    <r>
      <rPr>
        <sz val="11"/>
        <color theme="1"/>
        <rFont val="Aptos Narrow"/>
        <family val="2"/>
        <scheme val="minor"/>
      </rPr>
      <t>. The Waste Composition information will serve as the baseline information for the remaining tools.</t>
    </r>
  </si>
  <si>
    <r>
      <rPr>
        <b/>
        <sz val="11"/>
        <color theme="1"/>
        <rFont val="Aptos Narrow"/>
        <family val="2"/>
        <scheme val="minor"/>
      </rPr>
      <t>STEP 4</t>
    </r>
    <r>
      <rPr>
        <sz val="11"/>
        <color theme="1"/>
        <rFont val="Aptos Narrow"/>
        <family val="2"/>
        <scheme val="minor"/>
      </rPr>
      <t xml:space="preserve"> - After the data is collected, the user returns to the Excel-based toolkit and enters the information from the Facility Survey, Observation Checklist, and Waste Composition sheets into their respective tabs. Now, the user has information regarding the current state of and estimated quantities of landfill, recycling, and organic (compost) waste. The user can use this information to implement waste reduction strategies. The goal is to reduce the amount of waste generated, decrease the amount of waste going to the landfill, and reduce waste management costs.  </t>
    </r>
  </si>
  <si>
    <r>
      <rPr>
        <b/>
        <sz val="11"/>
        <color theme="1"/>
        <rFont val="Aptos Narrow"/>
        <family val="2"/>
        <scheme val="minor"/>
      </rPr>
      <t xml:space="preserve">STEP 5 </t>
    </r>
    <r>
      <rPr>
        <sz val="11"/>
        <color theme="1"/>
        <rFont val="Aptos Narrow"/>
        <family val="2"/>
        <scheme val="minor"/>
      </rPr>
      <t>- Further, the user can use the Capacity Calculator and Container Cost Calculator to evaluate whether they have the right-sized collection container and frequency of waste collection. The user can utilize the Financial Calculator to assess waste management cost reduction strategies, including reduction in waste generation costs, waste collection costs, and potential return-on-investment for waste management equipment. The Capacity, Cost, and Financial Calculators require user inputs to determine the specific costs associated with their location and business.</t>
    </r>
  </si>
  <si>
    <r>
      <rPr>
        <b/>
        <sz val="11"/>
        <color theme="1"/>
        <rFont val="Aptos Narrow"/>
        <family val="2"/>
        <scheme val="minor"/>
      </rPr>
      <t>STEP 6</t>
    </r>
    <r>
      <rPr>
        <sz val="11"/>
        <color theme="1"/>
        <rFont val="Aptos Narrow"/>
        <family val="2"/>
        <scheme val="minor"/>
      </rPr>
      <t xml:space="preserve"> - The toolkit also provides a Job Creation and Carbon Cost Calculator that uses the Waste Composition inputs to estimate potential job creation and potential carbon cost avoidance due to existing or increased recycling and organics diversion.</t>
    </r>
  </si>
  <si>
    <r>
      <rPr>
        <b/>
        <sz val="11"/>
        <color theme="1"/>
        <rFont val="Aptos Narrow"/>
        <family val="2"/>
        <scheme val="minor"/>
      </rPr>
      <t>STEP 7</t>
    </r>
    <r>
      <rPr>
        <sz val="11"/>
        <color theme="1"/>
        <rFont val="Aptos Narrow"/>
        <family val="2"/>
        <scheme val="minor"/>
      </rPr>
      <t xml:space="preserve"> - Once the user has completed the toolkit process, they should analyze the results in the Summary Dashboard and log the data in the Monthly Tracker for the current month. The toolkit calculator results can be used to develop waste reduction, landfill diversion, and cost reduction strategies. As the methods are implemented, the user can repeat the process each month to measure improvements resulting in increased recycling, organics diversion, and decreased waste management costs.</t>
    </r>
  </si>
  <si>
    <t>Notes on Using This Toolkit</t>
  </si>
  <si>
    <t>The Facility Survey, Observation Checklist, and Waste Composition tools should be completed first. Then, the remaining tools can be completed as the user chooses.</t>
  </si>
  <si>
    <t>Color Legend for Cells</t>
  </si>
  <si>
    <t>User inputs</t>
  </si>
  <si>
    <t>Default values (can be overwritten)</t>
  </si>
  <si>
    <t>Calculated or locked cells</t>
  </si>
  <si>
    <t>Color Legend For Tabs</t>
  </si>
  <si>
    <t>FAQ</t>
  </si>
  <si>
    <t>Click here to go to the FAQ</t>
  </si>
  <si>
    <t>The Frequently Asked Questions provide answers to common questions before starting to use this toolkit.</t>
  </si>
  <si>
    <t>Program Dashboard</t>
  </si>
  <si>
    <t>Click here to go to the Program Dashboard</t>
  </si>
  <si>
    <t>Monthly Tracker</t>
  </si>
  <si>
    <t>Click here to go to the Monthly Tracker</t>
  </si>
  <si>
    <t>Facility Survey</t>
  </si>
  <si>
    <t>Click here to go to the Facility Survey</t>
  </si>
  <si>
    <t>Observation Checklist</t>
  </si>
  <si>
    <t>Click here to go to the Observation Checklist</t>
  </si>
  <si>
    <t>Waste Composition</t>
  </si>
  <si>
    <t>Click here to go to the Waste Composition Tool</t>
  </si>
  <si>
    <t>Click here to go to the Capacity Calculator</t>
  </si>
  <si>
    <t>Click here to go to the Cost Calculator</t>
  </si>
  <si>
    <t>Click here to go to the Financial Calculator</t>
  </si>
  <si>
    <t>Click here to go to the Job Creation Calculator</t>
  </si>
  <si>
    <t>Click here to go to the Carbon Calculator</t>
  </si>
  <si>
    <t>Assistance</t>
  </si>
  <si>
    <t>Disclaimer</t>
  </si>
  <si>
    <t>Q:</t>
  </si>
  <si>
    <t>A:</t>
  </si>
  <si>
    <t>Figure 1: Green Business Program Overview</t>
  </si>
  <si>
    <t>What tools are included in each Toolkit?</t>
  </si>
  <si>
    <t>The tools included in each toolkit are summarized in Figure 2 below. Tools required to be completed to be eligible for the Green Business Awards Program are denoted in green, and additional tools are denoted in blue.</t>
  </si>
  <si>
    <t>Figure 2: Breakdown of Toolkits</t>
  </si>
  <si>
    <t>Can I use any of these tools as standalone tools?</t>
  </si>
  <si>
    <t xml:space="preserve">All of the tools can be used as standalone toolkits. They can be used together and mixed and matched. The tools in the Waste Evaluation Toolkit are required to be completed to be eligible for the Green Business Program. When using the Excel-based toolkit, completing the Waste Composition Form automatically populates most of the remaining tools, meaning they require little to no user input beyond what is entered in the Waste Composition Form. 
 </t>
  </si>
  <si>
    <r>
      <rPr>
        <b/>
        <sz val="11"/>
        <color theme="1"/>
        <rFont val="Aptos Narrow"/>
        <family val="2"/>
        <scheme val="minor"/>
      </rPr>
      <t>Container Capacity Calculator:</t>
    </r>
    <r>
      <rPr>
        <sz val="11"/>
        <color theme="1"/>
        <rFont val="Aptos Narrow"/>
        <family val="2"/>
        <scheme val="minor"/>
      </rPr>
      <t xml:space="preserve"> Users can manually enter current and potential/anticipated container volumes instead of using values automatically populated from the results of the Waste Composition Form. In either case, the volumes on the Container Capacity Calculator are used to calculate the results of the Container Cost Calculator.</t>
    </r>
  </si>
  <si>
    <r>
      <rPr>
        <b/>
        <sz val="11"/>
        <color theme="1"/>
        <rFont val="Aptos Narrow"/>
        <family val="2"/>
        <scheme val="minor"/>
      </rPr>
      <t>Financial Calculator:</t>
    </r>
    <r>
      <rPr>
        <sz val="11"/>
        <color theme="1"/>
        <rFont val="Aptos Narrow"/>
        <family val="2"/>
        <scheme val="minor"/>
      </rPr>
      <t xml:space="preserve"> Tables 1 and 2 of the Financial Calculator are designed to be standalone tables. Table 3 is populated from the results of the Waste Composition Form, and can only be used if the Waste Composition Form is completed.</t>
    </r>
  </si>
  <si>
    <r>
      <rPr>
        <b/>
        <sz val="11"/>
        <color theme="1"/>
        <rFont val="Aptos Narrow"/>
        <family val="2"/>
        <scheme val="minor"/>
      </rPr>
      <t>Job Creation Calculator:</t>
    </r>
    <r>
      <rPr>
        <sz val="11"/>
        <color theme="1"/>
        <rFont val="Aptos Narrow"/>
        <family val="2"/>
        <scheme val="minor"/>
      </rPr>
      <t xml:space="preserve"> Users can manually enter the current and potential/anticipated tons recycled instead of using values automatically populated from the results of the Waste Composition Form.</t>
    </r>
  </si>
  <si>
    <r>
      <rPr>
        <b/>
        <sz val="11"/>
        <color theme="1"/>
        <rFont val="Aptos Narrow"/>
        <family val="2"/>
        <scheme val="minor"/>
      </rPr>
      <t>Carbon Calculator:</t>
    </r>
    <r>
      <rPr>
        <sz val="11"/>
        <color theme="1"/>
        <rFont val="Aptos Narrow"/>
        <family val="2"/>
        <scheme val="minor"/>
      </rPr>
      <t xml:space="preserve"> This tool automatically populates from the results of the Waste Composition Form, and can only be used if the Waste Composition Form is completed.</t>
    </r>
  </si>
  <si>
    <r>
      <rPr>
        <b/>
        <sz val="11"/>
        <color theme="1"/>
        <rFont val="Aptos Narrow"/>
        <family val="2"/>
        <scheme val="minor"/>
      </rPr>
      <t>Monthly Tracker:</t>
    </r>
    <r>
      <rPr>
        <sz val="11"/>
        <color theme="1"/>
        <rFont val="Aptos Narrow"/>
        <family val="2"/>
        <scheme val="minor"/>
      </rPr>
      <t xml:space="preserve"> This tool works best when used in conjunction with the remaining tools, and when updated each month to track progress over time.  </t>
    </r>
  </si>
  <si>
    <t>Click here to return to the Toolkit Instructions</t>
  </si>
  <si>
    <t>The Program Dashboard provides a snapshot of the toolkit's outputs, summarizing the business's current and potential waste reduction and recycling efforts.</t>
  </si>
  <si>
    <t>Instructions</t>
  </si>
  <si>
    <t>STEP 1 - No action is needed by the user on this tab. Complete the Waste Composition, Capacity Calculator, Financial Calculator, Job Creation Calculator, and Carbon Calculator Tools. The outputs from each tool will be summarized here.</t>
  </si>
  <si>
    <t>Tool Name</t>
  </si>
  <si>
    <t>Metric</t>
  </si>
  <si>
    <t>Current</t>
  </si>
  <si>
    <t>Potential</t>
  </si>
  <si>
    <t>Increase/(Decrease)</t>
  </si>
  <si>
    <t>Recycling Rate (%)</t>
  </si>
  <si>
    <t>Organics Diversion Rate (%)</t>
  </si>
  <si>
    <t>Total Diversion Rate: Recycling + Organics (%)</t>
  </si>
  <si>
    <t>Capacity Calculator</t>
  </si>
  <si>
    <t>Landfill Container Capacity (CY)</t>
  </si>
  <si>
    <t>Recycling Container Capacity (CY)</t>
  </si>
  <si>
    <t>Organics Container Capacity (CY)</t>
  </si>
  <si>
    <t>Landfill Container Monthly Cost</t>
  </si>
  <si>
    <t>Recycling Container Monthly Cost</t>
  </si>
  <si>
    <t>Organics Container Monthly Cost</t>
  </si>
  <si>
    <t>Annual Waste Removal Charge ($)</t>
  </si>
  <si>
    <t>Equipment Pay Period (Years)</t>
  </si>
  <si>
    <t>N/A</t>
  </si>
  <si>
    <t>Number of Jobs Created</t>
  </si>
  <si>
    <r>
      <t>Total Landfill MTCO</t>
    </r>
    <r>
      <rPr>
        <vertAlign val="subscript"/>
        <sz val="11"/>
        <color theme="1"/>
        <rFont val="Aptos Narrow"/>
        <family val="2"/>
        <scheme val="minor"/>
      </rPr>
      <t>2</t>
    </r>
    <r>
      <rPr>
        <sz val="11"/>
        <color theme="1"/>
        <rFont val="Aptos Narrow"/>
        <family val="2"/>
        <scheme val="minor"/>
      </rPr>
      <t>E</t>
    </r>
    <r>
      <rPr>
        <vertAlign val="superscript"/>
        <sz val="11"/>
        <color theme="1"/>
        <rFont val="Aptos Narrow"/>
        <family val="2"/>
        <scheme val="minor"/>
      </rPr>
      <t>1</t>
    </r>
  </si>
  <si>
    <r>
      <t>MTCO</t>
    </r>
    <r>
      <rPr>
        <vertAlign val="subscript"/>
        <sz val="11"/>
        <color theme="1"/>
        <rFont val="Aptos Narrow"/>
        <family val="2"/>
        <scheme val="minor"/>
      </rPr>
      <t>2</t>
    </r>
    <r>
      <rPr>
        <sz val="11"/>
        <color theme="1"/>
        <rFont val="Aptos Narrow"/>
        <family val="2"/>
        <scheme val="minor"/>
      </rPr>
      <t>E</t>
    </r>
    <r>
      <rPr>
        <vertAlign val="superscript"/>
        <sz val="11"/>
        <color theme="1"/>
        <rFont val="Aptos Narrow"/>
        <family val="2"/>
        <scheme val="minor"/>
      </rPr>
      <t>1</t>
    </r>
    <r>
      <rPr>
        <sz val="11"/>
        <color theme="1"/>
        <rFont val="Aptos Narrow"/>
        <family val="2"/>
        <scheme val="minor"/>
      </rPr>
      <t xml:space="preserve"> Emissions - Landfill Containers</t>
    </r>
  </si>
  <si>
    <r>
      <t>Total Recycling MTCO</t>
    </r>
    <r>
      <rPr>
        <vertAlign val="subscript"/>
        <sz val="11"/>
        <color theme="1"/>
        <rFont val="Aptos Narrow"/>
        <family val="2"/>
        <scheme val="minor"/>
      </rPr>
      <t>2</t>
    </r>
    <r>
      <rPr>
        <sz val="11"/>
        <color theme="1"/>
        <rFont val="Aptos Narrow"/>
        <family val="2"/>
        <scheme val="minor"/>
      </rPr>
      <t>E</t>
    </r>
    <r>
      <rPr>
        <vertAlign val="superscript"/>
        <sz val="11"/>
        <color theme="1"/>
        <rFont val="Aptos Narrow"/>
        <family val="2"/>
        <scheme val="minor"/>
      </rPr>
      <t>1</t>
    </r>
  </si>
  <si>
    <r>
      <t>MTCO</t>
    </r>
    <r>
      <rPr>
        <vertAlign val="subscript"/>
        <sz val="10"/>
        <rFont val="Arial"/>
        <family val="2"/>
      </rPr>
      <t>2</t>
    </r>
    <r>
      <rPr>
        <sz val="10"/>
        <rFont val="Arial"/>
        <family val="2"/>
      </rPr>
      <t>E</t>
    </r>
    <r>
      <rPr>
        <vertAlign val="superscript"/>
        <sz val="10"/>
        <rFont val="Arial"/>
        <family val="2"/>
      </rPr>
      <t>1</t>
    </r>
    <r>
      <rPr>
        <sz val="10"/>
        <rFont val="Arial"/>
        <family val="2"/>
      </rPr>
      <t xml:space="preserve"> Emissions</t>
    </r>
    <r>
      <rPr>
        <sz val="11"/>
        <color theme="1"/>
        <rFont val="Aptos Narrow"/>
        <family val="2"/>
        <scheme val="minor"/>
      </rPr>
      <t xml:space="preserve"> - Recycling Containers</t>
    </r>
  </si>
  <si>
    <r>
      <t>Total Organics Diversion MTCO</t>
    </r>
    <r>
      <rPr>
        <vertAlign val="subscript"/>
        <sz val="11"/>
        <color theme="1"/>
        <rFont val="Aptos Narrow"/>
        <family val="2"/>
        <scheme val="minor"/>
      </rPr>
      <t>2</t>
    </r>
    <r>
      <rPr>
        <sz val="11"/>
        <color theme="1"/>
        <rFont val="Aptos Narrow"/>
        <family val="2"/>
        <scheme val="minor"/>
      </rPr>
      <t>E</t>
    </r>
    <r>
      <rPr>
        <vertAlign val="superscript"/>
        <sz val="11"/>
        <color theme="1"/>
        <rFont val="Aptos Narrow"/>
        <family val="2"/>
        <scheme val="minor"/>
      </rPr>
      <t>1</t>
    </r>
  </si>
  <si>
    <r>
      <t>MTCO</t>
    </r>
    <r>
      <rPr>
        <vertAlign val="subscript"/>
        <sz val="10"/>
        <rFont val="Arial"/>
        <family val="2"/>
      </rPr>
      <t>2</t>
    </r>
    <r>
      <rPr>
        <sz val="10"/>
        <rFont val="Arial"/>
        <family val="2"/>
      </rPr>
      <t>E</t>
    </r>
    <r>
      <rPr>
        <vertAlign val="superscript"/>
        <sz val="10"/>
        <rFont val="Arial"/>
        <family val="2"/>
      </rPr>
      <t>1</t>
    </r>
    <r>
      <rPr>
        <sz val="10"/>
        <rFont val="Arial"/>
        <family val="2"/>
      </rPr>
      <t xml:space="preserve"> Emissions</t>
    </r>
    <r>
      <rPr>
        <sz val="11"/>
        <color theme="1"/>
        <rFont val="Aptos Narrow"/>
        <family val="2"/>
        <scheme val="minor"/>
      </rPr>
      <t xml:space="preserve"> - Organics Containers</t>
    </r>
  </si>
  <si>
    <r>
      <t>Total Waste Reduction MTCO</t>
    </r>
    <r>
      <rPr>
        <vertAlign val="subscript"/>
        <sz val="11"/>
        <color theme="1"/>
        <rFont val="Aptos Narrow"/>
        <family val="2"/>
        <scheme val="minor"/>
      </rPr>
      <t>2</t>
    </r>
    <r>
      <rPr>
        <sz val="11"/>
        <color theme="1"/>
        <rFont val="Aptos Narrow"/>
        <family val="2"/>
        <scheme val="minor"/>
      </rPr>
      <t>E</t>
    </r>
    <r>
      <rPr>
        <vertAlign val="superscript"/>
        <sz val="11"/>
        <color theme="1"/>
        <rFont val="Aptos Narrow"/>
        <family val="2"/>
        <scheme val="minor"/>
      </rPr>
      <t>1</t>
    </r>
  </si>
  <si>
    <r>
      <t>MTCO</t>
    </r>
    <r>
      <rPr>
        <vertAlign val="subscript"/>
        <sz val="10"/>
        <rFont val="Arial"/>
        <family val="2"/>
      </rPr>
      <t>2</t>
    </r>
    <r>
      <rPr>
        <sz val="10"/>
        <rFont val="Arial"/>
        <family val="2"/>
      </rPr>
      <t>E</t>
    </r>
    <r>
      <rPr>
        <vertAlign val="superscript"/>
        <sz val="10"/>
        <rFont val="Arial"/>
        <family val="2"/>
      </rPr>
      <t>1</t>
    </r>
    <r>
      <rPr>
        <sz val="10"/>
        <rFont val="Arial"/>
        <family val="2"/>
      </rPr>
      <t xml:space="preserve"> Emissions - Waste </t>
    </r>
    <r>
      <rPr>
        <sz val="11"/>
        <color theme="1"/>
        <rFont val="Aptos Narrow"/>
        <family val="2"/>
        <scheme val="minor"/>
      </rPr>
      <t>Reduction</t>
    </r>
  </si>
  <si>
    <r>
      <t>Total MTCO</t>
    </r>
    <r>
      <rPr>
        <vertAlign val="subscript"/>
        <sz val="11"/>
        <color theme="1"/>
        <rFont val="Aptos Narrow"/>
        <family val="2"/>
        <scheme val="minor"/>
      </rPr>
      <t>2</t>
    </r>
    <r>
      <rPr>
        <sz val="11"/>
        <color theme="1"/>
        <rFont val="Aptos Narrow"/>
        <family val="2"/>
        <scheme val="minor"/>
      </rPr>
      <t>E</t>
    </r>
    <r>
      <rPr>
        <vertAlign val="superscript"/>
        <sz val="11"/>
        <color theme="1"/>
        <rFont val="Aptos Narrow"/>
        <family val="2"/>
        <scheme val="minor"/>
      </rPr>
      <t>1</t>
    </r>
  </si>
  <si>
    <r>
      <t>MTCO</t>
    </r>
    <r>
      <rPr>
        <vertAlign val="subscript"/>
        <sz val="10"/>
        <rFont val="Arial"/>
        <family val="2"/>
      </rPr>
      <t>2</t>
    </r>
    <r>
      <rPr>
        <sz val="10"/>
        <rFont val="Arial"/>
        <family val="2"/>
      </rPr>
      <t>E</t>
    </r>
    <r>
      <rPr>
        <vertAlign val="superscript"/>
        <sz val="10"/>
        <rFont val="Arial"/>
        <family val="2"/>
      </rPr>
      <t>1</t>
    </r>
    <r>
      <rPr>
        <sz val="10"/>
        <rFont val="Arial"/>
        <family val="2"/>
      </rPr>
      <t xml:space="preserve"> Emissions</t>
    </r>
    <r>
      <rPr>
        <sz val="11"/>
        <color theme="1"/>
        <rFont val="Aptos Narrow"/>
        <family val="2"/>
        <scheme val="minor"/>
      </rPr>
      <t xml:space="preserve"> - Total</t>
    </r>
  </si>
  <si>
    <r>
      <t>1. MTCO</t>
    </r>
    <r>
      <rPr>
        <vertAlign val="subscript"/>
        <sz val="11"/>
        <color theme="1"/>
        <rFont val="Aptos Narrow"/>
        <family val="2"/>
        <scheme val="minor"/>
      </rPr>
      <t>2</t>
    </r>
    <r>
      <rPr>
        <sz val="11"/>
        <color theme="1"/>
        <rFont val="Aptos Narrow"/>
        <family val="2"/>
        <scheme val="minor"/>
      </rPr>
      <t>E = Metric Tons of Carbon Dioxide Equivalent</t>
    </r>
  </si>
  <si>
    <t>The Recycling Activity Monthly Tracker calculates the amount of trash, recycling, and organics (in tons) generated per month based on the size of the collection containers and the pickup frequency for each material type.</t>
  </si>
  <si>
    <t>The tracker will calculate the total tons of landfilled waste, recycling, and organics generated per month, the recycling and organics diversion rates, the monthly costs for each stream, and the jobs created and carbon emissions avoided in Table 2.</t>
  </si>
  <si>
    <r>
      <t>The tracker will also populate graphs showing trends over time for each material's tonnages and costs, as well as the number of jobs created and Metric Tons of Carbon Dioxide Equivalents (MTCO</t>
    </r>
    <r>
      <rPr>
        <b/>
        <vertAlign val="subscript"/>
        <sz val="11"/>
        <color theme="1"/>
        <rFont val="Aptos Narrow"/>
        <family val="2"/>
        <scheme val="minor"/>
      </rPr>
      <t>2</t>
    </r>
    <r>
      <rPr>
        <b/>
        <sz val="11"/>
        <color theme="1"/>
        <rFont val="Aptos Narrow"/>
        <family val="2"/>
        <scheme val="minor"/>
      </rPr>
      <t>E) avoided.</t>
    </r>
  </si>
  <si>
    <t>TABLE 1 - Monthly Activity</t>
  </si>
  <si>
    <t>TABLE 2 - Summary</t>
  </si>
  <si>
    <t>January</t>
  </si>
  <si>
    <t>Jan</t>
  </si>
  <si>
    <t>Feb</t>
  </si>
  <si>
    <t>Mar</t>
  </si>
  <si>
    <t>Apr</t>
  </si>
  <si>
    <t>May</t>
  </si>
  <si>
    <t>Jun</t>
  </si>
  <si>
    <t>Jul</t>
  </si>
  <si>
    <t>Aug</t>
  </si>
  <si>
    <t>Sep</t>
  </si>
  <si>
    <t>Oct</t>
  </si>
  <si>
    <t>Nov</t>
  </si>
  <si>
    <t>Dec</t>
  </si>
  <si>
    <t>Total</t>
  </si>
  <si>
    <t>Average</t>
  </si>
  <si>
    <t>Column 1
Total Capacity of Containers (CY)</t>
  </si>
  <si>
    <t>Column 2
Average Percent Full Prior to Collection</t>
  </si>
  <si>
    <t>Column 3
Number of Weekly Pickups</t>
  </si>
  <si>
    <t>Column 4
Total Cubic Yards per Week</t>
  </si>
  <si>
    <t>Column 5
Tons per Cubic Yard</t>
  </si>
  <si>
    <t>Column 6
Total Tons per Month</t>
  </si>
  <si>
    <t>Landfill (Tons)</t>
  </si>
  <si>
    <t>Landfill</t>
  </si>
  <si>
    <t>Recycling (Tons)</t>
  </si>
  <si>
    <t>Recycling</t>
  </si>
  <si>
    <t>Organics (Tons)</t>
  </si>
  <si>
    <t>Organics</t>
  </si>
  <si>
    <t>Total Waste (Tons)</t>
  </si>
  <si>
    <t>Total Waste (CY)</t>
  </si>
  <si>
    <t>Monthly Recycling Rate</t>
  </si>
  <si>
    <t>Monthly Organics Diversion Rate</t>
  </si>
  <si>
    <t>Total Monthly Landfill Cost ($)</t>
  </si>
  <si>
    <t>Total Monthly Landfill Cost</t>
  </si>
  <si>
    <t>Total Monthly Recycling Cost ($)</t>
  </si>
  <si>
    <t>Total Monthly Recycling Cost</t>
  </si>
  <si>
    <t>Total Monthly Organics Cost ($)</t>
  </si>
  <si>
    <t>Total Monthly Organics Cost</t>
  </si>
  <si>
    <t>Total Monthly Cost ($)</t>
  </si>
  <si>
    <t>Landfill Cost per Ton</t>
  </si>
  <si>
    <t>Landfill Cost per Ton ($)</t>
  </si>
  <si>
    <t>Recycling Cost per Ton</t>
  </si>
  <si>
    <t>Recycling Cost per Ton ($)</t>
  </si>
  <si>
    <t>Organics Cost per Ton</t>
  </si>
  <si>
    <t>Organics Cost per Ton ($)</t>
  </si>
  <si>
    <t>Job Created per Month</t>
  </si>
  <si>
    <r>
      <t>MTCO</t>
    </r>
    <r>
      <rPr>
        <vertAlign val="subscript"/>
        <sz val="11"/>
        <color theme="1"/>
        <rFont val="Aptos Narrow"/>
        <family val="2"/>
        <scheme val="minor"/>
      </rPr>
      <t>2</t>
    </r>
    <r>
      <rPr>
        <sz val="11"/>
        <color theme="1"/>
        <rFont val="Aptos Narrow"/>
        <family val="2"/>
        <scheme val="minor"/>
      </rPr>
      <t>E Emissions per Month</t>
    </r>
  </si>
  <si>
    <r>
      <t>MTCO</t>
    </r>
    <r>
      <rPr>
        <vertAlign val="subscript"/>
        <sz val="10"/>
        <rFont val="Arial"/>
        <family val="2"/>
      </rPr>
      <t>2</t>
    </r>
    <r>
      <rPr>
        <sz val="10"/>
        <rFont val="Arial"/>
        <family val="2"/>
      </rPr>
      <t>E Emissions</t>
    </r>
    <r>
      <rPr>
        <sz val="11"/>
        <color theme="1"/>
        <rFont val="Aptos Narrow"/>
        <family val="2"/>
        <scheme val="minor"/>
      </rPr>
      <t xml:space="preserve"> per Month</t>
    </r>
  </si>
  <si>
    <t>February</t>
  </si>
  <si>
    <t>Total Capacity of Containers (CY)</t>
  </si>
  <si>
    <t>Average Percent Full Prior to Collection</t>
  </si>
  <si>
    <t>Number of Weekly Pickups</t>
  </si>
  <si>
    <t>Total Cubic Yards per Week</t>
  </si>
  <si>
    <t>Tons per Cubic Yard</t>
  </si>
  <si>
    <t>Total Tons per Month</t>
  </si>
  <si>
    <t>March</t>
  </si>
  <si>
    <t>April</t>
  </si>
  <si>
    <t>June</t>
  </si>
  <si>
    <t>July</t>
  </si>
  <si>
    <t>August</t>
  </si>
  <si>
    <t>September</t>
  </si>
  <si>
    <t>October</t>
  </si>
  <si>
    <t>November</t>
  </si>
  <si>
    <t>December</t>
  </si>
  <si>
    <t>STEP 4 - In Column 2, identify the material types (trash, recycling, organics) that are generated in that area. Fill in one material type per line. Recycling materials can be broken down into plastics, paper, cardboard, glass, and other materials. Add additional rows as necessary.</t>
  </si>
  <si>
    <t>STEP 5 - In Column 3, identify a waste reduction strategy for each material type identified in Column 2.</t>
  </si>
  <si>
    <t>STEP 6 - Take a photo of each material type in each area identified in Columns 1 and 2, and paste it into Column 4.</t>
  </si>
  <si>
    <t>Facility Waste Survey</t>
  </si>
  <si>
    <t>Waste Audit Personnel:</t>
  </si>
  <si>
    <t>Date:</t>
  </si>
  <si>
    <t>Column 1
Area</t>
  </si>
  <si>
    <t>Column 2
Material Type</t>
  </si>
  <si>
    <t>Column 3
Waste Reduction Strategies</t>
  </si>
  <si>
    <t>Column 4
Photo</t>
  </si>
  <si>
    <t>STEP 4 - Indicate any observations for each item description.</t>
  </si>
  <si>
    <t>STEP 5 - Identify the person responsible for helping to correct that item description.</t>
  </si>
  <si>
    <t>STEP 6 - Identify a due date to complete by.</t>
  </si>
  <si>
    <t>STEP 7 - Indicate whether the item has been corrected.</t>
  </si>
  <si>
    <t>Item Description</t>
  </si>
  <si>
    <t>Yes / No / Not Applicable</t>
  </si>
  <si>
    <t>Observation</t>
  </si>
  <si>
    <t>Responsible Person</t>
  </si>
  <si>
    <t>Due Date</t>
  </si>
  <si>
    <t>Corrected (Y/N)</t>
  </si>
  <si>
    <t>Waste management plan in place</t>
  </si>
  <si>
    <t>Hazardous waste containers labeled according to standards</t>
  </si>
  <si>
    <t>Dedicated area(s) for hazardous waste storage</t>
  </si>
  <si>
    <t>Hazardous waste disposed of according to standards</t>
  </si>
  <si>
    <t>The Waste Composition tool summarizes the material types, quantities, and composition percentages observed in the Facility Survey and calculates the current and potential waste reduction and recycling activities. The Waste Composition tab provides a form to be printed and taken into the field to conduct the survey. The Waste Composition process entails visually inspecting a facility's waste to estimate the material types and quantities. Identification of material types and quantities assists in evaluating waste reduction and recycling opportunities and forms the basis for the additional tools. The Waste Composition is based on visual inspection to capture the information with less effort and less safety risk than a hand sorted and weighed waste characterization.</t>
  </si>
  <si>
    <t>Note on Cubic Yards</t>
  </si>
  <si>
    <t>LANDFILL CONTAINERS</t>
  </si>
  <si>
    <t>RECYCLING CONTAINERS</t>
  </si>
  <si>
    <t>ORGANICS CONTAINERS</t>
  </si>
  <si>
    <t>STEP 10 - In Column 5 of Table 5, indicate the percentage of each material category in the container that can be reduced (maximum of 100%) via a reduction in waste generation from the recycling stream.</t>
  </si>
  <si>
    <t>STEP 15 - In Column 5 of Table 8, indicate the percentage of each material category in the container that can be reduced (maximum of 100%) via a reduction in waste generation from the organics stream.</t>
  </si>
  <si>
    <t>Note that throughout the Waste Composition tool and this toolkit, wood pallets have been considered as recycling, not organics.</t>
  </si>
  <si>
    <t>Summary</t>
  </si>
  <si>
    <t>Landfill Container</t>
  </si>
  <si>
    <t>Recycling Container</t>
  </si>
  <si>
    <t>Organics Container</t>
  </si>
  <si>
    <t>Total Recyclables Weight (lbs.)</t>
  </si>
  <si>
    <t>Total Organics Weight (lbs.)</t>
  </si>
  <si>
    <t>Total Landfill Weight (lbs.)</t>
  </si>
  <si>
    <t>Total Waste</t>
  </si>
  <si>
    <t>Current Recycling Rate</t>
  </si>
  <si>
    <t>Current Organics Recycling Rate</t>
  </si>
  <si>
    <t>Potential Recycling Rate</t>
  </si>
  <si>
    <t>Potential Organics Recycling Rate</t>
  </si>
  <si>
    <t>Waste Composition Calculator</t>
  </si>
  <si>
    <t>TABLE 1 - Existing Landfill Container Information</t>
  </si>
  <si>
    <t>TABLE 4 - Existing Recycling Container Information</t>
  </si>
  <si>
    <t>TABLE 7 - Existing Organics Container Information</t>
  </si>
  <si>
    <t>Total Capacity of Landfill Containers (CY):</t>
  </si>
  <si>
    <t>Total Capacity of Recycling Containers (CY):</t>
  </si>
  <si>
    <t>Average Percent Full Prior to Collection:</t>
  </si>
  <si>
    <t>Number of Weekly Pickups:</t>
  </si>
  <si>
    <t>Total Quantity Disposed per Week (CY):</t>
  </si>
  <si>
    <t>TABLE 2 - Quantity of Divertible Materials in Landfill Containers</t>
  </si>
  <si>
    <t>TABLE 5 - Quantity of Divertible Materials in Recycling Containers</t>
  </si>
  <si>
    <t>TABLE 8 - Quantity of Divertible Materials in Organics Containers</t>
  </si>
  <si>
    <t>Material Category</t>
  </si>
  <si>
    <t>Column 1
Percentage of Waste Stream (% by Volume)</t>
  </si>
  <si>
    <r>
      <t>Column 2
Estimated Quantity of Material Disposed per Week (CY)</t>
    </r>
    <r>
      <rPr>
        <b/>
        <vertAlign val="superscript"/>
        <sz val="11"/>
        <color theme="1"/>
        <rFont val="Aptos Narrow"/>
        <family val="2"/>
        <scheme val="minor"/>
      </rPr>
      <t>1</t>
    </r>
  </si>
  <si>
    <r>
      <t>Column 3
Estimated Quantity of Material Disposed per Week (lbs.)</t>
    </r>
    <r>
      <rPr>
        <b/>
        <vertAlign val="superscript"/>
        <sz val="11"/>
        <color theme="1"/>
        <rFont val="Aptos Narrow"/>
        <family val="2"/>
        <scheme val="minor"/>
      </rPr>
      <t>1</t>
    </r>
  </si>
  <si>
    <t>Column 4
Percentage of Waste Stream (% by Weight in Pounds)</t>
  </si>
  <si>
    <t>Column 5
Waste Reduction Opportunity (% by Volume)</t>
  </si>
  <si>
    <t>Column 6
Estimated Reduction in Material Generated per Week (CY)</t>
  </si>
  <si>
    <t>Divertible Materials</t>
  </si>
  <si>
    <t>Cardboard</t>
  </si>
  <si>
    <t>Mixed Paper</t>
  </si>
  <si>
    <t>Office Paper</t>
  </si>
  <si>
    <t>Plastic #1 PET</t>
  </si>
  <si>
    <t>Plastic #2 HDPE</t>
  </si>
  <si>
    <t>Plastic #5 PP</t>
  </si>
  <si>
    <t>Plastic #3-7 Mixed</t>
  </si>
  <si>
    <t>Plastic Film/Bags</t>
  </si>
  <si>
    <t>Plastic Foam</t>
  </si>
  <si>
    <t>Other Plastics</t>
  </si>
  <si>
    <t>Glass Containers</t>
  </si>
  <si>
    <t>Other Glass</t>
  </si>
  <si>
    <t>Aluminum Cans</t>
  </si>
  <si>
    <t>Steel/Tin Cans</t>
  </si>
  <si>
    <t>Ferrous Metal</t>
  </si>
  <si>
    <t>Non-Ferrous Metal</t>
  </si>
  <si>
    <t>Batteries</t>
  </si>
  <si>
    <t>Appliances</t>
  </si>
  <si>
    <t>Electronics</t>
  </si>
  <si>
    <t>Tires</t>
  </si>
  <si>
    <t>Textiles</t>
  </si>
  <si>
    <t>Other Recyclable Materials</t>
  </si>
  <si>
    <t>Wood Pallets</t>
  </si>
  <si>
    <t>Food Waste</t>
  </si>
  <si>
    <t>Yard Waste</t>
  </si>
  <si>
    <t>Biosolids</t>
  </si>
  <si>
    <t>Other Organics</t>
  </si>
  <si>
    <t>No Diversion Opportunities Identified</t>
  </si>
  <si>
    <t>Landfill Waste</t>
  </si>
  <si>
    <t>Other Waste</t>
  </si>
  <si>
    <t>TABLE 3 - Existing Landfill Container Summary</t>
  </si>
  <si>
    <t>TABLE 6 - Existing Recycling Container Summary</t>
  </si>
  <si>
    <t>TABLE 9 - Existing Organics Container Summary</t>
  </si>
  <si>
    <t>Total Recycling</t>
  </si>
  <si>
    <t>Total Organics</t>
  </si>
  <si>
    <t>Total Landfill</t>
  </si>
  <si>
    <r>
      <t>Total Waste</t>
    </r>
    <r>
      <rPr>
        <b/>
        <vertAlign val="superscript"/>
        <sz val="20"/>
        <color theme="1"/>
        <rFont val="Aptos Narrow"/>
        <family val="2"/>
        <scheme val="minor"/>
      </rPr>
      <t>2</t>
    </r>
  </si>
  <si>
    <r>
      <t>Total Waste</t>
    </r>
    <r>
      <rPr>
        <b/>
        <vertAlign val="superscript"/>
        <sz val="20"/>
        <color theme="1"/>
        <rFont val="Aptos Narrow"/>
        <family val="2"/>
        <scheme val="minor"/>
      </rPr>
      <t>3</t>
    </r>
  </si>
  <si>
    <r>
      <t>Total Waste</t>
    </r>
    <r>
      <rPr>
        <b/>
        <vertAlign val="superscript"/>
        <sz val="20"/>
        <color theme="1"/>
        <rFont val="Aptos Narrow"/>
        <family val="2"/>
        <scheme val="minor"/>
      </rPr>
      <t>4</t>
    </r>
  </si>
  <si>
    <t>1.  Estimated Quantity of Material Disposed per Week equals Estimated Total Quantity Disposed Per Week multiplied by Estimated Percentage of Waste Stream.</t>
  </si>
  <si>
    <r>
      <t xml:space="preserve">2. If an </t>
    </r>
    <r>
      <rPr>
        <b/>
        <sz val="11"/>
        <color rgb="FFFF0000"/>
        <rFont val="Aptos Narrow"/>
        <family val="2"/>
        <scheme val="minor"/>
      </rPr>
      <t>Error</t>
    </r>
    <r>
      <rPr>
        <sz val="11"/>
        <rFont val="Aptos Narrow"/>
        <family val="2"/>
        <scheme val="minor"/>
      </rPr>
      <t xml:space="preserve"> is returned in Table 3, the sum of the values in Column 1 of Table 2 does not equal 100%. To resolve, adjust the values in Table 2, Column 1 such that the total percentage is 100%.</t>
    </r>
  </si>
  <si>
    <r>
      <t xml:space="preserve">3. If an </t>
    </r>
    <r>
      <rPr>
        <b/>
        <sz val="11"/>
        <color rgb="FFFF0000"/>
        <rFont val="Aptos Narrow"/>
        <family val="2"/>
        <scheme val="minor"/>
      </rPr>
      <t>Error</t>
    </r>
    <r>
      <rPr>
        <sz val="11"/>
        <rFont val="Aptos Narrow"/>
        <family val="2"/>
        <scheme val="minor"/>
      </rPr>
      <t xml:space="preserve"> is returned in Table 6, the sum of the values in Column 1 of Table 5 does not equal 100%. To resolve, adjust the values in Table 5, Column 1 such that the total percentage is 100%.</t>
    </r>
  </si>
  <si>
    <r>
      <t xml:space="preserve">2. If an </t>
    </r>
    <r>
      <rPr>
        <b/>
        <sz val="11"/>
        <color rgb="FFFF0000"/>
        <rFont val="Aptos Narrow"/>
        <family val="2"/>
        <scheme val="minor"/>
      </rPr>
      <t>Error</t>
    </r>
    <r>
      <rPr>
        <sz val="11"/>
        <rFont val="Aptos Narrow"/>
        <family val="2"/>
        <scheme val="minor"/>
      </rPr>
      <t xml:space="preserve"> is returned in Table 9, the sum of the values in Column 1 of Table 8 does not equal 100%. To resolve, adjust the values in Table 8, Column 1 such that the total percentage is 100%.</t>
    </r>
  </si>
  <si>
    <t>CY = Cubic Yard</t>
  </si>
  <si>
    <t>Waste Conversion Chart</t>
  </si>
  <si>
    <t>Material</t>
  </si>
  <si>
    <t>Cubic Yards</t>
  </si>
  <si>
    <r>
      <t>Estimated Weight (lbs.)</t>
    </r>
    <r>
      <rPr>
        <b/>
        <vertAlign val="superscript"/>
        <sz val="11"/>
        <color theme="1"/>
        <rFont val="Aptos Narrow"/>
        <family val="2"/>
        <scheme val="minor"/>
      </rPr>
      <t>1</t>
    </r>
  </si>
  <si>
    <t>Mixed Recycling</t>
  </si>
  <si>
    <t>Mixed Organics</t>
  </si>
  <si>
    <t>1. Source: U.S. EPA Office of Resource Conservation and Recovery</t>
  </si>
  <si>
    <t xml:space="preserve">https://www.epa.gov/sites/default/files/2016-04/documents/volume_to_weight_conversion_factors_memorandum_04192016_508fnl.pdf  </t>
  </si>
  <si>
    <t>The Capacity Calculator uses information from the Waste Composition data to calculate the size of dumpsters needed for recycling and landfill materials. The Capacity Calculator will estimate how the required dumpster sizes change when waste reduction and recycling efforts are in effect.</t>
  </si>
  <si>
    <t>Note</t>
  </si>
  <si>
    <t>The calculator will highlight the smallest container and the lowest frequency that provides adequate service for the calculated cubic yards needed for each stream. However, the Capacity Calculator should be cross-referenced with the Cost Calculator to evaluate the smallest bin with the lowest pickup frequency and lowest price, as the highlighted value in Table 1 on the Capacity Calculator may not match the highlighted value in Table 1 on the Cost Calculator, for example. Additionally, businesses should consider pickup frequency and the potential sanitation issues of the materials. For example, it is recommended that landfill and organic waste be picked up once per week.</t>
  </si>
  <si>
    <t>Landfill, Recycling, and Organics Container Capacity Calculator</t>
  </si>
  <si>
    <t>TABLE 1 - Current Landfilled Materials</t>
  </si>
  <si>
    <t>TABLE 3 - Current Recycling Materials</t>
  </si>
  <si>
    <t>TABLE 5 - Current Organics Materials</t>
  </si>
  <si>
    <r>
      <t>Current Cubic Yards of Landfill Material (per week)</t>
    </r>
    <r>
      <rPr>
        <b/>
        <vertAlign val="superscript"/>
        <sz val="12"/>
        <rFont val="Aptos Narrow"/>
        <family val="2"/>
        <scheme val="minor"/>
      </rPr>
      <t>1</t>
    </r>
  </si>
  <si>
    <r>
      <t>Current Cubic Yards of Recycling Material (per week)</t>
    </r>
    <r>
      <rPr>
        <b/>
        <vertAlign val="superscript"/>
        <sz val="12"/>
        <rFont val="Aptos Narrow"/>
        <family val="2"/>
        <scheme val="minor"/>
      </rPr>
      <t>2</t>
    </r>
  </si>
  <si>
    <r>
      <t>Current Cubic Yards of Organic Material (per week)</t>
    </r>
    <r>
      <rPr>
        <b/>
        <vertAlign val="superscript"/>
        <sz val="12"/>
        <rFont val="Aptos Narrow"/>
        <family val="2"/>
        <scheme val="minor"/>
      </rPr>
      <t>3</t>
    </r>
  </si>
  <si>
    <r>
      <t xml:space="preserve">Current number of landfill containers required
</t>
    </r>
    <r>
      <rPr>
        <sz val="12"/>
        <rFont val="Aptos Narrow"/>
        <family val="2"/>
        <scheme val="minor"/>
      </rPr>
      <t>for combinations of size and service frequency</t>
    </r>
  </si>
  <si>
    <r>
      <t xml:space="preserve">Current number of recycling containers required
</t>
    </r>
    <r>
      <rPr>
        <sz val="12"/>
        <rFont val="Aptos Narrow"/>
        <family val="2"/>
        <scheme val="minor"/>
      </rPr>
      <t>for combinations of size and service frequency</t>
    </r>
  </si>
  <si>
    <r>
      <t xml:space="preserve">Current number of organics containers required
</t>
    </r>
    <r>
      <rPr>
        <sz val="12"/>
        <rFont val="Aptos Narrow"/>
        <family val="2"/>
        <scheme val="minor"/>
      </rPr>
      <t>for combinations of size and service frequency</t>
    </r>
  </si>
  <si>
    <t>Container</t>
  </si>
  <si>
    <t>Frequency</t>
  </si>
  <si>
    <t>Type</t>
  </si>
  <si>
    <t>Size</t>
  </si>
  <si>
    <t>1 Time per 
2 Weeks</t>
  </si>
  <si>
    <t>1 Time per 
Week</t>
  </si>
  <si>
    <t>2 Times per Week</t>
  </si>
  <si>
    <t>Carts</t>
  </si>
  <si>
    <t>64 gallon</t>
  </si>
  <si>
    <t>96 gallon</t>
  </si>
  <si>
    <t>Dumpsters</t>
  </si>
  <si>
    <t>2 cu yd</t>
  </si>
  <si>
    <t>4 cu yd</t>
  </si>
  <si>
    <t>6 cu yd</t>
  </si>
  <si>
    <t>8 cu yd</t>
  </si>
  <si>
    <t>Roll-Off</t>
  </si>
  <si>
    <t>20 cu yd roll-off</t>
  </si>
  <si>
    <t>40 cu yd roll-off</t>
  </si>
  <si>
    <t>40 cu yd compactor</t>
  </si>
  <si>
    <t>TABLE 2 - Potential Landfilled Materials</t>
  </si>
  <si>
    <t>TABLE 4 - Potential Recycling Materials</t>
  </si>
  <si>
    <t>TABLE 6 - Potential Organics Materials</t>
  </si>
  <si>
    <t>Potential Cubic Yards of Landfill Material (per week)</t>
  </si>
  <si>
    <t>Potential Cubic Yards of Recycling Material (per week)</t>
  </si>
  <si>
    <t>Potential Cubic Yards of Organic Material (per week)</t>
  </si>
  <si>
    <r>
      <t xml:space="preserve">Potential number of landfill containers required
</t>
    </r>
    <r>
      <rPr>
        <sz val="12"/>
        <rFont val="Aptos Narrow"/>
        <family val="2"/>
        <scheme val="minor"/>
      </rPr>
      <t>for combinations of size and service frequency</t>
    </r>
  </si>
  <si>
    <r>
      <t xml:space="preserve">Potential number of recycling containers required
</t>
    </r>
    <r>
      <rPr>
        <sz val="12"/>
        <rFont val="Aptos Narrow"/>
        <family val="2"/>
        <scheme val="minor"/>
      </rPr>
      <t>for combinations of size and service frequency</t>
    </r>
  </si>
  <si>
    <r>
      <t xml:space="preserve">Potential number of organics containers required
</t>
    </r>
    <r>
      <rPr>
        <sz val="12"/>
        <rFont val="Aptos Narrow"/>
        <family val="2"/>
        <scheme val="minor"/>
      </rPr>
      <t>for combinations of size and service frequency</t>
    </r>
  </si>
  <si>
    <t xml:space="preserve">The Cost Calculator uses information from the Capacity Calculator to estimate the cost of dumpster size changes. Often times, reducing waste and increasing recycling will reduce overall waste management costs as materials shift from the landfill dumpster to the recycling dumpster. </t>
  </si>
  <si>
    <t>Summary - Carts</t>
  </si>
  <si>
    <t>Summary - Rolloffs</t>
  </si>
  <si>
    <t>Landfill Containers</t>
  </si>
  <si>
    <t>Recycling Containers</t>
  </si>
  <si>
    <t>Organics Containers</t>
  </si>
  <si>
    <t>TABLE 1 - Estimated Current Commercial  Monthly Rates - Landfill</t>
  </si>
  <si>
    <t>TABLE 4 - Estimated Current Commercial Monthly Rates - Recycling</t>
  </si>
  <si>
    <t>TABLE 7 - Estimated Current Commercial Monthly Rates - Organics</t>
  </si>
  <si>
    <t>1 Time per 2 Weeks</t>
  </si>
  <si>
    <t>1 Time per Week</t>
  </si>
  <si>
    <t>20 cu yd roll off</t>
  </si>
  <si>
    <t>40 cu yd roll off</t>
  </si>
  <si>
    <t>TABLE 2 - Estimated Potential Commercial  Monthly Rates - Landfill</t>
  </si>
  <si>
    <t>TABLE 5 - Estimated Potential Commercial Monthly Rates - Recycling</t>
  </si>
  <si>
    <t>TABLE 8 - Estimated Potential Commercial Monthly Rates - Organics</t>
  </si>
  <si>
    <t>TABLE 3 - Example Commercial  Monthly Rates - Landfill</t>
  </si>
  <si>
    <t>TABLE 6 - Example Commercial Monthly Rates - Recycling</t>
  </si>
  <si>
    <r>
      <t>TABLE 9 - Example Commercial Monthly Rates - Organics</t>
    </r>
    <r>
      <rPr>
        <b/>
        <vertAlign val="superscript"/>
        <sz val="11"/>
        <rFont val="Aptos Narrow"/>
        <family val="2"/>
        <scheme val="minor"/>
      </rPr>
      <t>1</t>
    </r>
  </si>
  <si>
    <t>1.  Note: By default, example commercial monthly rates for organics bins are set to 5% less than commercial monthly rates for recycling for a given container size and pickup frequency. These costs may be overwritten if desired.</t>
  </si>
  <si>
    <t>The Financial Calculator uses information from the Cost Calculator to summarize cost increases or decreases based on waste reduction and recycling efforts. The Financial Calculator also includes an equipment return-on-investment calculator to provide a pro forma analysis on recycling compaction equipment. Recycling compaction equipment, such as a baler or compactor, will often have a financial payback due to reduced hauling costs and potential recycling material sales revenue.</t>
  </si>
  <si>
    <t>DUMPSTER COST/BENEFIT:</t>
  </si>
  <si>
    <t>EQUIPMENT PAYBACK</t>
  </si>
  <si>
    <t>STEP 2 - In Table 2, enter the increase or decrease in supply costs associated with the new equipment.</t>
  </si>
  <si>
    <t>STEP 3 - In Table 2, enter the new equipment capital cost.</t>
  </si>
  <si>
    <t>STEP 4 - In Table 2, enter the installation cost of the new equipment.</t>
  </si>
  <si>
    <t>STEP 5 - In Table 2, enter the yearly utility costs associated with the new equipment.</t>
  </si>
  <si>
    <t>STEP 6 - In Table 2, enter the quantity of recyclable materials (in tons) generated per month.</t>
  </si>
  <si>
    <t>STEP 7 - In Table 2, enter the revenue generated per ton of recyclable material.</t>
  </si>
  <si>
    <t>The calculator will generate the payback period (in years) for the new equipment.</t>
  </si>
  <si>
    <t>WASTE REDUCTION COST/BENEFIT:</t>
  </si>
  <si>
    <t>Waste Management Financial Calculator</t>
  </si>
  <si>
    <t xml:space="preserve"> Summary</t>
  </si>
  <si>
    <t>Waste Management Service Costs</t>
  </si>
  <si>
    <t>Current Collection Costs</t>
  </si>
  <si>
    <t>Potential Collection Costs</t>
  </si>
  <si>
    <t>Collection Service Cost Increase/(Decrease)</t>
  </si>
  <si>
    <t>Potential Annual Waste Reduction Cost Reduction</t>
  </si>
  <si>
    <t>Total Annual Collection Service Cost Increase/(Decrease)</t>
  </si>
  <si>
    <t>Equipment Project Costs</t>
  </si>
  <si>
    <t>Material Sales Revenue</t>
  </si>
  <si>
    <t>Equipment Project Payback (Years)</t>
  </si>
  <si>
    <t>TABLE 1 - Dumpster Cost/Benefit</t>
  </si>
  <si>
    <t>Per Month</t>
  </si>
  <si>
    <t>Per Year</t>
  </si>
  <si>
    <t>Enter Current Monthly Landfill Dumpster Costs</t>
  </si>
  <si>
    <t>Enter Current Monthly Recycling Dumpster Costs</t>
  </si>
  <si>
    <t>Enter Current Monthly Organics Dumpster Costs</t>
  </si>
  <si>
    <t>Total Monthly Current Costs</t>
  </si>
  <si>
    <t>Enter Revised Monthly Landfill Dumpster Costs</t>
  </si>
  <si>
    <t>Enter Revised Monthly Recycling Dumpster Costs</t>
  </si>
  <si>
    <t>Enter Revised Monthly Organics Dumpster Costs</t>
  </si>
  <si>
    <t>Total Monthly Revised Costs</t>
  </si>
  <si>
    <t>Cost Increase/(Decrease)</t>
  </si>
  <si>
    <t>TABLE 2 - Equipment Payback Pro Forma</t>
  </si>
  <si>
    <t>Projected Costs</t>
  </si>
  <si>
    <t>Annual Waste Management Cost Increase/Decrease</t>
  </si>
  <si>
    <r>
      <t>Labor Cost Increase/Decrease</t>
    </r>
    <r>
      <rPr>
        <vertAlign val="superscript"/>
        <sz val="11"/>
        <color theme="1"/>
        <rFont val="Aptos Narrow"/>
        <family val="2"/>
        <scheme val="minor"/>
      </rPr>
      <t>1</t>
    </r>
  </si>
  <si>
    <t>Supplies Increase/Decease</t>
  </si>
  <si>
    <t>Equipment Cost</t>
  </si>
  <si>
    <t>Installation Cost</t>
  </si>
  <si>
    <t>Utilities Cost</t>
  </si>
  <si>
    <t>Total Cost</t>
  </si>
  <si>
    <t>Material Tons/Month</t>
  </si>
  <si>
    <t>Price per Ton</t>
  </si>
  <si>
    <t>Revenue per Month</t>
  </si>
  <si>
    <t>Revenue per Year</t>
  </si>
  <si>
    <t>Payback (Years)</t>
  </si>
  <si>
    <t>TABLE 3 - Waste Reduction Cost/Benefit</t>
  </si>
  <si>
    <t>Volume In Dumpster (CY)</t>
  </si>
  <si>
    <t>Waste Reduction Opportunity (CY)</t>
  </si>
  <si>
    <t>Volume After Potential Waste Reduction (CY)</t>
  </si>
  <si>
    <t>TOTAL PER WEEK</t>
  </si>
  <si>
    <t>Cost Reduction per Cubic Yard</t>
  </si>
  <si>
    <t>Potential Cost Reduction per Year</t>
  </si>
  <si>
    <t>The Job Creation Calculator uses recycling tonnage data from the Waste Composition tool to calculate the number of jobs that could be created by the business's recycling efforts.</t>
  </si>
  <si>
    <t>STEP 1 - No action is needed from the user for Table 1 if the Waste Composition Tool was completed. Table 1 pulls the current and potential tons recycled for various material categories from the Waste Composition tool and calculates the number of jobs created per 1,000 tons of that material recycled. If the Waste Composition Tool was not completed, users can manually enter the current and potential/anticipated tons recycled instead of using the values automatically populated from the results of the Waste Composition Tool.</t>
  </si>
  <si>
    <t>The calculator will generate the current and potential number of jobs created as a result of increased recycling.</t>
  </si>
  <si>
    <t>The calculator will generate the current and potential number of jobs created as a result of increased organics diversion.</t>
  </si>
  <si>
    <t>Total Jobs Created from Recycling</t>
  </si>
  <si>
    <t>Total Jobs Created from Organics Diversion</t>
  </si>
  <si>
    <t>Total Jobs Created</t>
  </si>
  <si>
    <t>TABLE 1 - Recycling by Material</t>
  </si>
  <si>
    <t>Ferrous Metals</t>
  </si>
  <si>
    <t>Annual Tons Recycled</t>
  </si>
  <si>
    <t>Thousands of Tons Recycled per Year</t>
  </si>
  <si>
    <t>Jobs Created per 1,000 Tons</t>
  </si>
  <si>
    <t>Non-Ferrous Metals</t>
  </si>
  <si>
    <t>Glass</t>
  </si>
  <si>
    <t>Paper</t>
  </si>
  <si>
    <t>Plastics</t>
  </si>
  <si>
    <t>Total Number of Jobs Created</t>
  </si>
  <si>
    <t>TABLE 2 - Total Other Recycling</t>
  </si>
  <si>
    <r>
      <t>Jobs Created per 1,000 Tons Recycled</t>
    </r>
    <r>
      <rPr>
        <vertAlign val="superscript"/>
        <sz val="11"/>
        <color theme="1"/>
        <rFont val="Aptos Narrow"/>
        <family val="2"/>
        <scheme val="minor"/>
      </rPr>
      <t>1</t>
    </r>
  </si>
  <si>
    <t>TABLE 3 - Organics</t>
  </si>
  <si>
    <t>Annual Tons Diverted</t>
  </si>
  <si>
    <t>Thousands of Tons Diverted per Year</t>
  </si>
  <si>
    <r>
      <t>Jobs Created per 1,000 Tons Diverted</t>
    </r>
    <r>
      <rPr>
        <vertAlign val="superscript"/>
        <sz val="11"/>
        <color theme="1"/>
        <rFont val="Aptos Narrow"/>
        <family val="2"/>
        <scheme val="minor"/>
      </rPr>
      <t>2</t>
    </r>
  </si>
  <si>
    <t>Detailed Jobs Creation Calculation</t>
  </si>
  <si>
    <r>
      <t>Additional Tons Recycled</t>
    </r>
    <r>
      <rPr>
        <vertAlign val="superscript"/>
        <sz val="11"/>
        <color theme="1"/>
        <rFont val="Aptos Narrow"/>
        <family val="2"/>
        <scheme val="minor"/>
      </rPr>
      <t>3</t>
    </r>
  </si>
  <si>
    <r>
      <t>Total Jobs Created</t>
    </r>
    <r>
      <rPr>
        <vertAlign val="superscript"/>
        <sz val="11"/>
        <color theme="1"/>
        <rFont val="Aptos Narrow"/>
        <family val="2"/>
        <scheme val="minor"/>
      </rPr>
      <t>3</t>
    </r>
  </si>
  <si>
    <r>
      <t>Jobs Created per Ton Recycled</t>
    </r>
    <r>
      <rPr>
        <vertAlign val="superscript"/>
        <sz val="11"/>
        <color theme="1"/>
        <rFont val="Aptos Narrow"/>
        <family val="2"/>
        <scheme val="minor"/>
      </rPr>
      <t>3</t>
    </r>
  </si>
  <si>
    <r>
      <t>Jobs Created per 1,000 Tons Recycled</t>
    </r>
    <r>
      <rPr>
        <vertAlign val="superscript"/>
        <sz val="11"/>
        <color theme="1"/>
        <rFont val="Aptos Narrow"/>
        <family val="2"/>
        <scheme val="minor"/>
      </rPr>
      <t>3</t>
    </r>
  </si>
  <si>
    <t>Sources:</t>
  </si>
  <si>
    <t xml:space="preserve">1. U.S. EPA Recycling Economic Information (REI) Report </t>
  </si>
  <si>
    <t xml:space="preserve">https://www.epa.gov/smm/recycling-economic-information-rei-report </t>
  </si>
  <si>
    <t>2. Tellus Institute</t>
  </si>
  <si>
    <t>https://tellus.org/wp-content/uploads/2023/05/More-Jobs-Less-Pollution-Growing-the-Recycling-Economy-in-the-US.pdf#:~:text=Processing%20of%20recyclables%20(2%20jobs%20per%201%2C000,1%2C000%20tons)%20is%20somewhat%20more%20labor%20intensive.&amp;text=The%20Green%20Economy%20Scenario%20with%20a%2075,1.5%20million%20more%20jobs%20than%20in%202008.</t>
  </si>
  <si>
    <t>3. TCEQ Recycling Market Development Plan</t>
  </si>
  <si>
    <t xml:space="preserve">https://www.tceq.texas.gov/downloads/p2/recycling/recyclable-materials/2021-recycling-market-development-plan.pdf </t>
  </si>
  <si>
    <r>
      <t>The Carbon Calculator uses the EPA's Waste Reduction Model (WARM) tool and recycling tonnage data from the Waste Composition tab to calculate the quantity of potential carbon avoidance (measured in Metric Tons of Carbon Dioxide Equivalents or MTCO</t>
    </r>
    <r>
      <rPr>
        <vertAlign val="subscript"/>
        <sz val="11"/>
        <color theme="1"/>
        <rFont val="Aptos Narrow"/>
        <family val="2"/>
        <scheme val="minor"/>
      </rPr>
      <t>2</t>
    </r>
    <r>
      <rPr>
        <sz val="11"/>
        <color theme="1"/>
        <rFont val="Aptos Narrow"/>
        <family val="2"/>
        <scheme val="minor"/>
      </rPr>
      <t>E) due to the business's waste reduction and recycling activities.</t>
    </r>
  </si>
  <si>
    <r>
      <t>STEP 1 - No action is needed from the user for this tool. The values in this table are populated from previous tabs in this document. Results from this tab feed into the MTCO</t>
    </r>
    <r>
      <rPr>
        <b/>
        <vertAlign val="subscript"/>
        <sz val="11"/>
        <color theme="1"/>
        <rFont val="Aptos Narrow"/>
        <family val="2"/>
        <scheme val="minor"/>
      </rPr>
      <t>2</t>
    </r>
    <r>
      <rPr>
        <b/>
        <sz val="11"/>
        <color theme="1"/>
        <rFont val="Aptos Narrow"/>
        <family val="2"/>
        <scheme val="minor"/>
      </rPr>
      <t>E emissions per month on the Monthly Tracker tool, and are also summarized in the MTCO</t>
    </r>
    <r>
      <rPr>
        <b/>
        <vertAlign val="subscript"/>
        <sz val="11"/>
        <color theme="1"/>
        <rFont val="Aptos Narrow"/>
        <family val="2"/>
        <scheme val="minor"/>
      </rPr>
      <t>2</t>
    </r>
    <r>
      <rPr>
        <b/>
        <sz val="11"/>
        <color theme="1"/>
        <rFont val="Aptos Narrow"/>
        <family val="2"/>
        <scheme val="minor"/>
      </rPr>
      <t>E Impact Summary table.</t>
    </r>
  </si>
  <si>
    <r>
      <t>Note that the EPA's WARM tool assumes that plastic film, plastic foam, batteries, textiles, and appliances cannot be recycled. These materials may be recyclable in some markets. This tool assumes these materials can be recycled, and has assigned each material category an equivalent material category from the WARM tool in order to calculate the MTCO</t>
    </r>
    <r>
      <rPr>
        <b/>
        <vertAlign val="subscript"/>
        <sz val="11"/>
        <color theme="1"/>
        <rFont val="Aptos Narrow"/>
        <family val="2"/>
        <scheme val="minor"/>
      </rPr>
      <t>2</t>
    </r>
    <r>
      <rPr>
        <b/>
        <sz val="11"/>
        <color theme="1"/>
        <rFont val="Aptos Narrow"/>
        <family val="2"/>
        <scheme val="minor"/>
      </rPr>
      <t>E, summarized below.</t>
    </r>
  </si>
  <si>
    <t>Toolkit Material Category</t>
  </si>
  <si>
    <t>WARM Equivalent Material Category</t>
  </si>
  <si>
    <t>Plastic Film</t>
  </si>
  <si>
    <t>=</t>
  </si>
  <si>
    <t>Mixed Plastics</t>
  </si>
  <si>
    <t>Mixed Electronics</t>
  </si>
  <si>
    <t>Mixed Recyclables</t>
  </si>
  <si>
    <t>Mixed Metal</t>
  </si>
  <si>
    <r>
      <t>MTCO</t>
    </r>
    <r>
      <rPr>
        <b/>
        <vertAlign val="subscript"/>
        <sz val="20"/>
        <rFont val="Arial"/>
        <family val="2"/>
      </rPr>
      <t>2</t>
    </r>
    <r>
      <rPr>
        <b/>
        <sz val="20"/>
        <rFont val="Arial"/>
        <family val="2"/>
      </rPr>
      <t>E Impact Summary</t>
    </r>
  </si>
  <si>
    <r>
      <t>Total Landfill MTCO</t>
    </r>
    <r>
      <rPr>
        <vertAlign val="subscript"/>
        <sz val="11"/>
        <color theme="1"/>
        <rFont val="Aptos Narrow"/>
        <family val="2"/>
        <scheme val="minor"/>
      </rPr>
      <t>2</t>
    </r>
    <r>
      <rPr>
        <sz val="11"/>
        <color theme="1"/>
        <rFont val="Aptos Narrow"/>
        <family val="2"/>
        <scheme val="minor"/>
      </rPr>
      <t>E</t>
    </r>
  </si>
  <si>
    <r>
      <t>Total Recycling MTCO</t>
    </r>
    <r>
      <rPr>
        <vertAlign val="subscript"/>
        <sz val="11"/>
        <color theme="1"/>
        <rFont val="Aptos Narrow"/>
        <family val="2"/>
        <scheme val="minor"/>
      </rPr>
      <t>2</t>
    </r>
    <r>
      <rPr>
        <sz val="11"/>
        <color theme="1"/>
        <rFont val="Aptos Narrow"/>
        <family val="2"/>
        <scheme val="minor"/>
      </rPr>
      <t>E</t>
    </r>
  </si>
  <si>
    <r>
      <t>Total Organics MTCO</t>
    </r>
    <r>
      <rPr>
        <vertAlign val="subscript"/>
        <sz val="11"/>
        <color theme="1"/>
        <rFont val="Aptos Narrow"/>
        <family val="2"/>
        <scheme val="minor"/>
      </rPr>
      <t>2</t>
    </r>
    <r>
      <rPr>
        <sz val="11"/>
        <color theme="1"/>
        <rFont val="Aptos Narrow"/>
        <family val="2"/>
        <scheme val="minor"/>
      </rPr>
      <t>E</t>
    </r>
  </si>
  <si>
    <r>
      <t>Total Waste Reduction MTCO</t>
    </r>
    <r>
      <rPr>
        <vertAlign val="subscript"/>
        <sz val="11"/>
        <color theme="1"/>
        <rFont val="Aptos Narrow"/>
        <family val="2"/>
        <scheme val="minor"/>
      </rPr>
      <t>2</t>
    </r>
    <r>
      <rPr>
        <sz val="11"/>
        <color theme="1"/>
        <rFont val="Aptos Narrow"/>
        <family val="2"/>
        <scheme val="minor"/>
      </rPr>
      <t>E</t>
    </r>
  </si>
  <si>
    <r>
      <t>Total MTCO</t>
    </r>
    <r>
      <rPr>
        <b/>
        <vertAlign val="subscript"/>
        <sz val="11"/>
        <color theme="1"/>
        <rFont val="Aptos Narrow"/>
        <family val="2"/>
        <scheme val="minor"/>
      </rPr>
      <t>2</t>
    </r>
    <r>
      <rPr>
        <b/>
        <sz val="11"/>
        <color theme="1"/>
        <rFont val="Aptos Narrow"/>
        <family val="2"/>
        <scheme val="minor"/>
      </rPr>
      <t>E</t>
    </r>
  </si>
  <si>
    <t>TABLE 1 - Current Landfill Container</t>
  </si>
  <si>
    <t>TABLE 3 - Current Recycling Container</t>
  </si>
  <si>
    <t>TABLE 5 - Current Organics Container</t>
  </si>
  <si>
    <t>Estimated Quantity of Material Disposed per Week (Tons)</t>
  </si>
  <si>
    <r>
      <t>WARM MTCO</t>
    </r>
    <r>
      <rPr>
        <b/>
        <vertAlign val="subscript"/>
        <sz val="11"/>
        <color theme="1"/>
        <rFont val="Aptos Narrow"/>
        <family val="2"/>
        <scheme val="minor"/>
      </rPr>
      <t>2</t>
    </r>
    <r>
      <rPr>
        <b/>
        <sz val="11"/>
        <color theme="1"/>
        <rFont val="Aptos Narrow"/>
        <family val="2"/>
        <scheme val="minor"/>
      </rPr>
      <t>E Estimate Landfill (per ton)</t>
    </r>
  </si>
  <si>
    <r>
      <t>Total Landfill MTCO</t>
    </r>
    <r>
      <rPr>
        <b/>
        <vertAlign val="subscript"/>
        <sz val="11"/>
        <color theme="1"/>
        <rFont val="Aptos Narrow"/>
        <family val="2"/>
        <scheme val="minor"/>
      </rPr>
      <t>2</t>
    </r>
    <r>
      <rPr>
        <b/>
        <sz val="11"/>
        <color theme="1"/>
        <rFont val="Aptos Narrow"/>
        <family val="2"/>
        <scheme val="minor"/>
      </rPr>
      <t>E</t>
    </r>
  </si>
  <si>
    <r>
      <t>WARM MTCO</t>
    </r>
    <r>
      <rPr>
        <b/>
        <vertAlign val="subscript"/>
        <sz val="11"/>
        <color theme="1"/>
        <rFont val="Aptos Narrow"/>
        <family val="2"/>
        <scheme val="minor"/>
      </rPr>
      <t>2</t>
    </r>
    <r>
      <rPr>
        <b/>
        <sz val="11"/>
        <color theme="1"/>
        <rFont val="Aptos Narrow"/>
        <family val="2"/>
        <scheme val="minor"/>
      </rPr>
      <t>E Estimate Recycling (per ton)</t>
    </r>
  </si>
  <si>
    <r>
      <t>Total Recycling MTCO</t>
    </r>
    <r>
      <rPr>
        <b/>
        <vertAlign val="subscript"/>
        <sz val="11"/>
        <color theme="1"/>
        <rFont val="Aptos Narrow"/>
        <family val="2"/>
        <scheme val="minor"/>
      </rPr>
      <t>2</t>
    </r>
    <r>
      <rPr>
        <b/>
        <sz val="11"/>
        <color theme="1"/>
        <rFont val="Aptos Narrow"/>
        <family val="2"/>
        <scheme val="minor"/>
      </rPr>
      <t>E</t>
    </r>
  </si>
  <si>
    <r>
      <t>Change (Base - Alternative) MTCO</t>
    </r>
    <r>
      <rPr>
        <b/>
        <vertAlign val="subscript"/>
        <sz val="11"/>
        <rFont val="Aptos Narrow"/>
        <family val="2"/>
        <scheme val="minor"/>
      </rPr>
      <t>2</t>
    </r>
    <r>
      <rPr>
        <b/>
        <sz val="11"/>
        <rFont val="Aptos Narrow"/>
        <family val="2"/>
        <scheme val="minor"/>
      </rPr>
      <t>E</t>
    </r>
  </si>
  <si>
    <r>
      <t>WARM MTCO</t>
    </r>
    <r>
      <rPr>
        <b/>
        <vertAlign val="subscript"/>
        <sz val="10"/>
        <color theme="1"/>
        <rFont val="Arial"/>
        <family val="2"/>
      </rPr>
      <t>2</t>
    </r>
    <r>
      <rPr>
        <b/>
        <sz val="10"/>
        <color theme="1"/>
        <rFont val="Arial"/>
        <family val="2"/>
      </rPr>
      <t>E Estimate Landfill (per ton)</t>
    </r>
  </si>
  <si>
    <r>
      <t>Total Landfill MTCO</t>
    </r>
    <r>
      <rPr>
        <b/>
        <vertAlign val="subscript"/>
        <sz val="10"/>
        <color theme="1"/>
        <rFont val="Arial"/>
        <family val="2"/>
      </rPr>
      <t>2</t>
    </r>
    <r>
      <rPr>
        <b/>
        <sz val="10"/>
        <color theme="1"/>
        <rFont val="Arial"/>
        <family val="2"/>
      </rPr>
      <t>E</t>
    </r>
  </si>
  <si>
    <r>
      <t>Total Recycling MTCO</t>
    </r>
    <r>
      <rPr>
        <b/>
        <vertAlign val="subscript"/>
        <sz val="10"/>
        <color theme="1"/>
        <rFont val="Arial"/>
        <family val="2"/>
      </rPr>
      <t>2</t>
    </r>
    <r>
      <rPr>
        <b/>
        <sz val="10"/>
        <color theme="1"/>
        <rFont val="Arial"/>
        <family val="2"/>
      </rPr>
      <t>E</t>
    </r>
  </si>
  <si>
    <r>
      <t>WARM MTCO</t>
    </r>
    <r>
      <rPr>
        <b/>
        <vertAlign val="subscript"/>
        <sz val="10"/>
        <color theme="1"/>
        <rFont val="Arial"/>
        <family val="2"/>
      </rPr>
      <t>2</t>
    </r>
    <r>
      <rPr>
        <b/>
        <sz val="10"/>
        <color theme="1"/>
        <rFont val="Arial"/>
        <family val="2"/>
      </rPr>
      <t>E Estimate Composting</t>
    </r>
    <r>
      <rPr>
        <b/>
        <sz val="11"/>
        <color theme="1"/>
        <rFont val="Aptos Narrow"/>
        <family val="2"/>
        <scheme val="minor"/>
      </rPr>
      <t xml:space="preserve"> (per ton)</t>
    </r>
  </si>
  <si>
    <r>
      <t>Total Composting MTCO</t>
    </r>
    <r>
      <rPr>
        <b/>
        <vertAlign val="subscript"/>
        <sz val="10"/>
        <color theme="1"/>
        <rFont val="Arial"/>
        <family val="2"/>
      </rPr>
      <t>2</t>
    </r>
    <r>
      <rPr>
        <b/>
        <sz val="10"/>
        <color theme="1"/>
        <rFont val="Arial"/>
        <family val="2"/>
      </rPr>
      <t>E</t>
    </r>
  </si>
  <si>
    <t>TOTAL</t>
  </si>
  <si>
    <t>TABLE 2 - Potential Landfill Container</t>
  </si>
  <si>
    <t>TABLE 4 - Potential Recycling Container</t>
  </si>
  <si>
    <t>TABLE 6 - Potential Organics Container</t>
  </si>
  <si>
    <r>
      <t>Change (Base - Alt) MTCO</t>
    </r>
    <r>
      <rPr>
        <b/>
        <vertAlign val="subscript"/>
        <sz val="10"/>
        <color theme="1"/>
        <rFont val="Arial"/>
        <family val="2"/>
      </rPr>
      <t>2</t>
    </r>
    <r>
      <rPr>
        <b/>
        <sz val="10"/>
        <color theme="1"/>
        <rFont val="Arial"/>
        <family val="2"/>
      </rPr>
      <t>E</t>
    </r>
  </si>
  <si>
    <t>TABLE 7 - Waste Reduction</t>
  </si>
  <si>
    <t>Estimated Tons Reduced</t>
  </si>
  <si>
    <r>
      <t>WARM MTCO</t>
    </r>
    <r>
      <rPr>
        <b/>
        <vertAlign val="subscript"/>
        <sz val="11"/>
        <color theme="1"/>
        <rFont val="Aptos Narrow"/>
        <family val="2"/>
        <scheme val="minor"/>
      </rPr>
      <t>2</t>
    </r>
    <r>
      <rPr>
        <b/>
        <sz val="11"/>
        <color theme="1"/>
        <rFont val="Aptos Narrow"/>
        <family val="2"/>
        <scheme val="minor"/>
      </rPr>
      <t>E Estimate Waste Reduction (per ton)</t>
    </r>
  </si>
  <si>
    <r>
      <t>Total Waste Reduction MTCO</t>
    </r>
    <r>
      <rPr>
        <b/>
        <vertAlign val="subscript"/>
        <sz val="11"/>
        <color theme="1"/>
        <rFont val="Aptos Narrow"/>
        <family val="2"/>
        <scheme val="minor"/>
      </rPr>
      <t>2</t>
    </r>
    <r>
      <rPr>
        <b/>
        <sz val="11"/>
        <color theme="1"/>
        <rFont val="Aptos Narrow"/>
        <family val="2"/>
        <scheme val="minor"/>
      </rPr>
      <t>E</t>
    </r>
  </si>
  <si>
    <r>
      <t>Change (Base - Alt) MTCO</t>
    </r>
    <r>
      <rPr>
        <b/>
        <vertAlign val="subscript"/>
        <sz val="11"/>
        <color theme="1"/>
        <rFont val="Aptos Narrow"/>
        <family val="2"/>
        <scheme val="minor"/>
      </rPr>
      <t>2</t>
    </r>
    <r>
      <rPr>
        <b/>
        <sz val="11"/>
        <color theme="1"/>
        <rFont val="Aptos Narrow"/>
        <family val="2"/>
        <scheme val="minor"/>
      </rPr>
      <t>E</t>
    </r>
  </si>
  <si>
    <r>
      <t>MTCO</t>
    </r>
    <r>
      <rPr>
        <i/>
        <vertAlign val="subscript"/>
        <sz val="11"/>
        <color theme="1"/>
        <rFont val="Aptos Narrow"/>
        <family val="2"/>
        <scheme val="minor"/>
      </rPr>
      <t>2</t>
    </r>
    <r>
      <rPr>
        <i/>
        <sz val="11"/>
        <color theme="1"/>
        <rFont val="Aptos Narrow"/>
        <family val="2"/>
        <scheme val="minor"/>
      </rPr>
      <t>E estimate assumptions were used for categories that the WARM model stated were not applicable.</t>
    </r>
  </si>
  <si>
    <t>GHG Emissions Analysis -- Summary Report</t>
  </si>
  <si>
    <t>Note:  If you wish to save these results, rename this file (e.g., WARM-MN1) and save it.  Then the "Analysis Inputs" sheet of the "WARM" file will be blank when you are ready to make another model run.</t>
  </si>
  <si>
    <r>
      <t>GHG Emissions from Baseline Waste Management (MTCO</t>
    </r>
    <r>
      <rPr>
        <b/>
        <vertAlign val="subscript"/>
        <sz val="10"/>
        <rFont val="Arial"/>
        <family val="2"/>
      </rPr>
      <t>2</t>
    </r>
    <r>
      <rPr>
        <b/>
        <sz val="10"/>
        <rFont val="Arial"/>
        <family val="2"/>
      </rPr>
      <t xml:space="preserve">E):  </t>
    </r>
  </si>
  <si>
    <r>
      <t>GHG Emissions from Alternative Waste Management Scenario (MTCO</t>
    </r>
    <r>
      <rPr>
        <b/>
        <vertAlign val="subscript"/>
        <sz val="10"/>
        <rFont val="Arial"/>
        <family val="2"/>
      </rPr>
      <t>2</t>
    </r>
    <r>
      <rPr>
        <b/>
        <sz val="10"/>
        <rFont val="Arial"/>
        <family val="2"/>
      </rPr>
      <t xml:space="preserve">E):  </t>
    </r>
  </si>
  <si>
    <t>Tons Recycled*</t>
  </si>
  <si>
    <t>Tons Landfilled</t>
  </si>
  <si>
    <t>Tons Combusted</t>
  </si>
  <si>
    <t>Tons Composted</t>
  </si>
  <si>
    <t>Tons Anaerobically Digested</t>
  </si>
  <si>
    <r>
      <t>Total MTCO</t>
    </r>
    <r>
      <rPr>
        <b/>
        <vertAlign val="subscript"/>
        <sz val="8"/>
        <rFont val="Arial"/>
        <family val="2"/>
      </rPr>
      <t>2</t>
    </r>
    <r>
      <rPr>
        <b/>
        <sz val="8"/>
        <rFont val="Arial"/>
        <family val="2"/>
      </rPr>
      <t>E</t>
    </r>
  </si>
  <si>
    <t>Tons Source Reduced</t>
  </si>
  <si>
    <r>
      <t>Change
(Alt - Base) MTCO</t>
    </r>
    <r>
      <rPr>
        <b/>
        <vertAlign val="subscript"/>
        <sz val="8"/>
        <rFont val="Arial"/>
        <family val="2"/>
      </rPr>
      <t>2</t>
    </r>
    <r>
      <rPr>
        <b/>
        <sz val="8"/>
        <rFont val="Arial"/>
        <family val="2"/>
      </rPr>
      <t>E</t>
    </r>
  </si>
  <si>
    <t>Corrugated Containers</t>
  </si>
  <si>
    <t>NA</t>
  </si>
  <si>
    <t>Mixed Paper (general)</t>
  </si>
  <si>
    <t>Yard Trimmings</t>
  </si>
  <si>
    <t>Grass</t>
  </si>
  <si>
    <t>Leaves</t>
  </si>
  <si>
    <t>Branches</t>
  </si>
  <si>
    <t>HDPE</t>
  </si>
  <si>
    <t>PET</t>
  </si>
  <si>
    <t>PP</t>
  </si>
  <si>
    <t>PLA</t>
  </si>
  <si>
    <t>Steel Cans</t>
  </si>
  <si>
    <t>Copper Wire</t>
  </si>
  <si>
    <t>Mixed Metals</t>
  </si>
  <si>
    <t>Mixed MSW</t>
  </si>
  <si>
    <t>LDPE</t>
  </si>
  <si>
    <t>PS</t>
  </si>
  <si>
    <t>Note: a negative value (i.e., a value in parentheses) indicates an emission reduction; a positive value indicates an emission increase.</t>
  </si>
  <si>
    <t>*Wood Flooring and Dimensional Lumber model reuse under the recycling management pathway.</t>
  </si>
  <si>
    <t>a) For explanation of methodology, see the EPA WARM Documentation:</t>
  </si>
  <si>
    <t>Documentation Chapters for Greenhouse Gas Emission and Energy Factors Used in the Waste Reduction Model (WARM)</t>
  </si>
  <si>
    <t>-- available on the Internet at https://www.epa.gov/warm/documentation-chapters-greenhouse-gas-emission-and-energy-factors-used-waste-reduction-model</t>
  </si>
  <si>
    <t>b)  Emissions estimates provided by this model are intended to support voluntary GHG measurement and reporting initiatives.</t>
  </si>
  <si>
    <t>c) The GHG emissions results estimated in WARM indicate the full life-cycle benefits waste management alternatives. Due to the timing of the GHG emissions from the waste management pathways, (e.g., avoided landfilling and increased recycling), the actual GHG implications may accrue over the long-term. Therefore, one should not interpret the GHG emissions implications as occurring all in one year, but rather through time.</t>
  </si>
  <si>
    <t>Bin locations clearly marked</t>
  </si>
  <si>
    <t>Waste removal schedule established and followed</t>
  </si>
  <si>
    <t>Ground and roof covering provided where appropriate</t>
  </si>
  <si>
    <t>Records of hazardous and non-hazardous waste maintained</t>
  </si>
  <si>
    <t>Hazardous waste and non-hazardous waste stored separately</t>
  </si>
  <si>
    <t>Suitable waste indicators usd to track changes</t>
  </si>
  <si>
    <t>Waste disposal companies contracted in writing and invoices retained as records for hazardous and non-hazardous waste</t>
  </si>
  <si>
    <t>Waste minimization program in place</t>
  </si>
  <si>
    <t>Waste separation and recycling program in place</t>
  </si>
  <si>
    <t>Waste removal frequency on site adequate</t>
  </si>
  <si>
    <t>Waste removal container size on site adequate</t>
  </si>
  <si>
    <t>Lids for waste containers provided and used when necessary</t>
  </si>
  <si>
    <t>Excel-Based Toolkit Quick Start Guide</t>
  </si>
  <si>
    <t>The Excel-based Waste Reduction and Recycling Toolkit helps businesses track and reduce waste by collecting data in the field and entering it into an Excel-based tool. The user will identify waste types, estimate volumes, and use calculators to plan cost-saving and sustainable waste strategies.</t>
  </si>
  <si>
    <t>This Quick Start Guide outlines the steps the user needs to take to begin using the Excel-based toolkit to track and improve upon waste reduction and recycling practices. For more detailed instructions, visit the "User Manual" tab.</t>
  </si>
  <si>
    <t>1. Before Starting</t>
  </si>
  <si>
    <r>
      <t xml:space="preserve">This becomes the </t>
    </r>
    <r>
      <rPr>
        <b/>
        <sz val="11"/>
        <color theme="1"/>
        <rFont val="Aptos Narrow"/>
        <family val="2"/>
        <scheme val="minor"/>
      </rPr>
      <t>baseline data</t>
    </r>
    <r>
      <rPr>
        <sz val="11"/>
        <color theme="1"/>
        <rFont val="Aptos Narrow"/>
        <family val="2"/>
        <scheme val="minor"/>
      </rPr>
      <t xml:space="preserve"> for all other tools.</t>
    </r>
  </si>
  <si>
    <t>- The user will get an overview of:</t>
  </si>
  <si>
    <t>- How much waste is produced (landfill, recycling, and organics)</t>
  </si>
  <si>
    <t>Determines if the user's dumpsters are the right size and collected at the right frequency</t>
  </si>
  <si>
    <t>While using this toolkit, if it appears that text is being cut off, the user may increase the row height of the spreadsheet by clicking the row number on the left, then dragging down the bottom edge.</t>
  </si>
  <si>
    <t>If the user needs additional assistance using this Toolkit, please contact ETCOG at 903-218-6400 and ask for the Solid Waste Coordinator.</t>
  </si>
  <si>
    <t>Participation in the Green Business Program and use of the Waste Reduction and Recycling Toolkit are voluntary. While these resources are designed to support sustainable practices, specific outcomes related to waste reduction or increased recycling are not guaranteed. Continued use of the toolkit and implementation of waste reduction and recycling practices may lead to improved results over time. By participating, the user consents to allow the ETCOG to use the information provided for program evaluation, reporting, and promotional purposes.</t>
  </si>
  <si>
    <t>Does every tool in the Toolkit have to be used?</t>
  </si>
  <si>
    <t>No, the user does not have to use every tool in the Toolkit. Howver, the toolkits are intended to be used together to take a comprehensive approach to waste reduction and recycling. At a minimum, the user should complete the Waste Evaluation Toolkit, which is required to be eligible for the Green Business Program, as represented by the green path in Figure 1 below. The other toolkits' usage, represented in blue, is encouraged to provide area businesses with a clearer picture of their current and potential future waste management practices.</t>
  </si>
  <si>
    <t>STEP 1 - In Table 1, Column 1, enter the "Total Capacity of Containers (in Cubic Yards) for each material type (landfilled waste, recycling, and organics) for the month the user is working in. This represents the size of the containers (in cubic yards) used to collect each material type.</t>
  </si>
  <si>
    <t>STEP 2 - In Table 1, Column 2, enter the "Average Percent Full Prior to Collection" for each material type for the month the user is working in. This represents how full the container is immediately prior to being picked up each time.</t>
  </si>
  <si>
    <t>STEP 3 - In Table 1, Column 3, enter the "Number of Weekly Pickups" for each material type for the month the user is working in. This represents the number of times the container for each material type is picked up per week.</t>
  </si>
  <si>
    <r>
      <t>STEP 5 - After filling out the rest of the tools, enter the yellow highlighted value from the summary table in the Carbon Cost Calculator tool into the "MTCO</t>
    </r>
    <r>
      <rPr>
        <b/>
        <vertAlign val="subscript"/>
        <sz val="11"/>
        <color theme="1"/>
        <rFont val="Aptos Narrow"/>
        <family val="2"/>
        <scheme val="minor"/>
      </rPr>
      <t>2</t>
    </r>
    <r>
      <rPr>
        <b/>
        <sz val="11"/>
        <color theme="1"/>
        <rFont val="Aptos Narrow"/>
        <family val="2"/>
        <scheme val="minor"/>
      </rPr>
      <t>E Emissions per Month" row in Column 2 of Table 1 for the month the user is working in.</t>
    </r>
  </si>
  <si>
    <r>
      <t>STEP 6 - Repeat Steps 1-5 for each month after impl</t>
    </r>
    <r>
      <rPr>
        <b/>
        <sz val="11"/>
        <rFont val="Aptos Narrow"/>
        <family val="2"/>
        <scheme val="minor"/>
      </rPr>
      <t>ementing waste reduction efforts by creating a copy of this document, filling out the Waste Composition tool</t>
    </r>
    <r>
      <rPr>
        <b/>
        <sz val="11"/>
        <color theme="1"/>
        <rFont val="Aptos Narrow"/>
        <family val="2"/>
        <scheme val="minor"/>
      </rPr>
      <t>, and filling out Table 1 in the Monthly Tracker for the corresponding month. Compare the recycling rate, organics diversion rate, and monthly costs over time.</t>
    </r>
  </si>
  <si>
    <t>STEP 1 - The user should print and bring this form while surveying their business.</t>
  </si>
  <si>
    <t>STEP 2 - Enter the user's name and the date at the top of the form.</t>
  </si>
  <si>
    <t>STEP 3 - In Column 1, fill in each distinct area of the user's business where trash, recycling, and/or organics is generated. For example, an office building might have cubicles, conference rooms, break rooms, restrooms, and lobbies.</t>
  </si>
  <si>
    <t>The observation checklist is intended to identify whether any waste management aspects of the user's business are sufficient or deficient and to implement corrective action with the responsible individuals.</t>
  </si>
  <si>
    <t>STEP 1 - The user should print and bring this checklist while surveying their business.</t>
  </si>
  <si>
    <t>STEP 2 - Enter the user's name and the date at the top of the checklist.</t>
  </si>
  <si>
    <t>Sufficient bins provided for waste removal</t>
  </si>
  <si>
    <t>Throughout this toolkit, volumes are often presented in cubic yards (CY). Imagine a large box that is 3 feet wide, 3 feet deep, and 3 feet tall. For context, a small washing machine is about 1 cubic yard.</t>
  </si>
  <si>
    <t>STEP 1 - The user should print and bring this form while surveying their business. The user should evaluate the container the day before the container service so that the containers are full.</t>
  </si>
  <si>
    <t>STEP 2 - Enter the user's name and the date at the top of Table 1.</t>
  </si>
  <si>
    <t>STEP 3 - In Table 1, use visual inspection or information from the service provider to enter the total capacity (in cubic yards) of all of the user's business' landfill containers, how full the landfill containers are (as a percentage) when they are picked up, and how many times per week the landfill containers are picked up. Multiplied together, this represents the total quantity of landfill material currently disposed of per week. If the user does not know the size of the landfill containers, contact the service provider or look for a data plate attached to the container with model or size information to search online. Artificial intelligence may be able to estimate the size if the user sends it a photo. The user may need to convert from gallons to CY if the bins are measured in gallons. To convert from gallons to CY, divide the number of gallons by 202.</t>
  </si>
  <si>
    <t>STEP 4 - In Column 1 of Table 2, indicate the percentage of each material category relative to the total contents of the container. Make sure the percentages add to 100%. If the user has multiple containers, indicate the percentage of each material category relative to the total contents of all containers combined. Each material type would have a single percentage that reflects its share of the total waste across all containers.</t>
  </si>
  <si>
    <t>STEP 5 - In Column 5 of Table 2, indicate the percentage of each material category in the container that can be reduced (maximum of 100%) via a reduction in waste generation from the landfill stream. For example, consider what materials are wasted and if the user is able to purchase less materials or change a process to generate less waste.</t>
  </si>
  <si>
    <t>STEP 6 - Once the user has filled out Tables 1 and 2, repeat this process for recycling containers.</t>
  </si>
  <si>
    <t>STEP 7 - If the user's business has recycling containers, enter the user's name and the date at the top of Table 4. If not, enter zeroes in Tables 4 and 5. The cells will show a message of "#DIV/0!"; continue to Step 10.</t>
  </si>
  <si>
    <t>STEP 8 - In Table 4, use visual inspection or information from the service provider to enter the total capacity (in cubic yards) of all of the user's business' recycling containers, how full the recycling containers are (as a percentage) when they are picked up, and how many times per week the recycling containers are picked up. Multiplied together, this represents the total quantity of material currently recycled per week. If the user does not know the size of the recycling containers, contact the service provider or look on the bottom for a model number to search online. Artificial intelligence may be able to estimate the size if the user sends it a photo. The user may need to convert from gallons to CY if the bins are measured in gallons. To convert from gallons to CY, divide the number of gallons by 202.</t>
  </si>
  <si>
    <t>STEP 9 - In Column 1 of Table 5, indicate the percentage of each material category relative to the total contents of the container. Make sure the percentages add to 100%. If the user has multiple containers, indicate the percentage of each material category relative to the total contents of all containers combined. Each material type would have a single percentage that reflects its share of the total waste across all containers.</t>
  </si>
  <si>
    <t>The Current Recycling Rate in the Summary table represents the user's business's current recycling rate. The Potential Recycling Rate represents the potential recycling rate if the recyclable materials currently in the landfill and organics containers are diverted to the recycling container.</t>
  </si>
  <si>
    <t>STEP 11 - Once the user has filled out Tables 5 and 6, repeat this process for organics containers.</t>
  </si>
  <si>
    <t>STEP 12 - If the user's business has organics containers, enter the user's name and the date at the top of Table 7. If not, enter zeroes in Tables 7 and 8. The cells will show a message of "#DIV/0!"; continue to Step 14.</t>
  </si>
  <si>
    <t>STEP 14 - In Column 1 of Table 8, indicate the percentage of each material category relative to the total contents of the container. Make sure the percentages add to 100%. If the user has multiple containers, indicate the percentage of each material category relative to the total contents of all containers combined. Each material type would have a single percentage that reflects its share of the total waste across all containers.</t>
  </si>
  <si>
    <t>The Current Organics Diversion Rate in the Summary table represents the user's business' current organics diversion rate. The Potential Organics Diversion Rate represents the potential organics diversion rate if the organic materials currently in the landfill and recycling containers are diverted to the organics container.</t>
  </si>
  <si>
    <t>STEP 16 - Repeat this exercise for all three streams each month after implementing waste reduction efforts by creating a copy of the Waste Reduction and Recycling Toolkit and filling out Tables 1-9 of the Waste Composition Tool. Compare the recycling rate and organics diversion rate each month to the initial recycling and organics diversion rates.</t>
  </si>
  <si>
    <t>If the user has completed the Waste Composition Tool, the container volumes at the top of Tables 1-6 will automatically populate. If the user chooses not to fill out the Waste Composition Tool, they may enter these values manually.</t>
  </si>
  <si>
    <t>STEP 1 - In Table 1, choose the smallest size container and lowest pickup frequency in the footprint the user's business has available for trash  (i.e., choose the first instance of a "1"). This represents the smallest size container and lowest pickup frequency needed to accommodate the volume of the current landfill stream.</t>
  </si>
  <si>
    <t>STEP 2 - In Table 2, choose the smallest size container and lowest pickup frequency in the footprint the user's business has available for trash (i.e., choose the first instance of a "1"). This represents the smallest size container and lowest pickup frequency needed to accomodate the volume of the landfill stream if waste reduction and increased recycling are implemented.</t>
  </si>
  <si>
    <t>STEP 3 - In Table 3, choose the smallest size container and lowest pickup frequency in the footprint the user's business has available for recycling  (i.e., choose the first instance of a "1"). This represents the smallest size container and lowest pickup frequency needed to accommodate the volume of the current recycling stream.</t>
  </si>
  <si>
    <t>STEP 4 - In Table 4, choose the smallest size container and lowest pickup frequency in the footprint the user's business has available for recycling (i.e., choose the first instance of a "1"). This represents the smallest size container and lowest pickup frequency needed to accomodate the volume of the recycling stream if waste reduction and increased recycling are implemented.</t>
  </si>
  <si>
    <t>STEP 5 - In Table 5, choose the smallest size container and lowest pickup frequency in the footprint the user's business has available for organics  (i.e., choose the first instance of a "1"). This represents the smallest size container and lowest pickup frequency needed to accommodate the volume of the current organics stream.</t>
  </si>
  <si>
    <t>STEP 6 - In Table 6, choose the smallest size container and lowest pickup frequency in the footprint the user's business has available for organics (i.e., choose the first instance of a "1"). This represents the smallest size container and lowest pickup frequency needed to accomodate the volume of the organics stream if waste reduction and increased recycling are implemented.</t>
  </si>
  <si>
    <t>STEP 1 - Table 3 includes default monthly rates for varying container sizes and pickup frequencies for trash. The user may use these default rates or enter in rates from the user's area, if known.</t>
  </si>
  <si>
    <t>STEP 2 - The calculator will highlight the combination of container size and pickup frequency for landfill containers that results in the lowest cost in Table 1, for the current landfill stream. Compare the smallest container size and lowest pickup frequency from Table 1 on the Capacity Calculator tool to the highlighted monthly rate in Table 1 here. Choose the combination of container size and pickup frequency that meets the user's business's needs for the lowest cost.</t>
  </si>
  <si>
    <t>STEP 3 - The calculator will highlight the combination of container size and pickup frequency for landfill containers that results in the lowest cost in Table 2, for the user's potential landfill stream if waste reduction and increased recycling are implemented. Compare the smallest container size and lowest pickup frequency from Table 2 on the Capacity Calculator tool to the highlighted monthly rate in Table 2 here. Choose the combination of container size and pickup frequency that meets the user's business's needs for the lowest cost.</t>
  </si>
  <si>
    <t>STEP 4 - Table 6 includes default monthly rates for varying container sizes and pickup frequencies for recycling. The user may use these default values or enter in rates from the user's area, if known.</t>
  </si>
  <si>
    <t>STEP 5 - The calculator will highlight the combination of container size and pickup frequency for recycling containers that results in the lowest cost in Table 4, for the current recycling stream. Compare the smallest container size and lowest pickup frequency from Table 3 on the Capacity Calculator tool to the highlighted monthly rate in Table 4 here. Choose the combination of container size and pickup frequency that meets the user's business's needs for the lowest cost.</t>
  </si>
  <si>
    <t>STEP 6 - The calculator will highlight the combination of container size and pickup frequency for recycling containers that results in the lowest cost in Table 5, for the potential recycling stream if waste reduction and increased recycling are implemented. Compare the smallest container size and lowest pickup frequency from Table 4 on the Capacity Calculator tool to the highlighted monthly rate in Table 5 here. Choose the combination of container size and pickup frequency that meets the user's business's needs for the lowest cost.</t>
  </si>
  <si>
    <t>STEP 7 - Table 9 includes default monthly rates for varying container sizes and pickup frequencies for organics. The user may use these default values or enter in rates from the user's area, if known.</t>
  </si>
  <si>
    <t>STEP 9 - The calculator will highlight the combination of container size and pickup frequency for organics containers that results in the lowest cost in Table 8, for the potential organics stream if waste reduction and increased recycling are implemented. Compare the smallest container size and lowest pickup frequency from Table 6 on the Capacity Calculator tool to the highlighted monthly rate in Table 8 here. Choose the combination of container size and pickup frequency that meets the user's business's needs for the lowest cost.</t>
  </si>
  <si>
    <t>STEP 1 - In Table 1, enter the user's business's current monthly landfill dumpster costs. This can be estimated by the user, or the user may use the value identified in Table 1 of the Container Cost Calculator tab.</t>
  </si>
  <si>
    <t>STEP 2 - In Table 1, enter the user's business's current monthly recycling dumpster costs. This can be estimated by the user, or the user may use the value identified in Table 4 of the Container Cost Calculator tab.</t>
  </si>
  <si>
    <t>STEP 3 - In Table 1, enter the user's business's current monthly organics dumpster costs. This can be estimated by the user, or the user may use the value identified in Table 7 of the Container Cost Calculator tab.</t>
  </si>
  <si>
    <t>STEP 4 - In Table 1, enter the user's business's revised monthly landfill dumpster costs based on the smallest container size and lowest pickup frequency the user selected from the Capacity Calculator and Cost Calculator tools. This can be estimated by the user, or the user may use the value identified in Table 2 of the Container Cost Calculator tab.</t>
  </si>
  <si>
    <t>STEP 6 - In Table 1, enter the user's business's revised monthly organics dumpster costs based on the smallest container size and lowest pickup frequency the user selected from the Capacity Calculator and Cost Calculator tools. This can be estimated by the user, or the user may use the value identified in Table 8 of the Container Cost Calculator tab.</t>
  </si>
  <si>
    <t>The calculator will generate the yearly cost difference between the user's current and potential future monthly landfill, recycling, and organics dumpster costs.</t>
  </si>
  <si>
    <t>STEP 1 - In Table 2, enter the user's business's annual waste management cost increase or decrease associated with the new piece of equipment.</t>
  </si>
  <si>
    <t>STEP 1 - In Table 3, the default value for the cost reduction per cubic yard has been set at $46.55 per cubic yard. The user may use this value or enter in their own value.</t>
  </si>
  <si>
    <t>STEP 2 - No action is needed from the user for Table 2 if the Waste Composition Tool was completed. Table 2 calculates the number of jobs created for all remaining recycling material categories not accounted for in Table 1. The number of jobs created per 1,000 tons recycled is set at 1.17, based on the U.S. EPA's Recycling Economic Information Report (REI). This number can be used as is, or the user may enter another value. If the Waste Composition Tool was not completed, users can manually enter the current and potential/anticipated tons recycled instead of using the values automatically populated from the results of the Waste Composition Tool.</t>
  </si>
  <si>
    <t>STEP 3 - No action is needed from the user for Table 3 if the Waste Composition Tool was completed. In Table 3, the current number of jobs created per 1,000 tons of organics diverted is set at 0.50, based on an estimate from the Tellus Institute. This number can be used as is, or the user may enter another value. If the Waste Composition Tool was not completed, users can manually enter the current and potential/anticipated tons of organic material diverted instead of using the values automatically populated from the results of the Waste Composition Tool.</t>
  </si>
  <si>
    <r>
      <t>STEP 2 - The MTCO</t>
    </r>
    <r>
      <rPr>
        <b/>
        <vertAlign val="subscript"/>
        <sz val="11"/>
        <color theme="1"/>
        <rFont val="Aptos Narrow"/>
        <family val="2"/>
        <scheme val="minor"/>
      </rPr>
      <t>2</t>
    </r>
    <r>
      <rPr>
        <b/>
        <sz val="11"/>
        <color theme="1"/>
        <rFont val="Aptos Narrow"/>
        <family val="2"/>
        <scheme val="minor"/>
      </rPr>
      <t>E for the month analyzed is provided at the bottom of the MTCO</t>
    </r>
    <r>
      <rPr>
        <b/>
        <vertAlign val="subscript"/>
        <sz val="11"/>
        <color theme="1"/>
        <rFont val="Aptos Narrow"/>
        <family val="2"/>
        <scheme val="minor"/>
      </rPr>
      <t>2</t>
    </r>
    <r>
      <rPr>
        <b/>
        <sz val="11"/>
        <color theme="1"/>
        <rFont val="Aptos Narrow"/>
        <family val="2"/>
        <scheme val="minor"/>
      </rPr>
      <t>E Impact Summary table. For the month the user is working in, enter this value in the "MTCO</t>
    </r>
    <r>
      <rPr>
        <b/>
        <vertAlign val="subscript"/>
        <sz val="11"/>
        <color theme="1"/>
        <rFont val="Aptos Narrow"/>
        <family val="2"/>
        <scheme val="minor"/>
      </rPr>
      <t>2</t>
    </r>
    <r>
      <rPr>
        <b/>
        <sz val="11"/>
        <color theme="1"/>
        <rFont val="Aptos Narrow"/>
        <family val="2"/>
        <scheme val="minor"/>
      </rPr>
      <t>E Emissions per Month" row of Table 1, Column 2 in the Monthly Tracker tool.</t>
    </r>
  </si>
  <si>
    <t>Note that the EPA's WARM tool assumes Wood Pallets and Yard Waste have carbon emissions avoidance when landfilling the material. The value this calculator assumes is an average carbon increase.</t>
  </si>
  <si>
    <t>- Print the following forms to take into the field:</t>
  </si>
  <si>
    <r>
      <t xml:space="preserve">- Walk through the user's entire facility using the </t>
    </r>
    <r>
      <rPr>
        <b/>
        <sz val="11"/>
        <color theme="1"/>
        <rFont val="Aptos Narrow"/>
        <family val="2"/>
        <scheme val="minor"/>
      </rPr>
      <t xml:space="preserve">Facility Survey </t>
    </r>
    <r>
      <rPr>
        <sz val="11"/>
        <color theme="1"/>
        <rFont val="Aptos Narrow"/>
        <family val="2"/>
        <scheme val="minor"/>
      </rPr>
      <t xml:space="preserve">and </t>
    </r>
    <r>
      <rPr>
        <b/>
        <sz val="11"/>
        <color theme="1"/>
        <rFont val="Aptos Narrow"/>
        <family val="2"/>
        <scheme val="minor"/>
      </rPr>
      <t>Observation Checklist</t>
    </r>
    <r>
      <rPr>
        <sz val="11"/>
        <color theme="1"/>
        <rFont val="Aptos Narrow"/>
        <family val="2"/>
        <scheme val="minor"/>
      </rPr>
      <t>.</t>
    </r>
  </si>
  <si>
    <t>4. Enter Data in the Toolkit (Excel)</t>
  </si>
  <si>
    <t>These tools help the user analyze their data and plan improvements:</t>
  </si>
  <si>
    <t>Throughout the toolkit, values that require an input from the user with the user's business's information are denoted with a blue background. Numbers with a green background denote default values that can either be used as is, or the user may enter their own values in place of these. Values with a white background represent outputs calculated based off of blue and green input values.</t>
  </si>
  <si>
    <t>STEP 4 - In Table 1, Column 2, enter the "Total Monthly Landfill Cost", "Total Monthly Recycling Cost", and "Total Monthly Organics Cost" for the month the user is working in. This represents the total monthly cost the user's business pays for each material type.</t>
  </si>
  <si>
    <t xml:space="preserve">The facility survey is intended to identify what types of materials are generated in each physical area of the user's business, as well as potential waste reduction strategies for each material type. </t>
  </si>
  <si>
    <t>STEP 3 - For each item description in the far-left column of the checklist, indicate whether that activity is sufficient or deficient (or is not applicable to the user's business).</t>
  </si>
  <si>
    <t>STEP 13: In Table 7, use visual inspection or information from the service provider to enter the total capacity (in cubic yards) of all of the user's business' organics containers, how full the organics containers are (as a percentage) when they are picked up, and how many times per week the organics containers are picked up. Multiplied together, this represents the total quantity of organic material currently diverted per week. If the user does not know the size of their organics containers, contact the service provider or look on the bottom for a model number to search online. Artificial intelligence may be able to estimate the size if the user sends it a photo. The user may need to convert from gallons to CY if the bins are measured in gallons. To convert from gallons to CY, divide the number of gallons by 202.</t>
  </si>
  <si>
    <t>Note that for each table below, rolloffs are analyzed separately from carts and dumpsters. In some cases, roll-offs may be the most cost-effective option. However, many business locations do not have room for a roll-off container. If the Container Capacity Calculator and Cost Calculator recommend a roll-off container and the user's business has space for a roll-off container, the user may pursue the rolloff size and pickup frequency recommended by the Container Capacity Calculator and Cost Calculator. If the user's business does not have space for a rolloff container, then choose a cart or dumpster with the smallest size, lowest pickup frequency, and lowest cost that provides sufficient service.</t>
  </si>
  <si>
    <t>STEP 8 - The calculator will highlight the combination of container size and pickup frequency for organics containers that results in the lowest cost in Table 7, for the current organics stream. Compare the smallest container size and lowest pickup frequency from Table 5 on the Capacity Calculator tool to the highlighted monthly rate in Table 7 here. Choose the combination of container size and pickup frequency that meets the user's business's needs for the lowest cost.</t>
  </si>
  <si>
    <t>STEP 5 - In Table 1, enter the revised monthly recycling dumpster costs based on the smallest container size and lowest pickup frequency the user selected from the Capacity Calculator and Cost Calculator tools. This can be estimated by the user, or the user may use the value identified in Table 5 of the Container Cost Calculator tab.</t>
  </si>
  <si>
    <t>1. The Labor Cost assumes 2,080 labor hours per year and $20/hour for one person, and a 10% reduction in headcount by installing the new equipment. The user may leave this value as is or enter in their own value.</t>
  </si>
  <si>
    <t>STEP 3 - See Step 16 on the Waste Composition tool. For each month that the user creates a copy of this document and fills out Tables 1-9 on the Waste Composition tool, compare the resulting carbon avoidance on this tool to the initial carbon avoidance in the first month.</t>
  </si>
  <si>
    <t>Tabs Explained</t>
  </si>
  <si>
    <t>Version 16</t>
  </si>
  <si>
    <t>GHG Emissions Waste Management Analysis for</t>
  </si>
  <si>
    <t>Prepared by:</t>
  </si>
  <si>
    <t>Project Period for this Analysis: 01/00/00 to 01/00/00</t>
  </si>
  <si>
    <t>Waste Reduction and Recycling Toolkit</t>
  </si>
  <si>
    <t>Waste Reduction and Recycling Toolkit Program Dashboard</t>
  </si>
  <si>
    <t>Landfill and Recycling Hauling Cost Calculator</t>
  </si>
  <si>
    <t xml:space="preserve">Select tools can be completed without completing the Waste Evaluation Toolkit, as described below: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</si>
</sst>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_(* #,##0.0_);_(* \(#,##0.0\);_(* &quot;-&quot;??_);_(@_)"/>
    <numFmt numFmtId="167" formatCode="0.00_);\(0.00\)"/>
    <numFmt numFmtId="168" formatCode="mm/dd/yy"/>
    <numFmt numFmtId="169" formatCode="General_)"/>
    <numFmt numFmtId="170" formatCode="0.00000%"/>
    <numFmt numFmtId="171" formatCode="_(* #,##0.000_);_(* \(#,##0.000\);_(* &quot;-&quot;??_);_(@_)"/>
    <numFmt numFmtId="172" formatCode="_(* #,##0.0000_);_(* \(#,##0.0000\);_(* &quot;-&quot;??_);_(@_)"/>
  </numFmts>
  <fonts count="56">
    <font>
      <sz val="11"/>
      <color theme="1"/>
      <name val="Aptos Narrow"/>
      <family val="2"/>
      <scheme val="minor"/>
    </font>
    <font>
      <sz val="11"/>
      <color theme="1"/>
      <name val="Aptos Narrow"/>
      <family val="2"/>
      <scheme val="minor"/>
    </font>
    <font>
      <b/>
      <sz val="11"/>
      <color theme="1"/>
      <name val="Aptos Narrow"/>
      <family val="2"/>
      <scheme val="minor"/>
    </font>
    <font>
      <u/>
      <sz val="11"/>
      <color theme="10"/>
      <name val="Aptos Narrow"/>
      <family val="2"/>
      <scheme val="minor"/>
    </font>
    <font>
      <i/>
      <sz val="11"/>
      <color theme="1"/>
      <name val="Aptos Narrow"/>
      <family val="2"/>
      <scheme val="minor"/>
    </font>
    <font>
      <sz val="10"/>
      <color theme="1"/>
      <name val="Arial"/>
      <family val="2"/>
    </font>
    <font>
      <b/>
      <sz val="10"/>
      <color theme="1"/>
      <name val="Arial"/>
      <family val="2"/>
    </font>
    <font>
      <b/>
      <i/>
      <sz val="10"/>
      <color theme="1"/>
      <name val="Arial"/>
      <family val="2"/>
    </font>
    <font>
      <sz val="10"/>
      <name val="Arial"/>
      <family val="2"/>
    </font>
    <font>
      <sz val="12"/>
      <color theme="1"/>
      <name val="Aptos Narrow"/>
      <family val="2"/>
      <scheme val="minor"/>
    </font>
    <font>
      <b/>
      <sz val="12"/>
      <name val="Aptos Narrow"/>
      <family val="2"/>
      <scheme val="minor"/>
    </font>
    <font>
      <sz val="12"/>
      <name val="Aptos Narrow"/>
      <family val="2"/>
      <scheme val="minor"/>
    </font>
    <font>
      <b/>
      <sz val="11"/>
      <name val="Aptos Narrow"/>
      <family val="2"/>
      <scheme val="minor"/>
    </font>
    <font>
      <sz val="11"/>
      <name val="Aptos Narrow"/>
      <family val="2"/>
      <scheme val="minor"/>
    </font>
    <font>
      <sz val="8"/>
      <name val="Aptos Narrow"/>
      <family val="2"/>
      <scheme val="minor"/>
    </font>
    <font>
      <b/>
      <sz val="10"/>
      <name val="Arial"/>
      <family val="2"/>
    </font>
    <font>
      <b/>
      <sz val="20"/>
      <color theme="1"/>
      <name val="Arial"/>
      <family val="2"/>
    </font>
    <font>
      <sz val="11"/>
      <color theme="1"/>
      <name val="Arial"/>
      <family val="2"/>
    </font>
    <font>
      <b/>
      <sz val="20"/>
      <color theme="1"/>
      <name val="Aptos Narrow"/>
      <family val="2"/>
      <scheme val="minor"/>
    </font>
    <font>
      <sz val="8"/>
      <name val="Helv"/>
    </font>
    <font>
      <i/>
      <sz val="10"/>
      <name val="Arial"/>
      <family val="2"/>
    </font>
    <font>
      <sz val="10"/>
      <color rgb="FFFF0000"/>
      <name val="Arial"/>
      <family val="2"/>
    </font>
    <font>
      <sz val="8"/>
      <name val="Arial"/>
      <family val="2"/>
    </font>
    <font>
      <u/>
      <sz val="10"/>
      <color indexed="12"/>
      <name val="Arial"/>
      <family val="2"/>
    </font>
    <font>
      <vertAlign val="superscript"/>
      <sz val="10"/>
      <name val="Arial"/>
      <family val="2"/>
    </font>
    <font>
      <b/>
      <sz val="14"/>
      <name val="Arial"/>
      <family val="2"/>
    </font>
    <font>
      <i/>
      <sz val="8"/>
      <color indexed="10"/>
      <name val="Arial"/>
      <family val="2"/>
    </font>
    <font>
      <b/>
      <vertAlign val="subscript"/>
      <sz val="10"/>
      <name val="Arial"/>
      <family val="2"/>
    </font>
    <font>
      <b/>
      <sz val="8"/>
      <name val="Arial"/>
      <family val="2"/>
    </font>
    <font>
      <b/>
      <sz val="12"/>
      <name val="Arial"/>
      <family val="2"/>
    </font>
    <font>
      <vertAlign val="subscript"/>
      <sz val="10"/>
      <name val="Arial"/>
      <family val="2"/>
    </font>
    <font>
      <b/>
      <u/>
      <sz val="11"/>
      <color theme="1"/>
      <name val="Aptos Narrow"/>
      <family val="2"/>
      <scheme val="minor"/>
    </font>
    <font>
      <vertAlign val="superscript"/>
      <sz val="11"/>
      <color theme="1"/>
      <name val="Aptos Narrow"/>
      <family val="2"/>
      <scheme val="minor"/>
    </font>
    <font>
      <b/>
      <vertAlign val="subscript"/>
      <sz val="11"/>
      <color theme="1"/>
      <name val="Aptos Narrow"/>
      <family val="2"/>
      <scheme val="minor"/>
    </font>
    <font>
      <vertAlign val="subscript"/>
      <sz val="11"/>
      <color theme="1"/>
      <name val="Aptos Narrow"/>
      <family val="2"/>
      <scheme val="minor"/>
    </font>
    <font>
      <b/>
      <vertAlign val="superscript"/>
      <sz val="11"/>
      <color theme="1"/>
      <name val="Aptos Narrow"/>
      <family val="2"/>
      <scheme val="minor"/>
    </font>
    <font>
      <sz val="10"/>
      <color theme="1"/>
      <name val="Aptos Narrow"/>
      <family val="2"/>
      <scheme val="minor"/>
    </font>
    <font>
      <b/>
      <sz val="11"/>
      <color rgb="FFFF0000"/>
      <name val="Aptos Narrow"/>
      <family val="2"/>
      <scheme val="minor"/>
    </font>
    <font>
      <b/>
      <sz val="18"/>
      <color theme="1"/>
      <name val="Aptos Narrow"/>
      <family val="2"/>
      <scheme val="minor"/>
    </font>
    <font>
      <b/>
      <sz val="20"/>
      <name val="Arial"/>
      <family val="2"/>
    </font>
    <font>
      <sz val="22"/>
      <color theme="1"/>
      <name val="Arial"/>
      <family val="2"/>
    </font>
    <font>
      <b/>
      <sz val="11"/>
      <color theme="0"/>
      <name val="Aptos Narrow"/>
      <family val="2"/>
      <scheme val="minor"/>
    </font>
    <font>
      <b/>
      <vertAlign val="subscript"/>
      <sz val="20"/>
      <name val="Arial"/>
      <family val="2"/>
    </font>
    <font>
      <b/>
      <vertAlign val="subscript"/>
      <sz val="10"/>
      <color theme="1"/>
      <name val="Arial"/>
      <family val="2"/>
    </font>
    <font>
      <i/>
      <vertAlign val="subscript"/>
      <sz val="11"/>
      <color theme="1"/>
      <name val="Aptos Narrow"/>
      <family val="2"/>
      <scheme val="minor"/>
    </font>
    <font>
      <b/>
      <vertAlign val="subscript"/>
      <sz val="8"/>
      <name val="Arial"/>
      <family val="2"/>
    </font>
    <font>
      <b/>
      <vertAlign val="superscript"/>
      <sz val="20"/>
      <color theme="1"/>
      <name val="Aptos Narrow"/>
      <family val="2"/>
      <scheme val="minor"/>
    </font>
    <font>
      <b/>
      <vertAlign val="superscript"/>
      <sz val="11"/>
      <name val="Aptos Narrow"/>
      <family val="2"/>
      <scheme val="minor"/>
    </font>
    <font>
      <b/>
      <vertAlign val="superscript"/>
      <sz val="12"/>
      <name val="Aptos Narrow"/>
      <family val="2"/>
      <scheme val="minor"/>
    </font>
    <font>
      <sz val="11"/>
      <color rgb="FFFF0000"/>
      <name val="Aptos Narrow"/>
      <family val="2"/>
      <scheme val="minor"/>
    </font>
    <font>
      <b/>
      <sz val="20"/>
      <name val="Aptos Narrow"/>
      <family val="2"/>
      <scheme val="minor"/>
    </font>
    <font>
      <b/>
      <vertAlign val="subscript"/>
      <sz val="11"/>
      <name val="Aptos Narrow"/>
      <family val="2"/>
      <scheme val="minor"/>
    </font>
    <font>
      <sz val="8"/>
      <color rgb="FFFF0000"/>
      <name val="Arial"/>
      <family val="2"/>
    </font>
    <font>
      <b/>
      <u/>
      <sz val="11"/>
      <name val="Aptos Narrow"/>
      <family val="2"/>
      <scheme val="minor"/>
    </font>
    <font>
      <b/>
      <sz val="22"/>
      <color rgb="FF20672B"/>
      <name val="Aptos Narrow"/>
      <family val="2"/>
      <scheme val="minor"/>
    </font>
    <font>
      <b/>
      <sz val="18"/>
      <color theme="1"/>
      <name val="Segoe UI Emoji"/>
      <family val="2"/>
    </font>
  </fonts>
  <fills count="22">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0" tint="-0.34998626667073579"/>
        <bgColor indexed="64"/>
      </patternFill>
    </fill>
    <fill>
      <patternFill patternType="solid">
        <fgColor theme="3" tint="0.89999084444715716"/>
        <bgColor indexed="64"/>
      </patternFill>
    </fill>
    <fill>
      <patternFill patternType="solid">
        <fgColor theme="0" tint="-4.9989318521683403E-2"/>
        <bgColor indexed="64"/>
      </patternFill>
    </fill>
    <fill>
      <patternFill patternType="solid">
        <fgColor indexed="22"/>
        <bgColor indexed="64"/>
      </patternFill>
    </fill>
    <fill>
      <patternFill patternType="solid">
        <fgColor indexed="9"/>
        <bgColor indexed="64"/>
      </patternFill>
    </fill>
    <fill>
      <patternFill patternType="solid">
        <fgColor rgb="FFFFC000"/>
        <bgColor indexed="64"/>
      </patternFill>
    </fill>
    <fill>
      <patternFill patternType="solid">
        <fgColor rgb="FF00B0F0"/>
        <bgColor indexed="64"/>
      </patternFill>
    </fill>
    <fill>
      <patternFill patternType="solid">
        <fgColor theme="9" tint="0.79998168889431442"/>
        <bgColor indexed="64"/>
      </patternFill>
    </fill>
    <fill>
      <patternFill patternType="solid">
        <fgColor theme="6" tint="0.59999389629810485"/>
        <bgColor indexed="64"/>
      </patternFill>
    </fill>
    <fill>
      <patternFill patternType="solid">
        <fgColor rgb="FF83E28E"/>
        <bgColor indexed="64"/>
      </patternFill>
    </fill>
    <fill>
      <patternFill patternType="solid">
        <fgColor theme="0" tint="-0.249977111117893"/>
        <bgColor indexed="64"/>
      </patternFill>
    </fill>
    <fill>
      <patternFill patternType="solid">
        <fgColor rgb="FF00B050"/>
        <bgColor indexed="64"/>
      </patternFill>
    </fill>
    <fill>
      <patternFill patternType="solid">
        <fgColor rgb="FFFF0000"/>
        <bgColor indexed="64"/>
      </patternFill>
    </fill>
    <fill>
      <patternFill patternType="solid">
        <fgColor rgb="FF0070C0"/>
        <bgColor indexed="64"/>
      </patternFill>
    </fill>
    <fill>
      <patternFill patternType="solid">
        <fgColor rgb="FF7030A0"/>
        <bgColor indexed="64"/>
      </patternFill>
    </fill>
    <fill>
      <patternFill patternType="solid">
        <fgColor rgb="FF92D050"/>
        <bgColor indexed="64"/>
      </patternFill>
    </fill>
    <fill>
      <patternFill patternType="solid">
        <fgColor rgb="FFC00000"/>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s>
  <cellStyleXfs count="11">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xf numFmtId="0" fontId="8" fillId="0" borderId="0"/>
    <xf numFmtId="43" fontId="8" fillId="0" borderId="0" applyFont="0" applyFill="0" applyBorder="0" applyAlignment="0" applyProtection="0"/>
    <xf numFmtId="9" fontId="8" fillId="0" borderId="0" applyFont="0" applyFill="0" applyBorder="0" applyAlignment="0" applyProtection="0"/>
    <xf numFmtId="0" fontId="23" fillId="0" borderId="0" applyNumberFormat="0" applyFill="0" applyBorder="0" applyAlignment="0" applyProtection="0">
      <alignment vertical="top"/>
      <protection locked="0"/>
    </xf>
    <xf numFmtId="44" fontId="8" fillId="0" borderId="0" applyFont="0" applyFill="0" applyBorder="0" applyAlignment="0" applyProtection="0"/>
    <xf numFmtId="169" fontId="19" fillId="0" borderId="0"/>
  </cellStyleXfs>
  <cellXfs count="789">
    <xf numFmtId="0" fontId="0" fillId="0" borderId="0" xfId="0"/>
    <xf numFmtId="0" fontId="2" fillId="0" borderId="0" xfId="0" applyFont="1"/>
    <xf numFmtId="0" fontId="0" fillId="0" borderId="1" xfId="0" applyBorder="1"/>
    <xf numFmtId="164" fontId="0" fillId="0" borderId="1" xfId="2" applyNumberFormat="1" applyFont="1" applyBorder="1"/>
    <xf numFmtId="0" fontId="2" fillId="3" borderId="0" xfId="0" applyFont="1" applyFill="1"/>
    <xf numFmtId="0" fontId="0" fillId="3" borderId="0" xfId="0" applyFill="1"/>
    <xf numFmtId="0" fontId="2" fillId="3" borderId="1" xfId="0" applyFont="1" applyFill="1" applyBorder="1" applyAlignment="1">
      <alignment horizontal="center"/>
    </xf>
    <xf numFmtId="0" fontId="0" fillId="3" borderId="1" xfId="0" applyFill="1" applyBorder="1"/>
    <xf numFmtId="0" fontId="12" fillId="3" borderId="1" xfId="0" applyFont="1" applyFill="1" applyBorder="1" applyAlignment="1">
      <alignment horizontal="center"/>
    </xf>
    <xf numFmtId="0" fontId="2" fillId="0" borderId="1" xfId="0" applyFont="1" applyBorder="1" applyAlignment="1">
      <alignment horizontal="center"/>
    </xf>
    <xf numFmtId="0" fontId="13" fillId="3" borderId="0" xfId="0" applyFont="1" applyFill="1"/>
    <xf numFmtId="164" fontId="2" fillId="0" borderId="1" xfId="2" applyNumberFormat="1" applyFont="1" applyBorder="1"/>
    <xf numFmtId="165" fontId="2" fillId="0" borderId="1" xfId="1" applyNumberFormat="1" applyFont="1" applyBorder="1" applyAlignment="1">
      <alignment horizontal="center"/>
    </xf>
    <xf numFmtId="43" fontId="0" fillId="0" borderId="1" xfId="0" applyNumberFormat="1" applyBorder="1"/>
    <xf numFmtId="0" fontId="2" fillId="0" borderId="1" xfId="0" applyFont="1" applyBorder="1" applyAlignment="1">
      <alignment horizontal="center" vertical="center"/>
    </xf>
    <xf numFmtId="0" fontId="0" fillId="0" borderId="1" xfId="0" applyBorder="1" applyAlignment="1">
      <alignment horizontal="center" vertical="center"/>
    </xf>
    <xf numFmtId="0" fontId="2" fillId="0" borderId="1" xfId="0" applyFont="1" applyBorder="1" applyAlignment="1">
      <alignment horizontal="center" vertical="center" wrapText="1"/>
    </xf>
    <xf numFmtId="0" fontId="0" fillId="0" borderId="1" xfId="0" applyBorder="1" applyAlignment="1">
      <alignment horizontal="center" vertical="center" wrapText="1"/>
    </xf>
    <xf numFmtId="3" fontId="0" fillId="0" borderId="1" xfId="0" applyNumberFormat="1" applyBorder="1" applyAlignment="1">
      <alignment horizontal="center" vertical="center"/>
    </xf>
    <xf numFmtId="167" fontId="13" fillId="7" borderId="1" xfId="3" applyNumberFormat="1" applyFont="1" applyFill="1" applyBorder="1" applyAlignment="1">
      <alignment horizontal="center"/>
    </xf>
    <xf numFmtId="43" fontId="22" fillId="9" borderId="23" xfId="6" applyFont="1" applyFill="1" applyBorder="1" applyAlignment="1">
      <alignment horizontal="right"/>
    </xf>
    <xf numFmtId="43" fontId="22" fillId="9" borderId="24" xfId="6" applyFont="1" applyFill="1" applyBorder="1" applyAlignment="1">
      <alignment horizontal="right"/>
    </xf>
    <xf numFmtId="39" fontId="22" fillId="9" borderId="25" xfId="6" applyNumberFormat="1" applyFont="1" applyFill="1" applyBorder="1" applyAlignment="1">
      <alignment horizontal="right"/>
    </xf>
    <xf numFmtId="43" fontId="22" fillId="9" borderId="1" xfId="6" applyFont="1" applyFill="1" applyBorder="1" applyAlignment="1">
      <alignment horizontal="right"/>
    </xf>
    <xf numFmtId="43" fontId="22" fillId="9" borderId="27" xfId="6" applyFont="1" applyFill="1" applyBorder="1" applyAlignment="1">
      <alignment horizontal="right"/>
    </xf>
    <xf numFmtId="43" fontId="22" fillId="9" borderId="29" xfId="6" applyFont="1" applyFill="1" applyBorder="1" applyAlignment="1">
      <alignment horizontal="right"/>
    </xf>
    <xf numFmtId="43" fontId="22" fillId="9" borderId="30" xfId="6" applyFont="1" applyFill="1" applyBorder="1" applyAlignment="1">
      <alignment horizontal="right"/>
    </xf>
    <xf numFmtId="39" fontId="22" fillId="9" borderId="31" xfId="6" applyNumberFormat="1" applyFont="1" applyFill="1" applyBorder="1" applyAlignment="1">
      <alignment horizontal="right"/>
    </xf>
    <xf numFmtId="165" fontId="22" fillId="9" borderId="0" xfId="6" applyNumberFormat="1" applyFont="1" applyFill="1" applyBorder="1" applyAlignment="1">
      <alignment horizontal="right"/>
    </xf>
    <xf numFmtId="165" fontId="15" fillId="3" borderId="0" xfId="6" applyNumberFormat="1" applyFont="1" applyFill="1" applyBorder="1" applyAlignment="1"/>
    <xf numFmtId="170" fontId="15" fillId="3" borderId="0" xfId="7" applyNumberFormat="1" applyFont="1" applyFill="1" applyBorder="1" applyAlignment="1"/>
    <xf numFmtId="43" fontId="0" fillId="0" borderId="1" xfId="1" applyFont="1" applyBorder="1"/>
    <xf numFmtId="166" fontId="0" fillId="0" borderId="1" xfId="1" applyNumberFormat="1" applyFont="1" applyBorder="1"/>
    <xf numFmtId="37" fontId="2" fillId="0" borderId="26" xfId="1" applyNumberFormat="1" applyFont="1" applyFill="1" applyBorder="1" applyAlignment="1" applyProtection="1">
      <alignment horizontal="center" vertical="center"/>
    </xf>
    <xf numFmtId="0" fontId="2" fillId="0" borderId="27" xfId="0" applyFont="1" applyBorder="1" applyAlignment="1">
      <alignment horizontal="center" vertical="center" wrapText="1"/>
    </xf>
    <xf numFmtId="3" fontId="0" fillId="0" borderId="27" xfId="0" applyNumberFormat="1" applyBorder="1" applyAlignment="1">
      <alignment horizontal="center" vertical="center"/>
    </xf>
    <xf numFmtId="0" fontId="0" fillId="0" borderId="29" xfId="0" applyBorder="1" applyAlignment="1">
      <alignment horizontal="center" vertical="center" wrapText="1"/>
    </xf>
    <xf numFmtId="3" fontId="0" fillId="0" borderId="29" xfId="0" applyNumberFormat="1" applyBorder="1" applyAlignment="1">
      <alignment horizontal="center" vertical="center"/>
    </xf>
    <xf numFmtId="3" fontId="0" fillId="0" borderId="30" xfId="0" applyNumberFormat="1" applyBorder="1" applyAlignment="1">
      <alignment horizontal="center" vertical="center"/>
    </xf>
    <xf numFmtId="167" fontId="13" fillId="7" borderId="26" xfId="3" applyNumberFormat="1" applyFont="1" applyFill="1" applyBorder="1" applyAlignment="1">
      <alignment horizontal="center"/>
    </xf>
    <xf numFmtId="167" fontId="13" fillId="7" borderId="27" xfId="3" applyNumberFormat="1" applyFont="1" applyFill="1" applyBorder="1" applyAlignment="1">
      <alignment horizontal="center"/>
    </xf>
    <xf numFmtId="0" fontId="9" fillId="0" borderId="26" xfId="0" applyFont="1" applyBorder="1" applyAlignment="1">
      <alignment horizontal="center" vertical="center"/>
    </xf>
    <xf numFmtId="164" fontId="0" fillId="0" borderId="27" xfId="2" applyNumberFormat="1" applyFont="1" applyBorder="1"/>
    <xf numFmtId="0" fontId="9" fillId="0" borderId="26" xfId="0" applyFont="1" applyBorder="1" applyAlignment="1">
      <alignment horizontal="center" vertical="center" wrapText="1"/>
    </xf>
    <xf numFmtId="0" fontId="9" fillId="0" borderId="28" xfId="0" applyFont="1" applyBorder="1" applyAlignment="1">
      <alignment horizontal="center" vertical="center" wrapText="1"/>
    </xf>
    <xf numFmtId="164" fontId="0" fillId="0" borderId="29" xfId="2" applyNumberFormat="1" applyFont="1" applyBorder="1"/>
    <xf numFmtId="164" fontId="0" fillId="0" borderId="30" xfId="2" applyNumberFormat="1" applyFont="1" applyBorder="1"/>
    <xf numFmtId="0" fontId="0" fillId="0" borderId="26" xfId="0" applyBorder="1"/>
    <xf numFmtId="0" fontId="0" fillId="0" borderId="13" xfId="0" applyBorder="1"/>
    <xf numFmtId="0" fontId="2" fillId="0" borderId="26" xfId="0" applyFont="1" applyBorder="1"/>
    <xf numFmtId="0" fontId="2" fillId="0" borderId="27" xfId="0" applyFont="1" applyBorder="1" applyAlignment="1">
      <alignment horizontal="center"/>
    </xf>
    <xf numFmtId="165" fontId="0" fillId="0" borderId="27" xfId="1" applyNumberFormat="1" applyFont="1" applyBorder="1"/>
    <xf numFmtId="0" fontId="2" fillId="0" borderId="26" xfId="0" applyFont="1" applyBorder="1" applyAlignment="1">
      <alignment horizontal="center"/>
    </xf>
    <xf numFmtId="0" fontId="0" fillId="0" borderId="27" xfId="0" applyBorder="1" applyAlignment="1">
      <alignment horizontal="right"/>
    </xf>
    <xf numFmtId="43" fontId="0" fillId="0" borderId="27" xfId="0" applyNumberFormat="1" applyBorder="1"/>
    <xf numFmtId="43" fontId="0" fillId="3" borderId="1" xfId="1" applyFont="1" applyFill="1" applyBorder="1"/>
    <xf numFmtId="44" fontId="0" fillId="3" borderId="1" xfId="2" applyFont="1" applyFill="1" applyBorder="1" applyAlignment="1"/>
    <xf numFmtId="44" fontId="1" fillId="3" borderId="1" xfId="2" applyFont="1" applyFill="1" applyBorder="1"/>
    <xf numFmtId="43" fontId="1" fillId="3" borderId="1" xfId="1" applyFont="1" applyFill="1" applyBorder="1"/>
    <xf numFmtId="0" fontId="2" fillId="7" borderId="1" xfId="0" applyFont="1" applyFill="1" applyBorder="1" applyAlignment="1">
      <alignment horizontal="center"/>
    </xf>
    <xf numFmtId="0" fontId="2" fillId="3" borderId="0" xfId="0" applyFont="1" applyFill="1" applyAlignment="1">
      <alignment vertical="top"/>
    </xf>
    <xf numFmtId="0" fontId="0" fillId="3" borderId="0" xfId="0" applyFill="1" applyAlignment="1">
      <alignment horizontal="left" wrapText="1"/>
    </xf>
    <xf numFmtId="43" fontId="0" fillId="0" borderId="1" xfId="1" applyFont="1" applyFill="1" applyBorder="1"/>
    <xf numFmtId="43" fontId="0" fillId="3" borderId="1" xfId="0" applyNumberFormat="1" applyFill="1" applyBorder="1"/>
    <xf numFmtId="164" fontId="12" fillId="3" borderId="1" xfId="2" applyNumberFormat="1" applyFont="1" applyFill="1" applyBorder="1"/>
    <xf numFmtId="43" fontId="0" fillId="5" borderId="1" xfId="1" applyFont="1" applyFill="1" applyBorder="1"/>
    <xf numFmtId="164" fontId="12" fillId="5" borderId="1" xfId="2" applyNumberFormat="1" applyFont="1" applyFill="1" applyBorder="1"/>
    <xf numFmtId="43" fontId="2" fillId="3" borderId="1" xfId="1" applyFont="1" applyFill="1" applyBorder="1"/>
    <xf numFmtId="44" fontId="2" fillId="3" borderId="1" xfId="0" applyNumberFormat="1" applyFont="1" applyFill="1" applyBorder="1"/>
    <xf numFmtId="0" fontId="2" fillId="0" borderId="1" xfId="0" applyFont="1" applyBorder="1" applyAlignment="1">
      <alignment horizontal="center" wrapText="1"/>
    </xf>
    <xf numFmtId="0" fontId="2" fillId="3" borderId="0" xfId="0" applyFont="1" applyFill="1" applyAlignment="1">
      <alignment horizontal="left" wrapText="1"/>
    </xf>
    <xf numFmtId="0" fontId="17" fillId="3" borderId="0" xfId="0" applyFont="1" applyFill="1"/>
    <xf numFmtId="0" fontId="0" fillId="0" borderId="0" xfId="0" applyAlignment="1">
      <alignment wrapText="1"/>
    </xf>
    <xf numFmtId="0" fontId="0" fillId="3" borderId="0" xfId="0" applyFill="1" applyAlignment="1">
      <alignment wrapText="1"/>
    </xf>
    <xf numFmtId="164" fontId="13" fillId="12" borderId="1" xfId="2" applyNumberFormat="1" applyFont="1" applyFill="1" applyBorder="1" applyProtection="1">
      <protection locked="0"/>
    </xf>
    <xf numFmtId="164" fontId="13" fillId="12" borderId="27" xfId="2" applyNumberFormat="1" applyFont="1" applyFill="1" applyBorder="1" applyProtection="1">
      <protection locked="0"/>
    </xf>
    <xf numFmtId="0" fontId="15" fillId="3" borderId="0" xfId="0" applyFont="1" applyFill="1"/>
    <xf numFmtId="0" fontId="2" fillId="3" borderId="0" xfId="0" applyFont="1" applyFill="1" applyAlignment="1">
      <alignment horizontal="left"/>
    </xf>
    <xf numFmtId="0" fontId="0" fillId="3" borderId="0" xfId="0" applyFill="1" applyAlignment="1">
      <alignment horizontal="left"/>
    </xf>
    <xf numFmtId="0" fontId="8" fillId="6" borderId="26" xfId="0" applyFont="1" applyFill="1" applyBorder="1"/>
    <xf numFmtId="0" fontId="8" fillId="12" borderId="26" xfId="0" applyFont="1" applyFill="1" applyBorder="1"/>
    <xf numFmtId="2" fontId="8" fillId="0" borderId="26" xfId="0" applyNumberFormat="1" applyFont="1" applyBorder="1"/>
    <xf numFmtId="2" fontId="8" fillId="5" borderId="28" xfId="0" applyNumberFormat="1" applyFont="1" applyFill="1" applyBorder="1" applyAlignment="1">
      <alignment horizontal="center"/>
    </xf>
    <xf numFmtId="0" fontId="2" fillId="0" borderId="26" xfId="0" applyFont="1" applyBorder="1" applyAlignment="1">
      <alignment horizontal="center" vertical="center" wrapText="1"/>
    </xf>
    <xf numFmtId="0" fontId="0" fillId="8" borderId="0" xfId="0" applyFill="1"/>
    <xf numFmtId="0" fontId="0" fillId="9" borderId="16" xfId="0" applyFill="1" applyBorder="1"/>
    <xf numFmtId="0" fontId="0" fillId="9" borderId="15" xfId="0" applyFill="1" applyBorder="1"/>
    <xf numFmtId="0" fontId="0" fillId="9" borderId="14" xfId="0" applyFill="1" applyBorder="1"/>
    <xf numFmtId="0" fontId="0" fillId="9" borderId="0" xfId="0" applyFill="1" applyAlignment="1">
      <alignment horizontal="center"/>
    </xf>
    <xf numFmtId="0" fontId="0" fillId="8" borderId="0" xfId="0" applyFill="1" applyAlignment="1">
      <alignment horizontal="center"/>
    </xf>
    <xf numFmtId="0" fontId="0" fillId="9" borderId="0" xfId="0" applyFill="1"/>
    <xf numFmtId="0" fontId="0" fillId="9" borderId="12" xfId="0" applyFill="1" applyBorder="1"/>
    <xf numFmtId="0" fontId="0" fillId="9" borderId="10" xfId="0" applyFill="1" applyBorder="1"/>
    <xf numFmtId="168" fontId="8" fillId="9" borderId="10" xfId="0" applyNumberFormat="1" applyFont="1" applyFill="1" applyBorder="1"/>
    <xf numFmtId="0" fontId="15" fillId="9" borderId="10" xfId="0" applyFont="1" applyFill="1" applyBorder="1" applyAlignment="1">
      <alignment horizontal="center"/>
    </xf>
    <xf numFmtId="0" fontId="0" fillId="9" borderId="9" xfId="0" applyFill="1" applyBorder="1"/>
    <xf numFmtId="0" fontId="15" fillId="8" borderId="0" xfId="0" applyFont="1" applyFill="1"/>
    <xf numFmtId="0" fontId="28" fillId="9" borderId="18" xfId="0" applyFont="1" applyFill="1" applyBorder="1" applyAlignment="1">
      <alignment horizontal="center"/>
    </xf>
    <xf numFmtId="3" fontId="28" fillId="9" borderId="19" xfId="0" applyNumberFormat="1" applyFont="1" applyFill="1" applyBorder="1" applyAlignment="1">
      <alignment horizontal="center" wrapText="1"/>
    </xf>
    <xf numFmtId="3" fontId="28" fillId="9" borderId="20" xfId="0" applyNumberFormat="1" applyFont="1" applyFill="1" applyBorder="1" applyAlignment="1">
      <alignment horizontal="center" wrapText="1"/>
    </xf>
    <xf numFmtId="0" fontId="28" fillId="9" borderId="21" xfId="0" applyFont="1" applyFill="1" applyBorder="1" applyAlignment="1">
      <alignment horizontal="center" wrapText="1"/>
    </xf>
    <xf numFmtId="0" fontId="28" fillId="9" borderId="19" xfId="0" applyFont="1" applyFill="1" applyBorder="1" applyAlignment="1">
      <alignment horizontal="center" wrapText="1"/>
    </xf>
    <xf numFmtId="167" fontId="28" fillId="9" borderId="2" xfId="0" applyNumberFormat="1" applyFont="1" applyFill="1" applyBorder="1" applyAlignment="1">
      <alignment horizontal="center" wrapText="1"/>
    </xf>
    <xf numFmtId="0" fontId="22" fillId="9" borderId="0" xfId="0" applyFont="1" applyFill="1"/>
    <xf numFmtId="0" fontId="22" fillId="9" borderId="22" xfId="0" applyFont="1" applyFill="1" applyBorder="1"/>
    <xf numFmtId="0" fontId="22" fillId="9" borderId="26" xfId="0" applyFont="1" applyFill="1" applyBorder="1"/>
    <xf numFmtId="0" fontId="22" fillId="9" borderId="28" xfId="0" applyFont="1" applyFill="1" applyBorder="1"/>
    <xf numFmtId="0" fontId="0" fillId="3" borderId="13" xfId="0" applyFill="1" applyBorder="1"/>
    <xf numFmtId="0" fontId="22" fillId="3" borderId="0" xfId="0" applyFont="1" applyFill="1"/>
    <xf numFmtId="0" fontId="0" fillId="3" borderId="11" xfId="0" applyFill="1" applyBorder="1"/>
    <xf numFmtId="0" fontId="0" fillId="3" borderId="10" xfId="0" applyFill="1" applyBorder="1"/>
    <xf numFmtId="43" fontId="2" fillId="0" borderId="1" xfId="0" applyNumberFormat="1" applyFont="1" applyBorder="1"/>
    <xf numFmtId="43" fontId="2" fillId="0" borderId="1" xfId="1" applyFont="1" applyBorder="1"/>
    <xf numFmtId="43" fontId="0" fillId="3" borderId="0" xfId="1" applyFont="1" applyFill="1"/>
    <xf numFmtId="0" fontId="5" fillId="3" borderId="0" xfId="0" applyFont="1" applyFill="1"/>
    <xf numFmtId="0" fontId="5" fillId="3" borderId="0" xfId="0" applyFont="1" applyFill="1" applyAlignment="1">
      <alignment horizontal="center"/>
    </xf>
    <xf numFmtId="0" fontId="6" fillId="3" borderId="0" xfId="0" applyFont="1" applyFill="1"/>
    <xf numFmtId="0" fontId="7" fillId="3" borderId="0" xfId="0" applyFont="1" applyFill="1"/>
    <xf numFmtId="0" fontId="6" fillId="3" borderId="0" xfId="0" applyFont="1" applyFill="1" applyAlignment="1">
      <alignment horizontal="left" vertical="top"/>
    </xf>
    <xf numFmtId="0" fontId="5" fillId="0" borderId="0" xfId="0" applyFont="1"/>
    <xf numFmtId="0" fontId="13" fillId="0" borderId="26" xfId="0" applyFont="1" applyBorder="1" applyAlignment="1" applyProtection="1">
      <alignment horizontal="left" vertical="center" wrapText="1" readingOrder="1"/>
      <protection locked="0"/>
    </xf>
    <xf numFmtId="166" fontId="0" fillId="0" borderId="1" xfId="1" applyNumberFormat="1" applyFont="1" applyBorder="1" applyAlignment="1">
      <alignment horizontal="center"/>
    </xf>
    <xf numFmtId="165" fontId="0" fillId="0" borderId="1" xfId="1" applyNumberFormat="1" applyFont="1" applyBorder="1" applyAlignment="1">
      <alignment horizontal="center"/>
    </xf>
    <xf numFmtId="0" fontId="0" fillId="0" borderId="1" xfId="0" applyBorder="1" applyAlignment="1">
      <alignment horizontal="center"/>
    </xf>
    <xf numFmtId="165" fontId="0" fillId="3" borderId="0" xfId="1" applyNumberFormat="1" applyFont="1" applyFill="1"/>
    <xf numFmtId="0" fontId="31" fillId="3" borderId="0" xfId="0" applyFont="1" applyFill="1"/>
    <xf numFmtId="164" fontId="0" fillId="3" borderId="0" xfId="0" applyNumberFormat="1" applyFill="1"/>
    <xf numFmtId="0" fontId="2" fillId="3" borderId="0" xfId="0" applyFont="1" applyFill="1" applyAlignment="1">
      <alignment wrapText="1"/>
    </xf>
    <xf numFmtId="0" fontId="31" fillId="3" borderId="0" xfId="0" applyFont="1" applyFill="1" applyAlignment="1">
      <alignment horizontal="left" wrapText="1"/>
    </xf>
    <xf numFmtId="0" fontId="31" fillId="3" borderId="0" xfId="0" applyFont="1" applyFill="1" applyAlignment="1">
      <alignment horizontal="left"/>
    </xf>
    <xf numFmtId="0" fontId="2" fillId="3" borderId="1" xfId="0" applyFont="1" applyFill="1" applyBorder="1" applyAlignment="1">
      <alignment horizontal="center" wrapText="1"/>
    </xf>
    <xf numFmtId="0" fontId="0" fillId="3" borderId="12" xfId="0" applyFill="1" applyBorder="1"/>
    <xf numFmtId="0" fontId="36" fillId="3" borderId="12" xfId="0" applyFont="1" applyFill="1" applyBorder="1" applyAlignment="1">
      <alignment vertical="top" wrapText="1"/>
    </xf>
    <xf numFmtId="0" fontId="12" fillId="0" borderId="26" xfId="0" applyFont="1" applyBorder="1" applyAlignment="1" applyProtection="1">
      <alignment horizontal="left" vertical="center" wrapText="1" readingOrder="1"/>
      <protection locked="0"/>
    </xf>
    <xf numFmtId="0" fontId="12" fillId="0" borderId="28" xfId="0" applyFont="1" applyBorder="1" applyAlignment="1" applyProtection="1">
      <alignment horizontal="left" vertical="center" wrapText="1" readingOrder="1"/>
      <protection locked="0"/>
    </xf>
    <xf numFmtId="0" fontId="2" fillId="3" borderId="0" xfId="0" applyFont="1" applyFill="1" applyAlignment="1">
      <alignment horizontal="left" vertical="top" wrapText="1"/>
    </xf>
    <xf numFmtId="0" fontId="2" fillId="2" borderId="1" xfId="0" applyFont="1" applyFill="1" applyBorder="1" applyAlignment="1">
      <alignment horizontal="center"/>
    </xf>
    <xf numFmtId="0" fontId="3" fillId="3" borderId="0" xfId="4" applyFill="1" applyAlignment="1">
      <alignment horizontal="left"/>
    </xf>
    <xf numFmtId="43" fontId="0" fillId="3" borderId="0" xfId="1" applyFont="1" applyFill="1" applyBorder="1"/>
    <xf numFmtId="0" fontId="2" fillId="2" borderId="1" xfId="0" applyFont="1" applyFill="1" applyBorder="1" applyAlignment="1">
      <alignment horizontal="center" vertical="center"/>
    </xf>
    <xf numFmtId="0" fontId="2" fillId="0" borderId="26" xfId="0" applyFont="1" applyBorder="1" applyAlignment="1">
      <alignment vertical="center" wrapText="1"/>
    </xf>
    <xf numFmtId="39" fontId="0" fillId="0" borderId="1" xfId="0" applyNumberFormat="1" applyBorder="1"/>
    <xf numFmtId="2" fontId="0" fillId="3" borderId="1" xfId="0" applyNumberFormat="1" applyFill="1" applyBorder="1"/>
    <xf numFmtId="0" fontId="2" fillId="0" borderId="26" xfId="0" applyFont="1" applyBorder="1" applyAlignment="1">
      <alignment horizontal="center" vertical="center"/>
    </xf>
    <xf numFmtId="0" fontId="0" fillId="3" borderId="12" xfId="0" applyFill="1" applyBorder="1" applyAlignment="1">
      <alignment horizontal="left" wrapText="1"/>
    </xf>
    <xf numFmtId="171" fontId="0" fillId="3" borderId="1" xfId="1" applyNumberFormat="1" applyFont="1" applyFill="1" applyBorder="1"/>
    <xf numFmtId="0" fontId="3" fillId="3" borderId="0" xfId="4" applyFill="1" applyBorder="1" applyAlignment="1"/>
    <xf numFmtId="0" fontId="3" fillId="3" borderId="12" xfId="4" applyFill="1" applyBorder="1" applyAlignment="1"/>
    <xf numFmtId="0" fontId="0" fillId="3" borderId="26" xfId="0" applyFill="1" applyBorder="1"/>
    <xf numFmtId="0" fontId="0" fillId="3" borderId="28" xfId="0" applyFill="1" applyBorder="1"/>
    <xf numFmtId="165" fontId="13" fillId="3" borderId="1" xfId="1" applyNumberFormat="1" applyFont="1" applyFill="1" applyBorder="1"/>
    <xf numFmtId="165" fontId="13" fillId="3" borderId="27" xfId="1" applyNumberFormat="1" applyFont="1" applyFill="1" applyBorder="1"/>
    <xf numFmtId="43" fontId="13" fillId="0" borderId="1" xfId="1" applyFont="1" applyBorder="1" applyAlignment="1" applyProtection="1">
      <alignment horizontal="left" vertical="center" wrapText="1" readingOrder="1"/>
      <protection locked="0"/>
    </xf>
    <xf numFmtId="43" fontId="0" fillId="0" borderId="1" xfId="1" applyFont="1" applyFill="1" applyBorder="1" applyAlignment="1"/>
    <xf numFmtId="43" fontId="0" fillId="3" borderId="27" xfId="0" applyNumberFormat="1" applyFill="1" applyBorder="1"/>
    <xf numFmtId="43" fontId="2" fillId="0" borderId="29" xfId="0" applyNumberFormat="1" applyFont="1" applyBorder="1"/>
    <xf numFmtId="0" fontId="0" fillId="3" borderId="9" xfId="0" applyFill="1" applyBorder="1"/>
    <xf numFmtId="43" fontId="2" fillId="0" borderId="27" xfId="0" applyNumberFormat="1" applyFont="1" applyBorder="1"/>
    <xf numFmtId="0" fontId="2" fillId="5" borderId="26" xfId="0" applyFont="1" applyFill="1" applyBorder="1" applyAlignment="1">
      <alignment horizontal="left" vertical="top" wrapText="1"/>
    </xf>
    <xf numFmtId="0" fontId="2" fillId="0" borderId="26" xfId="0" applyFont="1" applyBorder="1" applyAlignment="1">
      <alignment horizontal="left" vertical="top" wrapText="1"/>
    </xf>
    <xf numFmtId="0" fontId="2" fillId="0" borderId="28" xfId="0" applyFont="1" applyBorder="1" applyAlignment="1">
      <alignment horizontal="left" vertical="top" wrapText="1"/>
    </xf>
    <xf numFmtId="0" fontId="5" fillId="3" borderId="11" xfId="0" applyFont="1" applyFill="1" applyBorder="1" applyAlignment="1">
      <alignment vertical="top" wrapText="1"/>
    </xf>
    <xf numFmtId="0" fontId="0" fillId="0" borderId="27" xfId="0" applyBorder="1" applyAlignment="1">
      <alignment horizontal="center"/>
    </xf>
    <xf numFmtId="1" fontId="0" fillId="0" borderId="27" xfId="0" applyNumberFormat="1" applyBorder="1" applyAlignment="1">
      <alignment horizontal="center"/>
    </xf>
    <xf numFmtId="43" fontId="13" fillId="0" borderId="26" xfId="1" applyFont="1" applyBorder="1" applyAlignment="1" applyProtection="1">
      <alignment horizontal="left" vertical="center" wrapText="1" readingOrder="1"/>
      <protection locked="0"/>
    </xf>
    <xf numFmtId="0" fontId="16" fillId="0" borderId="26" xfId="0" applyFont="1" applyBorder="1" applyAlignment="1">
      <alignment horizontal="center"/>
    </xf>
    <xf numFmtId="43" fontId="13" fillId="0" borderId="52" xfId="1" applyFont="1" applyBorder="1" applyAlignment="1" applyProtection="1">
      <alignment horizontal="left" vertical="center" wrapText="1" readingOrder="1"/>
      <protection locked="0"/>
    </xf>
    <xf numFmtId="43" fontId="2" fillId="0" borderId="30" xfId="0" applyNumberFormat="1" applyFont="1" applyBorder="1"/>
    <xf numFmtId="43" fontId="2" fillId="0" borderId="29" xfId="1" applyFont="1" applyBorder="1"/>
    <xf numFmtId="44" fontId="0" fillId="0" borderId="1" xfId="2" applyFont="1" applyBorder="1" applyAlignment="1">
      <alignment horizontal="right"/>
    </xf>
    <xf numFmtId="169" fontId="15" fillId="16" borderId="43" xfId="10" applyFont="1" applyFill="1" applyBorder="1" applyAlignment="1">
      <alignment horizontal="left"/>
    </xf>
    <xf numFmtId="169" fontId="15" fillId="17" borderId="43" xfId="10" applyFont="1" applyFill="1" applyBorder="1" applyAlignment="1">
      <alignment horizontal="left"/>
    </xf>
    <xf numFmtId="169" fontId="15" fillId="11" borderId="43" xfId="10" applyFont="1" applyFill="1" applyBorder="1" applyAlignment="1">
      <alignment horizontal="left"/>
    </xf>
    <xf numFmtId="169" fontId="15" fillId="18" borderId="43" xfId="10" applyFont="1" applyFill="1" applyBorder="1" applyAlignment="1">
      <alignment horizontal="left"/>
    </xf>
    <xf numFmtId="169" fontId="15" fillId="19" borderId="43" xfId="10" applyFont="1" applyFill="1" applyBorder="1" applyAlignment="1">
      <alignment horizontal="left"/>
    </xf>
    <xf numFmtId="169" fontId="15" fillId="10" borderId="43" xfId="10" applyFont="1" applyFill="1" applyBorder="1" applyAlignment="1">
      <alignment horizontal="left"/>
    </xf>
    <xf numFmtId="0" fontId="40" fillId="3" borderId="0" xfId="0" applyFont="1" applyFill="1"/>
    <xf numFmtId="0" fontId="2" fillId="0" borderId="13" xfId="0" applyFont="1" applyBorder="1"/>
    <xf numFmtId="0" fontId="2" fillId="3" borderId="13" xfId="0" applyFont="1" applyFill="1" applyBorder="1"/>
    <xf numFmtId="0" fontId="2" fillId="16" borderId="13" xfId="0" applyFont="1" applyFill="1" applyBorder="1"/>
    <xf numFmtId="0" fontId="0" fillId="3" borderId="12" xfId="0" applyFill="1" applyBorder="1" applyAlignment="1">
      <alignment horizontal="center" wrapText="1"/>
    </xf>
    <xf numFmtId="0" fontId="2" fillId="16" borderId="13" xfId="0" applyFont="1" applyFill="1" applyBorder="1" applyAlignment="1">
      <alignment horizontal="left"/>
    </xf>
    <xf numFmtId="0" fontId="3" fillId="3" borderId="0" xfId="4" applyFill="1" applyBorder="1" applyAlignment="1">
      <alignment horizontal="left"/>
    </xf>
    <xf numFmtId="0" fontId="2" fillId="11" borderId="13" xfId="0" applyFont="1" applyFill="1" applyBorder="1" applyAlignment="1">
      <alignment horizontal="left"/>
    </xf>
    <xf numFmtId="0" fontId="2" fillId="10" borderId="13" xfId="0" applyFont="1" applyFill="1" applyBorder="1" applyAlignment="1">
      <alignment horizontal="left"/>
    </xf>
    <xf numFmtId="0" fontId="2" fillId="20" borderId="13" xfId="0" applyFont="1" applyFill="1" applyBorder="1" applyAlignment="1">
      <alignment horizontal="left"/>
    </xf>
    <xf numFmtId="0" fontId="2" fillId="3" borderId="11" xfId="0" applyFont="1" applyFill="1" applyBorder="1"/>
    <xf numFmtId="0" fontId="41" fillId="19" borderId="13" xfId="0" applyFont="1" applyFill="1" applyBorder="1" applyAlignment="1">
      <alignment horizontal="left"/>
    </xf>
    <xf numFmtId="0" fontId="41" fillId="18" borderId="13" xfId="0" applyFont="1" applyFill="1" applyBorder="1" applyAlignment="1">
      <alignment horizontal="left"/>
    </xf>
    <xf numFmtId="0" fontId="41" fillId="17" borderId="13" xfId="0" applyFont="1" applyFill="1" applyBorder="1" applyAlignment="1">
      <alignment horizontal="left"/>
    </xf>
    <xf numFmtId="0" fontId="2" fillId="0" borderId="1" xfId="1" applyNumberFormat="1" applyFont="1" applyFill="1" applyBorder="1" applyAlignment="1">
      <alignment horizontal="center" vertical="center" wrapText="1"/>
    </xf>
    <xf numFmtId="0" fontId="18" fillId="0" borderId="26" xfId="0" applyFont="1" applyBorder="1" applyAlignment="1">
      <alignment horizontal="right" vertical="center" wrapText="1"/>
    </xf>
    <xf numFmtId="44" fontId="0" fillId="3" borderId="0" xfId="0" applyNumberFormat="1" applyFill="1"/>
    <xf numFmtId="0" fontId="2" fillId="3" borderId="0" xfId="0" applyFont="1" applyFill="1" applyAlignment="1">
      <alignment vertical="top" wrapText="1"/>
    </xf>
    <xf numFmtId="0" fontId="0" fillId="3" borderId="0" xfId="0" applyFill="1" applyAlignment="1">
      <alignment horizontal="center"/>
    </xf>
    <xf numFmtId="0" fontId="2" fillId="2" borderId="26" xfId="0" applyFont="1" applyFill="1" applyBorder="1" applyAlignment="1">
      <alignment horizontal="center"/>
    </xf>
    <xf numFmtId="0" fontId="2" fillId="2" borderId="27" xfId="0" applyFont="1" applyFill="1" applyBorder="1" applyAlignment="1">
      <alignment horizontal="center"/>
    </xf>
    <xf numFmtId="0" fontId="0" fillId="3" borderId="12" xfId="0" applyFill="1" applyBorder="1" applyAlignment="1">
      <alignment horizontal="center"/>
    </xf>
    <xf numFmtId="0" fontId="25" fillId="9" borderId="16" xfId="0" applyFont="1" applyFill="1" applyBorder="1" applyAlignment="1">
      <alignment horizontal="left"/>
    </xf>
    <xf numFmtId="0" fontId="0" fillId="9" borderId="15" xfId="0" applyFill="1" applyBorder="1" applyAlignment="1">
      <alignment horizontal="center"/>
    </xf>
    <xf numFmtId="0" fontId="0" fillId="9" borderId="14" xfId="0" applyFill="1" applyBorder="1" applyAlignment="1">
      <alignment horizontal="center"/>
    </xf>
    <xf numFmtId="0" fontId="22" fillId="0" borderId="13" xfId="0" applyFont="1" applyBorder="1"/>
    <xf numFmtId="0" fontId="15" fillId="9" borderId="13" xfId="0" applyFont="1" applyFill="1" applyBorder="1"/>
    <xf numFmtId="0" fontId="8" fillId="9" borderId="0" xfId="0" applyFont="1" applyFill="1"/>
    <xf numFmtId="168" fontId="8" fillId="9" borderId="0" xfId="0" applyNumberFormat="1" applyFont="1" applyFill="1"/>
    <xf numFmtId="0" fontId="15" fillId="9" borderId="0" xfId="0" applyFont="1" applyFill="1" applyAlignment="1">
      <alignment horizontal="center"/>
    </xf>
    <xf numFmtId="0" fontId="15" fillId="9" borderId="11" xfId="0" applyFont="1" applyFill="1" applyBorder="1"/>
    <xf numFmtId="0" fontId="21" fillId="9" borderId="0" xfId="0" applyFont="1" applyFill="1"/>
    <xf numFmtId="37" fontId="0" fillId="9" borderId="12" xfId="0" applyNumberFormat="1" applyFill="1" applyBorder="1"/>
    <xf numFmtId="39" fontId="15" fillId="9" borderId="0" xfId="0" applyNumberFormat="1" applyFont="1" applyFill="1" applyAlignment="1">
      <alignment horizontal="right"/>
    </xf>
    <xf numFmtId="0" fontId="15" fillId="9" borderId="0" xfId="0" applyFont="1" applyFill="1"/>
    <xf numFmtId="37" fontId="0" fillId="9" borderId="0" xfId="0" applyNumberFormat="1" applyFill="1"/>
    <xf numFmtId="2" fontId="22" fillId="9" borderId="0" xfId="0" applyNumberFormat="1" applyFont="1" applyFill="1"/>
    <xf numFmtId="0" fontId="22" fillId="9" borderId="13" xfId="0" applyFont="1" applyFill="1" applyBorder="1"/>
    <xf numFmtId="0" fontId="29" fillId="9" borderId="0" xfId="0" applyFont="1" applyFill="1"/>
    <xf numFmtId="169" fontId="8" fillId="9" borderId="13" xfId="8" applyNumberFormat="1" applyFont="1" applyFill="1" applyBorder="1" applyAlignment="1" applyProtection="1">
      <alignment horizontal="left" vertical="center"/>
    </xf>
    <xf numFmtId="0" fontId="8" fillId="9" borderId="13" xfId="0" applyFont="1" applyFill="1" applyBorder="1" applyAlignment="1">
      <alignment horizontal="left"/>
    </xf>
    <xf numFmtId="164" fontId="0" fillId="3" borderId="0" xfId="2" applyNumberFormat="1" applyFont="1" applyFill="1" applyBorder="1"/>
    <xf numFmtId="0" fontId="2" fillId="0" borderId="0" xfId="0" applyFont="1" applyAlignment="1">
      <alignment horizontal="left" wrapText="1"/>
    </xf>
    <xf numFmtId="43" fontId="0" fillId="0" borderId="1" xfId="0" applyNumberFormat="1" applyBorder="1" applyAlignment="1">
      <alignment vertical="center"/>
    </xf>
    <xf numFmtId="43" fontId="0" fillId="0" borderId="1" xfId="1" applyFont="1" applyBorder="1" applyAlignment="1">
      <alignment vertical="center"/>
    </xf>
    <xf numFmtId="43" fontId="2" fillId="3" borderId="1" xfId="0" applyNumberFormat="1" applyFont="1" applyFill="1" applyBorder="1"/>
    <xf numFmtId="0" fontId="2" fillId="3" borderId="26" xfId="0" applyFont="1" applyFill="1" applyBorder="1"/>
    <xf numFmtId="43" fontId="2" fillId="3" borderId="27" xfId="0" applyNumberFormat="1" applyFont="1" applyFill="1" applyBorder="1"/>
    <xf numFmtId="0" fontId="0" fillId="0" borderId="15" xfId="0" applyBorder="1"/>
    <xf numFmtId="0" fontId="6" fillId="0" borderId="26" xfId="0" applyFont="1" applyBorder="1"/>
    <xf numFmtId="0" fontId="2" fillId="0" borderId="27" xfId="0" applyFont="1" applyBorder="1" applyAlignment="1">
      <alignment horizontal="center" wrapText="1"/>
    </xf>
    <xf numFmtId="0" fontId="2" fillId="7" borderId="26" xfId="0" applyFont="1" applyFill="1" applyBorder="1" applyAlignment="1">
      <alignment horizontal="center"/>
    </xf>
    <xf numFmtId="0" fontId="12" fillId="3" borderId="27" xfId="0" applyFont="1" applyFill="1" applyBorder="1" applyAlignment="1">
      <alignment horizontal="center"/>
    </xf>
    <xf numFmtId="0" fontId="0" fillId="5" borderId="26" xfId="0" applyFill="1" applyBorder="1"/>
    <xf numFmtId="164" fontId="12" fillId="3" borderId="27" xfId="2" applyNumberFormat="1" applyFont="1" applyFill="1" applyBorder="1"/>
    <xf numFmtId="2" fontId="2" fillId="3" borderId="27" xfId="0" applyNumberFormat="1" applyFont="1" applyFill="1" applyBorder="1"/>
    <xf numFmtId="0" fontId="0" fillId="0" borderId="28" xfId="0" applyBorder="1"/>
    <xf numFmtId="43" fontId="0" fillId="5" borderId="29" xfId="1" applyFont="1" applyFill="1" applyBorder="1"/>
    <xf numFmtId="0" fontId="2" fillId="5" borderId="26" xfId="0" applyFont="1" applyFill="1" applyBorder="1"/>
    <xf numFmtId="43" fontId="1" fillId="0" borderId="29" xfId="1" applyFont="1" applyFill="1" applyBorder="1"/>
    <xf numFmtId="43" fontId="2" fillId="0" borderId="29" xfId="1" applyFont="1" applyFill="1" applyBorder="1"/>
    <xf numFmtId="43" fontId="2" fillId="0" borderId="30" xfId="1" applyFont="1" applyFill="1" applyBorder="1"/>
    <xf numFmtId="0" fontId="2" fillId="7" borderId="27" xfId="0" applyFont="1" applyFill="1" applyBorder="1" applyAlignment="1">
      <alignment horizontal="center"/>
    </xf>
    <xf numFmtId="0" fontId="2" fillId="3" borderId="27" xfId="0" applyFont="1" applyFill="1" applyBorder="1" applyAlignment="1">
      <alignment horizontal="center" wrapText="1"/>
    </xf>
    <xf numFmtId="43" fontId="0" fillId="3" borderId="27" xfId="1" applyFont="1" applyFill="1" applyBorder="1"/>
    <xf numFmtId="43" fontId="0" fillId="5" borderId="27" xfId="1" applyFont="1" applyFill="1" applyBorder="1"/>
    <xf numFmtId="43" fontId="0" fillId="5" borderId="30" xfId="1" applyFont="1" applyFill="1" applyBorder="1"/>
    <xf numFmtId="0" fontId="0" fillId="0" borderId="26" xfId="0" applyBorder="1" applyAlignment="1">
      <alignment vertical="center" wrapText="1"/>
    </xf>
    <xf numFmtId="0" fontId="0" fillId="0" borderId="28" xfId="0" applyBorder="1" applyAlignment="1">
      <alignment vertical="center" wrapText="1"/>
    </xf>
    <xf numFmtId="0" fontId="0" fillId="0" borderId="0" xfId="0" applyAlignment="1">
      <alignment vertical="top"/>
    </xf>
    <xf numFmtId="0" fontId="18" fillId="3" borderId="0" xfId="0" applyFont="1" applyFill="1" applyAlignment="1">
      <alignment horizontal="center"/>
    </xf>
    <xf numFmtId="3" fontId="2" fillId="3" borderId="13" xfId="0" applyNumberFormat="1" applyFont="1" applyFill="1" applyBorder="1" applyAlignment="1">
      <alignment horizontal="center" vertical="center"/>
    </xf>
    <xf numFmtId="3" fontId="0" fillId="3" borderId="12" xfId="0" applyNumberFormat="1" applyFill="1" applyBorder="1" applyAlignment="1">
      <alignment horizontal="center" vertical="center"/>
    </xf>
    <xf numFmtId="0" fontId="0" fillId="3" borderId="13" xfId="0" applyFill="1" applyBorder="1" applyAlignment="1">
      <alignment horizontal="center"/>
    </xf>
    <xf numFmtId="0" fontId="0" fillId="3" borderId="26" xfId="0" applyFill="1" applyBorder="1" applyAlignment="1">
      <alignment horizontal="center"/>
    </xf>
    <xf numFmtId="0" fontId="0" fillId="3" borderId="28" xfId="0" applyFill="1" applyBorder="1" applyAlignment="1">
      <alignment horizontal="center"/>
    </xf>
    <xf numFmtId="164" fontId="0" fillId="3" borderId="12" xfId="2" applyNumberFormat="1" applyFont="1" applyFill="1" applyBorder="1"/>
    <xf numFmtId="0" fontId="9" fillId="3" borderId="13" xfId="0" applyFont="1" applyFill="1" applyBorder="1" applyAlignment="1">
      <alignment horizontal="center" vertical="center" wrapText="1"/>
    </xf>
    <xf numFmtId="164" fontId="0" fillId="3" borderId="10" xfId="0" applyNumberFormat="1" applyFill="1" applyBorder="1"/>
    <xf numFmtId="167" fontId="13" fillId="7" borderId="22" xfId="3" applyNumberFormat="1" applyFont="1" applyFill="1" applyBorder="1" applyAlignment="1">
      <alignment horizontal="center"/>
    </xf>
    <xf numFmtId="167" fontId="13" fillId="7" borderId="23" xfId="3" applyNumberFormat="1" applyFont="1" applyFill="1" applyBorder="1" applyAlignment="1">
      <alignment horizontal="center"/>
    </xf>
    <xf numFmtId="167" fontId="13" fillId="7" borderId="24" xfId="3" applyNumberFormat="1" applyFont="1" applyFill="1" applyBorder="1" applyAlignment="1">
      <alignment horizontal="center"/>
    </xf>
    <xf numFmtId="164" fontId="0" fillId="0" borderId="27" xfId="0" applyNumberFormat="1" applyBorder="1"/>
    <xf numFmtId="164" fontId="0" fillId="3" borderId="12" xfId="0" applyNumberFormat="1" applyFill="1" applyBorder="1"/>
    <xf numFmtId="166" fontId="0" fillId="0" borderId="30" xfId="0" applyNumberFormat="1" applyBorder="1"/>
    <xf numFmtId="43" fontId="0" fillId="0" borderId="27" xfId="1" applyFont="1" applyBorder="1"/>
    <xf numFmtId="0" fontId="2" fillId="0" borderId="28" xfId="0" applyFont="1" applyBorder="1"/>
    <xf numFmtId="43" fontId="2" fillId="0" borderId="30" xfId="1" applyFont="1" applyBorder="1"/>
    <xf numFmtId="164" fontId="13" fillId="0" borderId="27" xfId="2" applyNumberFormat="1" applyFont="1" applyBorder="1"/>
    <xf numFmtId="164" fontId="2" fillId="0" borderId="27" xfId="2" applyNumberFormat="1" applyFont="1" applyBorder="1"/>
    <xf numFmtId="164" fontId="2" fillId="0" borderId="29" xfId="2" applyNumberFormat="1" applyFont="1" applyBorder="1"/>
    <xf numFmtId="164" fontId="2" fillId="0" borderId="30" xfId="2" applyNumberFormat="1" applyFont="1" applyBorder="1"/>
    <xf numFmtId="0" fontId="31" fillId="3" borderId="13" xfId="0" applyFont="1" applyFill="1" applyBorder="1"/>
    <xf numFmtId="0" fontId="2" fillId="0" borderId="1" xfId="0" applyFont="1" applyBorder="1"/>
    <xf numFmtId="0" fontId="0" fillId="3" borderId="0" xfId="0" applyFill="1" applyAlignment="1">
      <alignment horizontal="center" vertical="center"/>
    </xf>
    <xf numFmtId="3" fontId="0" fillId="3" borderId="0" xfId="0" applyNumberFormat="1" applyFill="1" applyAlignment="1">
      <alignment horizontal="center" vertical="center"/>
    </xf>
    <xf numFmtId="0" fontId="0" fillId="6" borderId="1" xfId="0" applyFill="1" applyBorder="1" applyProtection="1">
      <protection locked="0"/>
    </xf>
    <xf numFmtId="9" fontId="0" fillId="6" borderId="1" xfId="3" applyFont="1" applyFill="1" applyBorder="1" applyProtection="1">
      <protection locked="0"/>
    </xf>
    <xf numFmtId="44" fontId="0" fillId="6" borderId="1" xfId="2" applyFont="1" applyFill="1" applyBorder="1" applyAlignment="1" applyProtection="1">
      <protection locked="0"/>
    </xf>
    <xf numFmtId="43" fontId="0" fillId="6" borderId="29" xfId="1" applyFont="1" applyFill="1" applyBorder="1" applyProtection="1">
      <protection locked="0"/>
    </xf>
    <xf numFmtId="0" fontId="0" fillId="6" borderId="27" xfId="0" applyFill="1" applyBorder="1" applyProtection="1">
      <protection locked="0"/>
    </xf>
    <xf numFmtId="0" fontId="0" fillId="6" borderId="29" xfId="0" applyFill="1" applyBorder="1" applyProtection="1">
      <protection locked="0"/>
    </xf>
    <xf numFmtId="0" fontId="0" fillId="6" borderId="30" xfId="0" applyFill="1" applyBorder="1" applyProtection="1">
      <protection locked="0"/>
    </xf>
    <xf numFmtId="164" fontId="0" fillId="12" borderId="1" xfId="2" applyNumberFormat="1" applyFont="1" applyFill="1" applyBorder="1" applyProtection="1">
      <protection locked="0"/>
    </xf>
    <xf numFmtId="164" fontId="0" fillId="12" borderId="27" xfId="2" applyNumberFormat="1" applyFont="1" applyFill="1" applyBorder="1" applyProtection="1">
      <protection locked="0"/>
    </xf>
    <xf numFmtId="164" fontId="0" fillId="12" borderId="29" xfId="2" applyNumberFormat="1" applyFont="1" applyFill="1" applyBorder="1" applyProtection="1">
      <protection locked="0"/>
    </xf>
    <xf numFmtId="164" fontId="0" fillId="12" borderId="30" xfId="2" applyNumberFormat="1" applyFont="1" applyFill="1" applyBorder="1" applyProtection="1">
      <protection locked="0"/>
    </xf>
    <xf numFmtId="164" fontId="13" fillId="6" borderId="1" xfId="2" applyNumberFormat="1" applyFont="1" applyFill="1" applyBorder="1" applyProtection="1">
      <protection locked="0"/>
    </xf>
    <xf numFmtId="43" fontId="13" fillId="12" borderId="1" xfId="1" applyFont="1" applyFill="1" applyBorder="1" applyProtection="1">
      <protection locked="0"/>
    </xf>
    <xf numFmtId="0" fontId="2" fillId="3" borderId="16" xfId="0" applyFont="1" applyFill="1" applyBorder="1"/>
    <xf numFmtId="0" fontId="0" fillId="3" borderId="15" xfId="0" applyFill="1" applyBorder="1"/>
    <xf numFmtId="0" fontId="0" fillId="3" borderId="14" xfId="0" applyFill="1" applyBorder="1"/>
    <xf numFmtId="0" fontId="31" fillId="3" borderId="12" xfId="0" applyFont="1" applyFill="1" applyBorder="1" applyAlignment="1">
      <alignment wrapText="1"/>
    </xf>
    <xf numFmtId="0" fontId="0" fillId="3" borderId="12" xfId="0" applyFill="1" applyBorder="1" applyAlignment="1">
      <alignment horizontal="left"/>
    </xf>
    <xf numFmtId="0" fontId="0" fillId="3" borderId="9" xfId="0" applyFill="1" applyBorder="1" applyAlignment="1">
      <alignment horizontal="left"/>
    </xf>
    <xf numFmtId="0" fontId="13" fillId="3" borderId="12" xfId="0" applyFont="1" applyFill="1" applyBorder="1" applyAlignment="1">
      <alignment horizontal="left" vertical="center" readingOrder="1"/>
    </xf>
    <xf numFmtId="10" fontId="0" fillId="0" borderId="1" xfId="0" applyNumberFormat="1" applyBorder="1"/>
    <xf numFmtId="10" fontId="0" fillId="0" borderId="27" xfId="0" applyNumberFormat="1" applyBorder="1"/>
    <xf numFmtId="10" fontId="0" fillId="0" borderId="1" xfId="0" applyNumberFormat="1" applyBorder="1" applyAlignment="1">
      <alignment horizontal="right"/>
    </xf>
    <xf numFmtId="2" fontId="0" fillId="6" borderId="1" xfId="0" applyNumberFormat="1" applyFill="1" applyBorder="1" applyProtection="1">
      <protection locked="0"/>
    </xf>
    <xf numFmtId="43" fontId="13" fillId="3" borderId="1" xfId="1" applyFont="1" applyFill="1" applyBorder="1"/>
    <xf numFmtId="43" fontId="12" fillId="3" borderId="1" xfId="1" applyFont="1" applyFill="1" applyBorder="1"/>
    <xf numFmtId="43" fontId="12" fillId="3" borderId="27" xfId="1" applyFont="1" applyFill="1" applyBorder="1"/>
    <xf numFmtId="10" fontId="2" fillId="3" borderId="1" xfId="3" applyNumberFormat="1" applyFont="1" applyFill="1" applyBorder="1"/>
    <xf numFmtId="10" fontId="12" fillId="5" borderId="1" xfId="2" applyNumberFormat="1" applyFont="1" applyFill="1" applyBorder="1"/>
    <xf numFmtId="10" fontId="12" fillId="3" borderId="27" xfId="3" applyNumberFormat="1" applyFont="1" applyFill="1" applyBorder="1"/>
    <xf numFmtId="10" fontId="2" fillId="3" borderId="1" xfId="0" applyNumberFormat="1" applyFont="1" applyFill="1" applyBorder="1"/>
    <xf numFmtId="10" fontId="0" fillId="3" borderId="1" xfId="3" applyNumberFormat="1" applyFont="1" applyFill="1" applyBorder="1" applyAlignment="1"/>
    <xf numFmtId="10" fontId="0" fillId="0" borderId="1" xfId="3" applyNumberFormat="1" applyFont="1" applyFill="1" applyBorder="1" applyAlignment="1"/>
    <xf numFmtId="43" fontId="0" fillId="0" borderId="1" xfId="0" applyNumberFormat="1" applyBorder="1" applyAlignment="1">
      <alignment horizontal="left" vertical="top" wrapText="1"/>
    </xf>
    <xf numFmtId="43" fontId="0" fillId="0" borderId="27" xfId="0" applyNumberFormat="1" applyBorder="1" applyAlignment="1">
      <alignment horizontal="left" vertical="top" wrapText="1"/>
    </xf>
    <xf numFmtId="43" fontId="0" fillId="0" borderId="1" xfId="1" applyFont="1" applyBorder="1" applyAlignment="1">
      <alignment horizontal="center"/>
    </xf>
    <xf numFmtId="43" fontId="18" fillId="0" borderId="1" xfId="1" applyFont="1" applyBorder="1" applyAlignment="1">
      <alignment horizontal="center" vertical="center" wrapText="1"/>
    </xf>
    <xf numFmtId="43" fontId="18" fillId="0" borderId="1" xfId="1" applyFont="1" applyFill="1" applyBorder="1" applyAlignment="1">
      <alignment horizontal="center" vertical="center" wrapText="1"/>
    </xf>
    <xf numFmtId="43" fontId="0" fillId="0" borderId="1" xfId="1" applyFont="1" applyBorder="1" applyAlignment="1" applyProtection="1">
      <alignment horizontal="center"/>
    </xf>
    <xf numFmtId="10" fontId="18" fillId="0" borderId="1" xfId="3" applyNumberFormat="1" applyFont="1" applyBorder="1" applyAlignment="1">
      <alignment horizontal="right" vertical="center" wrapText="1"/>
    </xf>
    <xf numFmtId="39" fontId="0" fillId="3" borderId="1" xfId="0" applyNumberFormat="1" applyFill="1" applyBorder="1" applyAlignment="1">
      <alignment horizontal="center"/>
    </xf>
    <xf numFmtId="39" fontId="0" fillId="3" borderId="27" xfId="0" applyNumberFormat="1" applyFill="1" applyBorder="1" applyAlignment="1">
      <alignment horizontal="center"/>
    </xf>
    <xf numFmtId="39" fontId="0" fillId="3" borderId="29" xfId="0" applyNumberFormat="1" applyFill="1" applyBorder="1" applyAlignment="1">
      <alignment horizontal="center"/>
    </xf>
    <xf numFmtId="39" fontId="0" fillId="3" borderId="30" xfId="0" applyNumberFormat="1" applyFill="1" applyBorder="1" applyAlignment="1">
      <alignment horizontal="center"/>
    </xf>
    <xf numFmtId="43" fontId="13" fillId="0" borderId="1" xfId="1" applyFont="1" applyFill="1" applyBorder="1" applyAlignment="1" applyProtection="1">
      <alignment horizontal="center" vertical="center" wrapText="1"/>
      <protection locked="0"/>
    </xf>
    <xf numFmtId="43" fontId="13" fillId="0" borderId="1" xfId="1" applyFont="1" applyFill="1" applyBorder="1"/>
    <xf numFmtId="172" fontId="0" fillId="3" borderId="27" xfId="1" applyNumberFormat="1" applyFont="1" applyFill="1" applyBorder="1"/>
    <xf numFmtId="0" fontId="0" fillId="3" borderId="26" xfId="0" applyFill="1" applyBorder="1" applyAlignment="1">
      <alignment wrapText="1"/>
    </xf>
    <xf numFmtId="0" fontId="0" fillId="0" borderId="28" xfId="0" applyBorder="1" applyAlignment="1">
      <alignment wrapText="1"/>
    </xf>
    <xf numFmtId="0" fontId="2" fillId="3" borderId="26" xfId="0" applyFont="1" applyFill="1" applyBorder="1" applyAlignment="1">
      <alignment wrapText="1"/>
    </xf>
    <xf numFmtId="0" fontId="0" fillId="0" borderId="26" xfId="0" applyBorder="1" applyAlignment="1">
      <alignment wrapText="1"/>
    </xf>
    <xf numFmtId="0" fontId="2" fillId="0" borderId="26" xfId="0" applyFont="1" applyBorder="1" applyAlignment="1">
      <alignment wrapText="1"/>
    </xf>
    <xf numFmtId="9" fontId="18" fillId="0" borderId="1" xfId="3" applyFont="1" applyBorder="1" applyAlignment="1">
      <alignment horizontal="right" vertical="center" wrapText="1"/>
    </xf>
    <xf numFmtId="0" fontId="18" fillId="5" borderId="5" xfId="0" applyFont="1" applyFill="1" applyBorder="1" applyAlignment="1">
      <alignment horizontal="right" vertical="center" wrapText="1"/>
    </xf>
    <xf numFmtId="0" fontId="2" fillId="14" borderId="1" xfId="0" applyFont="1" applyFill="1" applyBorder="1" applyAlignment="1">
      <alignment horizontal="center" vertical="center"/>
    </xf>
    <xf numFmtId="0" fontId="2" fillId="11" borderId="5" xfId="0" applyFont="1" applyFill="1" applyBorder="1" applyAlignment="1">
      <alignment horizontal="center" vertical="center" wrapText="1"/>
    </xf>
    <xf numFmtId="9" fontId="13" fillId="6" borderId="1" xfId="3" applyFont="1" applyFill="1" applyBorder="1" applyAlignment="1" applyProtection="1">
      <alignment horizontal="right" vertical="center" wrapText="1" readingOrder="1"/>
      <protection locked="0"/>
    </xf>
    <xf numFmtId="10" fontId="0" fillId="0" borderId="1" xfId="3" applyNumberFormat="1" applyFont="1" applyFill="1" applyBorder="1" applyAlignment="1">
      <alignment horizontal="right" vertical="center" wrapText="1"/>
    </xf>
    <xf numFmtId="9" fontId="13" fillId="6" borderId="1" xfId="3" applyFont="1" applyFill="1" applyBorder="1" applyAlignment="1" applyProtection="1">
      <alignment horizontal="right" vertical="center" wrapText="1"/>
      <protection locked="0"/>
    </xf>
    <xf numFmtId="43" fontId="18" fillId="5" borderId="1" xfId="1" applyFont="1" applyFill="1" applyBorder="1" applyAlignment="1">
      <alignment horizontal="center" vertical="center" wrapText="1"/>
    </xf>
    <xf numFmtId="10" fontId="0" fillId="0" borderId="1" xfId="3" applyNumberFormat="1" applyFont="1" applyFill="1" applyBorder="1" applyAlignment="1" applyProtection="1">
      <alignment horizontal="right" vertical="center" wrapText="1"/>
    </xf>
    <xf numFmtId="9" fontId="18" fillId="0" borderId="1" xfId="3" applyFont="1" applyFill="1" applyBorder="1" applyAlignment="1">
      <alignment horizontal="right" vertical="center" wrapText="1"/>
    </xf>
    <xf numFmtId="0" fontId="2" fillId="0" borderId="55" xfId="0" applyFont="1" applyBorder="1" applyAlignment="1">
      <alignment vertical="center" wrapText="1"/>
    </xf>
    <xf numFmtId="10" fontId="18" fillId="0" borderId="1" xfId="3" applyNumberFormat="1" applyFont="1" applyFill="1" applyBorder="1" applyAlignment="1">
      <alignment horizontal="right" vertical="center" wrapText="1"/>
    </xf>
    <xf numFmtId="43" fontId="18" fillId="0" borderId="27" xfId="1" applyFont="1" applyBorder="1" applyAlignment="1">
      <alignment horizontal="center" vertical="center" wrapText="1"/>
    </xf>
    <xf numFmtId="0" fontId="2" fillId="11" borderId="39" xfId="0" applyFont="1" applyFill="1" applyBorder="1" applyAlignment="1">
      <alignment horizontal="center"/>
    </xf>
    <xf numFmtId="0" fontId="2" fillId="11" borderId="12" xfId="0" applyFont="1" applyFill="1" applyBorder="1" applyAlignment="1">
      <alignment horizontal="center"/>
    </xf>
    <xf numFmtId="43" fontId="2" fillId="4" borderId="1" xfId="0" applyNumberFormat="1" applyFont="1" applyFill="1" applyBorder="1"/>
    <xf numFmtId="43" fontId="18" fillId="5" borderId="5" xfId="1" applyFont="1" applyFill="1" applyBorder="1" applyAlignment="1">
      <alignment horizontal="center" vertical="center" wrapText="1"/>
    </xf>
    <xf numFmtId="169" fontId="13" fillId="3" borderId="1" xfId="10" applyFont="1" applyFill="1" applyBorder="1"/>
    <xf numFmtId="169" fontId="13" fillId="3" borderId="27" xfId="10" applyFont="1" applyFill="1" applyBorder="1"/>
    <xf numFmtId="9" fontId="0" fillId="6" borderId="1" xfId="3" applyFont="1" applyFill="1" applyBorder="1" applyAlignment="1" applyProtection="1">
      <alignment horizontal="right" vertical="center" wrapText="1"/>
      <protection locked="0"/>
    </xf>
    <xf numFmtId="0" fontId="0" fillId="3" borderId="16" xfId="0" applyFill="1" applyBorder="1"/>
    <xf numFmtId="0" fontId="31" fillId="3" borderId="0" xfId="0" applyFont="1" applyFill="1" applyAlignment="1">
      <alignment wrapText="1"/>
    </xf>
    <xf numFmtId="0" fontId="0" fillId="16" borderId="0" xfId="0" applyFill="1"/>
    <xf numFmtId="0" fontId="0" fillId="3" borderId="0" xfId="0" applyFill="1" applyAlignment="1">
      <alignment horizontal="center" wrapText="1"/>
    </xf>
    <xf numFmtId="0" fontId="0" fillId="17" borderId="0" xfId="0" applyFill="1"/>
    <xf numFmtId="0" fontId="0" fillId="11" borderId="0" xfId="0" applyFill="1"/>
    <xf numFmtId="0" fontId="0" fillId="18" borderId="0" xfId="0" applyFill="1"/>
    <xf numFmtId="0" fontId="13" fillId="19" borderId="0" xfId="0" applyFont="1" applyFill="1"/>
    <xf numFmtId="0" fontId="0" fillId="10" borderId="0" xfId="0" applyFill="1"/>
    <xf numFmtId="0" fontId="0" fillId="20" borderId="0" xfId="0" applyFill="1"/>
    <xf numFmtId="9" fontId="50" fillId="0" borderId="1" xfId="3" applyFont="1" applyBorder="1" applyAlignment="1">
      <alignment horizontal="right" vertical="center" wrapText="1"/>
    </xf>
    <xf numFmtId="0" fontId="0" fillId="3" borderId="0" xfId="0" applyFill="1" applyAlignment="1">
      <alignment horizontal="left" vertical="top" wrapText="1"/>
    </xf>
    <xf numFmtId="0" fontId="0" fillId="3" borderId="12" xfId="0" applyFill="1" applyBorder="1" applyAlignment="1">
      <alignment horizontal="left" vertical="top" wrapText="1"/>
    </xf>
    <xf numFmtId="0" fontId="12" fillId="0" borderId="27" xfId="0" applyFont="1" applyBorder="1" applyAlignment="1">
      <alignment horizontal="center" vertical="center" wrapText="1"/>
    </xf>
    <xf numFmtId="43" fontId="13" fillId="0" borderId="27" xfId="0" applyNumberFormat="1" applyFont="1" applyBorder="1"/>
    <xf numFmtId="0" fontId="52" fillId="9" borderId="26" xfId="0" applyFont="1" applyFill="1" applyBorder="1"/>
    <xf numFmtId="43" fontId="52" fillId="9" borderId="1" xfId="6" applyFont="1" applyFill="1" applyBorder="1" applyAlignment="1">
      <alignment horizontal="right"/>
    </xf>
    <xf numFmtId="43" fontId="52" fillId="9" borderId="27" xfId="6" applyFont="1" applyFill="1" applyBorder="1" applyAlignment="1">
      <alignment horizontal="right"/>
    </xf>
    <xf numFmtId="43" fontId="49" fillId="0" borderId="1" xfId="1" applyFont="1" applyFill="1" applyBorder="1"/>
    <xf numFmtId="39" fontId="13" fillId="0" borderId="1" xfId="0" applyNumberFormat="1" applyFont="1" applyBorder="1"/>
    <xf numFmtId="43" fontId="13" fillId="3" borderId="1" xfId="0" applyNumberFormat="1" applyFont="1" applyFill="1" applyBorder="1"/>
    <xf numFmtId="0" fontId="49" fillId="3" borderId="0" xfId="0" applyFont="1" applyFill="1"/>
    <xf numFmtId="43" fontId="13" fillId="0" borderId="27" xfId="1" applyFont="1" applyFill="1" applyBorder="1" applyAlignment="1" applyProtection="1">
      <alignment horizontal="center" vertical="center" wrapText="1"/>
    </xf>
    <xf numFmtId="164" fontId="0" fillId="3" borderId="1" xfId="0" applyNumberFormat="1" applyFill="1" applyBorder="1"/>
    <xf numFmtId="0" fontId="0" fillId="5" borderId="26" xfId="0" applyFill="1" applyBorder="1" applyAlignment="1">
      <alignment horizontal="center"/>
    </xf>
    <xf numFmtId="164" fontId="0" fillId="3" borderId="27" xfId="0" applyNumberFormat="1" applyFill="1" applyBorder="1"/>
    <xf numFmtId="0" fontId="0" fillId="11" borderId="26" xfId="0" applyFill="1" applyBorder="1" applyAlignment="1">
      <alignment horizontal="center"/>
    </xf>
    <xf numFmtId="0" fontId="0" fillId="14" borderId="26" xfId="0" applyFill="1" applyBorder="1" applyAlignment="1">
      <alignment horizontal="center"/>
    </xf>
    <xf numFmtId="164" fontId="0" fillId="3" borderId="29" xfId="0" applyNumberFormat="1" applyFill="1" applyBorder="1"/>
    <xf numFmtId="164" fontId="0" fillId="3" borderId="30" xfId="0" applyNumberFormat="1" applyFill="1" applyBorder="1"/>
    <xf numFmtId="0" fontId="2" fillId="3" borderId="12" xfId="0" applyFont="1" applyFill="1" applyBorder="1" applyAlignment="1">
      <alignment horizontal="left" wrapText="1"/>
    </xf>
    <xf numFmtId="0" fontId="9" fillId="3" borderId="0" xfId="0" applyFont="1" applyFill="1" applyAlignment="1">
      <alignment horizontal="center" vertical="center" wrapText="1"/>
    </xf>
    <xf numFmtId="43" fontId="13" fillId="0" borderId="1" xfId="1" applyFont="1" applyFill="1" applyBorder="1" applyProtection="1">
      <protection locked="0"/>
    </xf>
    <xf numFmtId="43" fontId="0" fillId="3" borderId="29" xfId="1" applyFont="1" applyFill="1" applyBorder="1"/>
    <xf numFmtId="43" fontId="0" fillId="3" borderId="30" xfId="1" applyFont="1" applyFill="1" applyBorder="1"/>
    <xf numFmtId="43" fontId="0" fillId="3" borderId="0" xfId="0" applyNumberFormat="1" applyFill="1"/>
    <xf numFmtId="169" fontId="15" fillId="2" borderId="43" xfId="10" applyFont="1" applyFill="1" applyBorder="1" applyAlignment="1">
      <alignment horizontal="left"/>
    </xf>
    <xf numFmtId="0" fontId="2" fillId="2" borderId="13" xfId="0" applyFont="1" applyFill="1" applyBorder="1"/>
    <xf numFmtId="0" fontId="2" fillId="2" borderId="0" xfId="0" applyFont="1" applyFill="1"/>
    <xf numFmtId="164" fontId="0" fillId="0" borderId="1" xfId="2" applyNumberFormat="1" applyFont="1" applyFill="1" applyBorder="1"/>
    <xf numFmtId="0" fontId="0" fillId="3" borderId="15" xfId="0" applyFill="1" applyBorder="1" applyAlignment="1">
      <alignment horizontal="center"/>
    </xf>
    <xf numFmtId="0" fontId="53" fillId="3" borderId="0" xfId="0" applyFont="1" applyFill="1"/>
    <xf numFmtId="0" fontId="6" fillId="3" borderId="15" xfId="0" applyFont="1" applyFill="1" applyBorder="1" applyAlignment="1">
      <alignment horizontal="left" vertical="top" wrapText="1"/>
    </xf>
    <xf numFmtId="0" fontId="5" fillId="3" borderId="15" xfId="0" applyFont="1" applyFill="1" applyBorder="1"/>
    <xf numFmtId="0" fontId="8" fillId="3" borderId="15" xfId="0" applyFont="1" applyFill="1" applyBorder="1"/>
    <xf numFmtId="0" fontId="5" fillId="3" borderId="14" xfId="0" applyFont="1" applyFill="1" applyBorder="1"/>
    <xf numFmtId="0" fontId="6" fillId="3" borderId="0" xfId="0" applyFont="1" applyFill="1" applyAlignment="1">
      <alignment horizontal="left" vertical="top" wrapText="1"/>
    </xf>
    <xf numFmtId="0" fontId="5" fillId="3" borderId="12" xfId="0" applyFont="1" applyFill="1" applyBorder="1"/>
    <xf numFmtId="0" fontId="3" fillId="3" borderId="13" xfId="4" applyFill="1" applyBorder="1" applyAlignment="1">
      <alignment horizontal="left"/>
    </xf>
    <xf numFmtId="0" fontId="18" fillId="0" borderId="0" xfId="0" applyFont="1" applyAlignment="1">
      <alignment vertical="top" wrapText="1"/>
    </xf>
    <xf numFmtId="164" fontId="13" fillId="3" borderId="1" xfId="2" applyNumberFormat="1" applyFont="1" applyFill="1" applyBorder="1" applyProtection="1">
      <protection locked="0"/>
    </xf>
    <xf numFmtId="43" fontId="13" fillId="6" borderId="1" xfId="1" applyFont="1" applyFill="1" applyBorder="1" applyProtection="1">
      <protection locked="0"/>
    </xf>
    <xf numFmtId="43" fontId="13" fillId="6" borderId="1" xfId="2" applyNumberFormat="1" applyFont="1" applyFill="1" applyBorder="1" applyProtection="1">
      <protection locked="0"/>
    </xf>
    <xf numFmtId="164" fontId="0" fillId="0" borderId="1" xfId="0" applyNumberFormat="1" applyBorder="1"/>
    <xf numFmtId="166" fontId="12" fillId="0" borderId="1" xfId="1" applyNumberFormat="1" applyFont="1" applyBorder="1"/>
    <xf numFmtId="0" fontId="36" fillId="3" borderId="0" xfId="0" applyFont="1" applyFill="1" applyAlignment="1">
      <alignment vertical="top" wrapText="1"/>
    </xf>
    <xf numFmtId="0" fontId="0" fillId="3" borderId="0" xfId="0" applyFill="1" applyAlignment="1">
      <alignment vertical="top"/>
    </xf>
    <xf numFmtId="0" fontId="8" fillId="21" borderId="61" xfId="0" applyFont="1" applyFill="1" applyBorder="1"/>
    <xf numFmtId="169" fontId="15" fillId="20" borderId="11" xfId="10" applyFont="1" applyFill="1" applyBorder="1" applyAlignment="1">
      <alignment horizontal="left"/>
    </xf>
    <xf numFmtId="0" fontId="0" fillId="3" borderId="0" xfId="0" quotePrefix="1" applyFill="1"/>
    <xf numFmtId="0" fontId="0" fillId="3" borderId="59" xfId="0" applyFill="1" applyBorder="1"/>
    <xf numFmtId="0" fontId="2" fillId="3" borderId="44" xfId="0" applyFont="1" applyFill="1" applyBorder="1" applyAlignment="1">
      <alignment horizontal="center"/>
    </xf>
    <xf numFmtId="0" fontId="55" fillId="0" borderId="0" xfId="0" applyFont="1"/>
    <xf numFmtId="0" fontId="0" fillId="3" borderId="43" xfId="0" applyFill="1" applyBorder="1"/>
    <xf numFmtId="0" fontId="0" fillId="3" borderId="60" xfId="0" applyFill="1" applyBorder="1"/>
    <xf numFmtId="37" fontId="11" fillId="12" borderId="6" xfId="1" applyNumberFormat="1" applyFont="1" applyFill="1" applyBorder="1" applyAlignment="1" applyProtection="1">
      <alignment vertical="center"/>
      <protection locked="0"/>
    </xf>
    <xf numFmtId="0" fontId="0" fillId="12" borderId="9" xfId="0" applyFill="1" applyBorder="1"/>
    <xf numFmtId="37" fontId="11" fillId="12" borderId="8" xfId="1" applyNumberFormat="1" applyFont="1" applyFill="1" applyBorder="1" applyAlignment="1" applyProtection="1">
      <alignment vertical="center"/>
      <protection locked="0"/>
    </xf>
    <xf numFmtId="39" fontId="11" fillId="12" borderId="7" xfId="1" applyNumberFormat="1" applyFont="1" applyFill="1" applyBorder="1" applyAlignment="1" applyProtection="1">
      <alignment horizontal="center" vertical="center"/>
      <protection locked="0"/>
    </xf>
    <xf numFmtId="43" fontId="0" fillId="12" borderId="1" xfId="1" applyFont="1" applyFill="1" applyBorder="1" applyProtection="1">
      <protection locked="0"/>
    </xf>
    <xf numFmtId="0" fontId="13" fillId="6" borderId="1" xfId="0" applyFont="1" applyFill="1" applyBorder="1" applyAlignment="1" applyProtection="1">
      <alignment wrapText="1"/>
      <protection locked="0"/>
    </xf>
    <xf numFmtId="0" fontId="13" fillId="6" borderId="27" xfId="0" applyFont="1" applyFill="1" applyBorder="1" applyAlignment="1" applyProtection="1">
      <alignment wrapText="1"/>
      <protection locked="0"/>
    </xf>
    <xf numFmtId="0" fontId="13" fillId="6" borderId="29" xfId="0" applyFont="1" applyFill="1" applyBorder="1" applyAlignment="1" applyProtection="1">
      <alignment wrapText="1"/>
      <protection locked="0"/>
    </xf>
    <xf numFmtId="0" fontId="13" fillId="6" borderId="30" xfId="0" applyFont="1" applyFill="1" applyBorder="1" applyAlignment="1" applyProtection="1">
      <alignment wrapText="1"/>
      <protection locked="0"/>
    </xf>
    <xf numFmtId="0" fontId="0" fillId="3" borderId="12" xfId="0" quotePrefix="1" applyFill="1" applyBorder="1" applyAlignment="1">
      <alignment horizontal="left"/>
    </xf>
    <xf numFmtId="0" fontId="0" fillId="3" borderId="0" xfId="0" quotePrefix="1" applyFill="1" applyAlignment="1">
      <alignment horizontal="left"/>
    </xf>
    <xf numFmtId="0" fontId="29" fillId="3" borderId="0" xfId="0" applyFont="1" applyFill="1"/>
    <xf numFmtId="43" fontId="29" fillId="3" borderId="0" xfId="0" applyNumberFormat="1" applyFont="1" applyFill="1"/>
    <xf numFmtId="37" fontId="29" fillId="3" borderId="0" xfId="0" applyNumberFormat="1" applyFont="1" applyFill="1"/>
    <xf numFmtId="0" fontId="54" fillId="3" borderId="0" xfId="0" applyFont="1" applyFill="1" applyAlignment="1">
      <alignment horizontal="center"/>
    </xf>
    <xf numFmtId="0" fontId="0" fillId="3" borderId="0" xfId="0" applyFill="1" applyAlignment="1">
      <alignment horizontal="center" wrapText="1"/>
    </xf>
    <xf numFmtId="0" fontId="0" fillId="3" borderId="0" xfId="0" applyFill="1" applyAlignment="1">
      <alignment horizontal="left" vertical="top" wrapText="1"/>
    </xf>
    <xf numFmtId="0" fontId="0" fillId="3" borderId="0" xfId="0" quotePrefix="1" applyFill="1" applyAlignment="1">
      <alignment horizontal="left"/>
    </xf>
    <xf numFmtId="0" fontId="0" fillId="3" borderId="12" xfId="0" quotePrefix="1" applyFill="1" applyBorder="1" applyAlignment="1">
      <alignment horizontal="left"/>
    </xf>
    <xf numFmtId="0" fontId="2" fillId="3" borderId="26" xfId="0" applyFont="1" applyFill="1" applyBorder="1" applyAlignment="1">
      <alignment horizontal="left"/>
    </xf>
    <xf numFmtId="0" fontId="2" fillId="3" borderId="1" xfId="0" applyFont="1" applyFill="1" applyBorder="1" applyAlignment="1">
      <alignment horizontal="left"/>
    </xf>
    <xf numFmtId="0" fontId="2" fillId="3" borderId="26" xfId="0" applyFont="1" applyFill="1" applyBorder="1" applyAlignment="1">
      <alignment horizontal="center"/>
    </xf>
    <xf numFmtId="0" fontId="2" fillId="3" borderId="1" xfId="0" applyFont="1" applyFill="1" applyBorder="1" applyAlignment="1">
      <alignment horizontal="center"/>
    </xf>
    <xf numFmtId="0" fontId="0" fillId="3" borderId="59" xfId="0" quotePrefix="1" applyFill="1" applyBorder="1" applyAlignment="1">
      <alignment horizontal="left"/>
    </xf>
    <xf numFmtId="0" fontId="0" fillId="3" borderId="60" xfId="0" quotePrefix="1" applyFill="1" applyBorder="1" applyAlignment="1">
      <alignment horizontal="left"/>
    </xf>
    <xf numFmtId="0" fontId="2" fillId="3" borderId="38" xfId="0" applyFont="1" applyFill="1" applyBorder="1" applyAlignment="1">
      <alignment horizontal="left"/>
    </xf>
    <xf numFmtId="0" fontId="2" fillId="3" borderId="17" xfId="0" applyFont="1" applyFill="1" applyBorder="1" applyAlignment="1">
      <alignment horizontal="left"/>
    </xf>
    <xf numFmtId="0" fontId="2" fillId="3" borderId="39" xfId="0" applyFont="1" applyFill="1" applyBorder="1" applyAlignment="1">
      <alignment horizontal="left"/>
    </xf>
    <xf numFmtId="0" fontId="0" fillId="3" borderId="17" xfId="0" quotePrefix="1" applyFill="1" applyBorder="1" applyAlignment="1">
      <alignment horizontal="left"/>
    </xf>
    <xf numFmtId="0" fontId="0" fillId="3" borderId="39" xfId="0" quotePrefix="1" applyFill="1" applyBorder="1" applyAlignment="1">
      <alignment horizontal="left"/>
    </xf>
    <xf numFmtId="0" fontId="2" fillId="3" borderId="0" xfId="0" quotePrefix="1" applyFont="1" applyFill="1" applyAlignment="1">
      <alignment horizontal="left"/>
    </xf>
    <xf numFmtId="0" fontId="2" fillId="3" borderId="12" xfId="0" quotePrefix="1" applyFont="1" applyFill="1" applyBorder="1" applyAlignment="1">
      <alignment horizontal="left"/>
    </xf>
    <xf numFmtId="0" fontId="0" fillId="3" borderId="59" xfId="0" applyFill="1" applyBorder="1" applyAlignment="1">
      <alignment horizontal="left"/>
    </xf>
    <xf numFmtId="0" fontId="0" fillId="3" borderId="60" xfId="0" applyFill="1" applyBorder="1" applyAlignment="1">
      <alignment horizontal="left"/>
    </xf>
    <xf numFmtId="0" fontId="18" fillId="2" borderId="33" xfId="0" applyFont="1" applyFill="1" applyBorder="1" applyAlignment="1">
      <alignment horizontal="center"/>
    </xf>
    <xf numFmtId="0" fontId="18" fillId="2" borderId="4" xfId="0" applyFont="1" applyFill="1" applyBorder="1" applyAlignment="1">
      <alignment horizontal="center"/>
    </xf>
    <xf numFmtId="0" fontId="18" fillId="2" borderId="34" xfId="0" applyFont="1" applyFill="1" applyBorder="1" applyAlignment="1">
      <alignment horizontal="center"/>
    </xf>
    <xf numFmtId="0" fontId="0" fillId="3" borderId="1" xfId="0" applyFill="1" applyBorder="1" applyAlignment="1">
      <alignment horizontal="left"/>
    </xf>
    <xf numFmtId="0" fontId="18" fillId="2" borderId="26" xfId="0" applyFont="1" applyFill="1" applyBorder="1" applyAlignment="1">
      <alignment horizontal="center"/>
    </xf>
    <xf numFmtId="0" fontId="18" fillId="2" borderId="1" xfId="0" applyFont="1" applyFill="1" applyBorder="1" applyAlignment="1">
      <alignment horizontal="center"/>
    </xf>
    <xf numFmtId="0" fontId="18" fillId="2" borderId="27" xfId="0" applyFont="1" applyFill="1" applyBorder="1" applyAlignment="1">
      <alignment horizontal="center"/>
    </xf>
    <xf numFmtId="0" fontId="2" fillId="3" borderId="59" xfId="0" quotePrefix="1" applyFont="1" applyFill="1" applyBorder="1" applyAlignment="1">
      <alignment horizontal="left"/>
    </xf>
    <xf numFmtId="0" fontId="2" fillId="3" borderId="60" xfId="0" quotePrefix="1" applyFont="1" applyFill="1" applyBorder="1" applyAlignment="1">
      <alignment horizontal="left"/>
    </xf>
    <xf numFmtId="0" fontId="18" fillId="2" borderId="6" xfId="0" applyFont="1" applyFill="1" applyBorder="1" applyAlignment="1">
      <alignment horizontal="center"/>
    </xf>
    <xf numFmtId="0" fontId="18" fillId="2" borderId="7" xfId="0" applyFont="1" applyFill="1" applyBorder="1" applyAlignment="1">
      <alignment horizontal="center"/>
    </xf>
    <xf numFmtId="0" fontId="18" fillId="2" borderId="8" xfId="0" applyFont="1" applyFill="1" applyBorder="1" applyAlignment="1">
      <alignment horizontal="center"/>
    </xf>
    <xf numFmtId="0" fontId="0" fillId="3" borderId="13" xfId="0" applyFill="1" applyBorder="1" applyAlignment="1">
      <alignment horizontal="left" vertical="top" wrapText="1"/>
    </xf>
    <xf numFmtId="0" fontId="0" fillId="3" borderId="12" xfId="0" applyFill="1" applyBorder="1" applyAlignment="1">
      <alignment horizontal="left" vertical="top" wrapText="1"/>
    </xf>
    <xf numFmtId="0" fontId="2" fillId="10" borderId="26" xfId="0" applyFont="1" applyFill="1" applyBorder="1" applyAlignment="1">
      <alignment horizontal="left" vertical="center"/>
    </xf>
    <xf numFmtId="0" fontId="2" fillId="10" borderId="1" xfId="0" applyFont="1" applyFill="1" applyBorder="1" applyAlignment="1">
      <alignment horizontal="left" vertical="center"/>
    </xf>
    <xf numFmtId="0" fontId="2" fillId="20" borderId="26" xfId="0" applyFont="1" applyFill="1" applyBorder="1" applyAlignment="1">
      <alignment horizontal="left" vertical="center"/>
    </xf>
    <xf numFmtId="0" fontId="2" fillId="20" borderId="1" xfId="0" applyFont="1" applyFill="1" applyBorder="1" applyAlignment="1">
      <alignment horizontal="left" vertical="center"/>
    </xf>
    <xf numFmtId="0" fontId="0" fillId="3" borderId="1" xfId="0" applyFill="1" applyBorder="1" applyAlignment="1">
      <alignment horizontal="left" vertical="center"/>
    </xf>
    <xf numFmtId="0" fontId="0" fillId="3" borderId="27" xfId="0" applyFill="1" applyBorder="1" applyAlignment="1">
      <alignment horizontal="left" vertical="center"/>
    </xf>
    <xf numFmtId="0" fontId="41" fillId="19" borderId="26" xfId="0" applyFont="1" applyFill="1" applyBorder="1" applyAlignment="1">
      <alignment horizontal="left" vertical="center"/>
    </xf>
    <xf numFmtId="0" fontId="41" fillId="19" borderId="1" xfId="0" applyFont="1" applyFill="1" applyBorder="1" applyAlignment="1">
      <alignment horizontal="left" vertical="center"/>
    </xf>
    <xf numFmtId="0" fontId="2" fillId="3" borderId="27" xfId="0" applyFont="1" applyFill="1" applyBorder="1" applyAlignment="1">
      <alignment horizontal="center"/>
    </xf>
    <xf numFmtId="0" fontId="2" fillId="2" borderId="26" xfId="0" applyFont="1" applyFill="1" applyBorder="1" applyAlignment="1">
      <alignment horizontal="left" vertical="center"/>
    </xf>
    <xf numFmtId="0" fontId="2" fillId="2" borderId="1" xfId="0" applyFont="1" applyFill="1" applyBorder="1" applyAlignment="1">
      <alignment horizontal="left" vertical="center"/>
    </xf>
    <xf numFmtId="0" fontId="2" fillId="16" borderId="33" xfId="0" applyFont="1" applyFill="1" applyBorder="1" applyAlignment="1">
      <alignment horizontal="left" vertical="center"/>
    </xf>
    <xf numFmtId="0" fontId="2" fillId="16" borderId="4" xfId="0" applyFont="1" applyFill="1" applyBorder="1" applyAlignment="1">
      <alignment horizontal="left" vertical="center"/>
    </xf>
    <xf numFmtId="0" fontId="2" fillId="16" borderId="5" xfId="0" applyFont="1" applyFill="1" applyBorder="1" applyAlignment="1">
      <alignment horizontal="left" vertical="center"/>
    </xf>
    <xf numFmtId="0" fontId="2" fillId="3" borderId="26" xfId="0" applyFont="1" applyFill="1" applyBorder="1" applyAlignment="1">
      <alignment horizontal="left" vertical="center"/>
    </xf>
    <xf numFmtId="0" fontId="2" fillId="3" borderId="1" xfId="0" applyFont="1" applyFill="1" applyBorder="1" applyAlignment="1">
      <alignment horizontal="left" vertical="center"/>
    </xf>
    <xf numFmtId="0" fontId="41" fillId="17" borderId="33" xfId="0" applyFont="1" applyFill="1" applyBorder="1" applyAlignment="1">
      <alignment horizontal="left" vertical="center"/>
    </xf>
    <xf numFmtId="0" fontId="41" fillId="17" borderId="4" xfId="0" applyFont="1" applyFill="1" applyBorder="1" applyAlignment="1">
      <alignment horizontal="left" vertical="center"/>
    </xf>
    <xf numFmtId="0" fontId="41" fillId="17" borderId="5" xfId="0" applyFont="1" applyFill="1" applyBorder="1" applyAlignment="1">
      <alignment horizontal="left" vertical="center"/>
    </xf>
    <xf numFmtId="0" fontId="2" fillId="11" borderId="26" xfId="0" applyFont="1" applyFill="1" applyBorder="1" applyAlignment="1">
      <alignment horizontal="left" vertical="center"/>
    </xf>
    <xf numFmtId="0" fontId="2" fillId="11" borderId="1" xfId="0" applyFont="1" applyFill="1" applyBorder="1" applyAlignment="1">
      <alignment horizontal="left" vertical="center"/>
    </xf>
    <xf numFmtId="0" fontId="41" fillId="18" borderId="26" xfId="0" applyFont="1" applyFill="1" applyBorder="1" applyAlignment="1">
      <alignment horizontal="left" vertical="center"/>
    </xf>
    <xf numFmtId="0" fontId="41" fillId="18" borderId="1" xfId="0" applyFont="1" applyFill="1" applyBorder="1" applyAlignment="1">
      <alignment horizontal="left" vertical="center"/>
    </xf>
    <xf numFmtId="0" fontId="18" fillId="2" borderId="45" xfId="0" applyFont="1" applyFill="1" applyBorder="1" applyAlignment="1">
      <alignment horizontal="center"/>
    </xf>
    <xf numFmtId="0" fontId="2" fillId="3" borderId="3" xfId="0" applyFont="1" applyFill="1" applyBorder="1" applyAlignment="1">
      <alignment horizontal="center"/>
    </xf>
    <xf numFmtId="0" fontId="2" fillId="3" borderId="4" xfId="0" applyFont="1" applyFill="1" applyBorder="1" applyAlignment="1">
      <alignment horizontal="center"/>
    </xf>
    <xf numFmtId="0" fontId="2" fillId="3" borderId="5" xfId="0" applyFont="1" applyFill="1" applyBorder="1" applyAlignment="1">
      <alignment horizontal="center"/>
    </xf>
    <xf numFmtId="0" fontId="0" fillId="3" borderId="10" xfId="0" applyFill="1" applyBorder="1" applyAlignment="1">
      <alignment horizontal="left"/>
    </xf>
    <xf numFmtId="0" fontId="0" fillId="3" borderId="9" xfId="0" applyFill="1" applyBorder="1" applyAlignment="1">
      <alignment horizontal="left"/>
    </xf>
    <xf numFmtId="0" fontId="0" fillId="3" borderId="29" xfId="0" applyFill="1" applyBorder="1" applyAlignment="1">
      <alignment horizontal="left"/>
    </xf>
    <xf numFmtId="0" fontId="0" fillId="3" borderId="30" xfId="0" applyFill="1" applyBorder="1" applyAlignment="1">
      <alignment horizontal="left"/>
    </xf>
    <xf numFmtId="0" fontId="0" fillId="3" borderId="13" xfId="0" applyFill="1" applyBorder="1" applyAlignment="1">
      <alignment horizontal="center"/>
    </xf>
    <xf numFmtId="0" fontId="0" fillId="3" borderId="0" xfId="0" applyFill="1" applyAlignment="1">
      <alignment horizontal="center"/>
    </xf>
    <xf numFmtId="0" fontId="0" fillId="3" borderId="12" xfId="0" applyFill="1" applyBorder="1" applyAlignment="1">
      <alignment horizontal="center"/>
    </xf>
    <xf numFmtId="0" fontId="0" fillId="3" borderId="38" xfId="0" applyFill="1" applyBorder="1" applyAlignment="1">
      <alignment horizontal="left"/>
    </xf>
    <xf numFmtId="0" fontId="0" fillId="3" borderId="17" xfId="0" applyFill="1" applyBorder="1" applyAlignment="1">
      <alignment horizontal="left"/>
    </xf>
    <xf numFmtId="0" fontId="0" fillId="3" borderId="39" xfId="0" applyFill="1" applyBorder="1" applyAlignment="1">
      <alignment horizontal="left"/>
    </xf>
    <xf numFmtId="0" fontId="0" fillId="3" borderId="27" xfId="0" applyFill="1" applyBorder="1" applyAlignment="1">
      <alignment horizontal="left"/>
    </xf>
    <xf numFmtId="0" fontId="18" fillId="2" borderId="22" xfId="0" applyFont="1" applyFill="1" applyBorder="1" applyAlignment="1">
      <alignment horizontal="center"/>
    </xf>
    <xf numFmtId="0" fontId="18" fillId="2" borderId="23" xfId="0" applyFont="1" applyFill="1" applyBorder="1" applyAlignment="1">
      <alignment horizontal="center"/>
    </xf>
    <xf numFmtId="0" fontId="18" fillId="2" borderId="24" xfId="0" applyFont="1" applyFill="1" applyBorder="1" applyAlignment="1">
      <alignment horizontal="center"/>
    </xf>
    <xf numFmtId="0" fontId="2" fillId="3" borderId="28" xfId="0" applyFont="1" applyFill="1" applyBorder="1" applyAlignment="1">
      <alignment horizontal="left"/>
    </xf>
    <xf numFmtId="0" fontId="2" fillId="3" borderId="29" xfId="0" applyFont="1" applyFill="1" applyBorder="1" applyAlignment="1">
      <alignment horizontal="left"/>
    </xf>
    <xf numFmtId="0" fontId="0" fillId="3" borderId="0" xfId="0" applyFill="1" applyAlignment="1">
      <alignment horizontal="left" wrapText="1"/>
    </xf>
    <xf numFmtId="0" fontId="0" fillId="3" borderId="12" xfId="0" applyFill="1" applyBorder="1" applyAlignment="1">
      <alignment horizontal="left" wrapText="1"/>
    </xf>
    <xf numFmtId="169" fontId="13" fillId="0" borderId="3" xfId="10" applyFont="1" applyBorder="1" applyAlignment="1">
      <alignment horizontal="left"/>
    </xf>
    <xf numFmtId="169" fontId="13" fillId="0" borderId="4" xfId="10" applyFont="1" applyBorder="1" applyAlignment="1">
      <alignment horizontal="left"/>
    </xf>
    <xf numFmtId="169" fontId="13" fillId="0" borderId="34" xfId="10" applyFont="1" applyBorder="1" applyAlignment="1">
      <alignment horizontal="left"/>
    </xf>
    <xf numFmtId="169" fontId="15" fillId="2" borderId="40" xfId="10" applyFont="1" applyFill="1" applyBorder="1" applyAlignment="1">
      <alignment horizontal="left"/>
    </xf>
    <xf numFmtId="169" fontId="15" fillId="2" borderId="41" xfId="10" applyFont="1" applyFill="1" applyBorder="1" applyAlignment="1">
      <alignment horizontal="left"/>
    </xf>
    <xf numFmtId="169" fontId="15" fillId="2" borderId="42" xfId="10" applyFont="1" applyFill="1" applyBorder="1" applyAlignment="1">
      <alignment horizontal="left"/>
    </xf>
    <xf numFmtId="0" fontId="3" fillId="3" borderId="0" xfId="4" applyFill="1" applyBorder="1" applyAlignment="1">
      <alignment horizontal="left"/>
    </xf>
    <xf numFmtId="0" fontId="3" fillId="3" borderId="12" xfId="4" applyFill="1" applyBorder="1" applyAlignment="1">
      <alignment horizontal="left"/>
    </xf>
    <xf numFmtId="0" fontId="3" fillId="3" borderId="0" xfId="4" quotePrefix="1" applyFill="1" applyBorder="1" applyAlignment="1">
      <alignment horizontal="left"/>
    </xf>
    <xf numFmtId="0" fontId="3" fillId="3" borderId="12" xfId="4" quotePrefix="1" applyFill="1" applyBorder="1" applyAlignment="1">
      <alignment horizontal="left"/>
    </xf>
    <xf numFmtId="169" fontId="13" fillId="0" borderId="62" xfId="10" applyFont="1" applyBorder="1" applyAlignment="1">
      <alignment horizontal="left"/>
    </xf>
    <xf numFmtId="169" fontId="13" fillId="0" borderId="10" xfId="10" applyFont="1" applyBorder="1" applyAlignment="1">
      <alignment horizontal="left"/>
    </xf>
    <xf numFmtId="169" fontId="13" fillId="0" borderId="9" xfId="10" applyFont="1" applyBorder="1" applyAlignment="1">
      <alignment horizontal="left"/>
    </xf>
    <xf numFmtId="0" fontId="3" fillId="3" borderId="0" xfId="4" applyFill="1" applyAlignment="1">
      <alignment horizontal="left"/>
    </xf>
    <xf numFmtId="169" fontId="13" fillId="0" borderId="35" xfId="10" applyFont="1" applyBorder="1" applyAlignment="1">
      <alignment horizontal="left"/>
    </xf>
    <xf numFmtId="169" fontId="13" fillId="0" borderId="36" xfId="10" applyFont="1" applyBorder="1" applyAlignment="1">
      <alignment horizontal="left"/>
    </xf>
    <xf numFmtId="169" fontId="13" fillId="0" borderId="37" xfId="10" applyFont="1" applyBorder="1" applyAlignment="1">
      <alignment horizontal="left"/>
    </xf>
    <xf numFmtId="0" fontId="0" fillId="0" borderId="0" xfId="0" applyAlignment="1">
      <alignment horizontal="left" wrapText="1"/>
    </xf>
    <xf numFmtId="0" fontId="0" fillId="0" borderId="12" xfId="0" applyBorder="1" applyAlignment="1">
      <alignment horizontal="left" wrapText="1"/>
    </xf>
    <xf numFmtId="0" fontId="0" fillId="0" borderId="0" xfId="0" applyAlignment="1">
      <alignment horizontal="left" vertical="top" wrapText="1"/>
    </xf>
    <xf numFmtId="0" fontId="0" fillId="0" borderId="12" xfId="0" applyBorder="1" applyAlignment="1">
      <alignment horizontal="left" vertical="top" wrapText="1"/>
    </xf>
    <xf numFmtId="0" fontId="0" fillId="3" borderId="10" xfId="0" applyFill="1" applyBorder="1" applyAlignment="1">
      <alignment horizontal="left" wrapText="1"/>
    </xf>
    <xf numFmtId="0" fontId="0" fillId="3" borderId="9" xfId="0" applyFill="1" applyBorder="1" applyAlignment="1">
      <alignment horizontal="left" wrapText="1"/>
    </xf>
    <xf numFmtId="169" fontId="13" fillId="3" borderId="3" xfId="10" applyFont="1" applyFill="1" applyBorder="1" applyAlignment="1">
      <alignment horizontal="left"/>
    </xf>
    <xf numFmtId="169" fontId="13" fillId="3" borderId="4" xfId="10" applyFont="1" applyFill="1" applyBorder="1" applyAlignment="1">
      <alignment horizontal="left"/>
    </xf>
    <xf numFmtId="169" fontId="13" fillId="3" borderId="34" xfId="10" applyFont="1" applyFill="1" applyBorder="1" applyAlignment="1">
      <alignment horizontal="left"/>
    </xf>
    <xf numFmtId="169" fontId="13" fillId="3" borderId="3" xfId="10" applyFont="1" applyFill="1" applyBorder="1" applyAlignment="1">
      <alignment horizontal="left" wrapText="1"/>
    </xf>
    <xf numFmtId="169" fontId="13" fillId="3" borderId="4" xfId="10" applyFont="1" applyFill="1" applyBorder="1" applyAlignment="1">
      <alignment horizontal="left" wrapText="1"/>
    </xf>
    <xf numFmtId="169" fontId="13" fillId="3" borderId="34" xfId="10" applyFont="1" applyFill="1" applyBorder="1" applyAlignment="1">
      <alignment horizontal="left" wrapText="1"/>
    </xf>
    <xf numFmtId="169" fontId="13" fillId="3" borderId="35" xfId="10" applyFont="1" applyFill="1" applyBorder="1" applyAlignment="1">
      <alignment horizontal="left" wrapText="1"/>
    </xf>
    <xf numFmtId="169" fontId="13" fillId="3" borderId="36" xfId="10" applyFont="1" applyFill="1" applyBorder="1" applyAlignment="1">
      <alignment horizontal="left" wrapText="1"/>
    </xf>
    <xf numFmtId="169" fontId="13" fillId="3" borderId="37" xfId="10" applyFont="1" applyFill="1" applyBorder="1" applyAlignment="1">
      <alignment horizontal="left" wrapText="1"/>
    </xf>
    <xf numFmtId="0" fontId="3" fillId="3" borderId="0" xfId="4" applyFill="1" applyAlignment="1">
      <alignment horizontal="left" vertical="top"/>
    </xf>
    <xf numFmtId="0" fontId="2" fillId="3" borderId="0" xfId="0" applyFont="1" applyFill="1" applyAlignment="1">
      <alignment horizontal="left" vertical="top"/>
    </xf>
    <xf numFmtId="0" fontId="2" fillId="3" borderId="0" xfId="0" applyFont="1" applyFill="1" applyAlignment="1">
      <alignment horizontal="center" vertical="top"/>
    </xf>
    <xf numFmtId="0" fontId="2" fillId="3" borderId="0" xfId="0" applyFont="1" applyFill="1" applyAlignment="1">
      <alignment horizontal="left" wrapText="1"/>
    </xf>
    <xf numFmtId="0" fontId="0" fillId="3" borderId="54" xfId="0" applyFill="1" applyBorder="1" applyAlignment="1">
      <alignment horizontal="left"/>
    </xf>
    <xf numFmtId="0" fontId="0" fillId="3" borderId="36" xfId="0" applyFill="1" applyBorder="1" applyAlignment="1">
      <alignment horizontal="left"/>
    </xf>
    <xf numFmtId="0" fontId="0" fillId="3" borderId="37" xfId="0" applyFill="1" applyBorder="1" applyAlignment="1">
      <alignment horizontal="left"/>
    </xf>
    <xf numFmtId="0" fontId="0" fillId="0" borderId="54" xfId="0" applyBorder="1" applyAlignment="1">
      <alignment horizontal="left" wrapText="1"/>
    </xf>
    <xf numFmtId="0" fontId="0" fillId="0" borderId="57" xfId="0" applyBorder="1" applyAlignment="1">
      <alignment horizontal="left" wrapText="1"/>
    </xf>
    <xf numFmtId="0" fontId="0" fillId="3" borderId="33" xfId="0" applyFill="1" applyBorder="1" applyAlignment="1">
      <alignment horizontal="left" wrapText="1"/>
    </xf>
    <xf numFmtId="0" fontId="0" fillId="3" borderId="5" xfId="0" applyFill="1" applyBorder="1" applyAlignment="1">
      <alignment horizontal="left" wrapText="1"/>
    </xf>
    <xf numFmtId="0" fontId="2" fillId="7" borderId="22" xfId="0" applyFont="1" applyFill="1" applyBorder="1" applyAlignment="1">
      <alignment horizontal="center"/>
    </xf>
    <xf numFmtId="0" fontId="2" fillId="7" borderId="23" xfId="0" applyFont="1" applyFill="1" applyBorder="1" applyAlignment="1">
      <alignment horizontal="center"/>
    </xf>
    <xf numFmtId="0" fontId="2" fillId="7" borderId="24" xfId="0" applyFont="1" applyFill="1" applyBorder="1" applyAlignment="1">
      <alignment horizontal="center"/>
    </xf>
    <xf numFmtId="0" fontId="0" fillId="3" borderId="26" xfId="0" applyFill="1" applyBorder="1" applyAlignment="1">
      <alignment horizontal="left"/>
    </xf>
    <xf numFmtId="0" fontId="2" fillId="2" borderId="46" xfId="0" applyFont="1" applyFill="1" applyBorder="1" applyAlignment="1">
      <alignment horizontal="center"/>
    </xf>
    <xf numFmtId="0" fontId="2" fillId="2" borderId="44" xfId="0" applyFont="1" applyFill="1" applyBorder="1" applyAlignment="1">
      <alignment horizontal="center"/>
    </xf>
    <xf numFmtId="0" fontId="2" fillId="2" borderId="47" xfId="0" applyFont="1" applyFill="1" applyBorder="1" applyAlignment="1">
      <alignment horizontal="center"/>
    </xf>
    <xf numFmtId="0" fontId="2" fillId="3" borderId="0" xfId="0" applyFont="1" applyFill="1" applyAlignment="1">
      <alignment horizontal="left" vertical="top" wrapText="1"/>
    </xf>
    <xf numFmtId="0" fontId="2" fillId="7" borderId="26" xfId="0" applyFont="1" applyFill="1" applyBorder="1" applyAlignment="1">
      <alignment horizontal="center"/>
    </xf>
    <xf numFmtId="0" fontId="2" fillId="7" borderId="1" xfId="0" applyFont="1" applyFill="1" applyBorder="1" applyAlignment="1">
      <alignment horizontal="center"/>
    </xf>
    <xf numFmtId="0" fontId="2" fillId="7" borderId="27" xfId="0" applyFont="1" applyFill="1" applyBorder="1" applyAlignment="1">
      <alignment horizontal="center"/>
    </xf>
    <xf numFmtId="0" fontId="2" fillId="2" borderId="46" xfId="0" applyFont="1" applyFill="1" applyBorder="1" applyAlignment="1">
      <alignment horizontal="center" vertical="center"/>
    </xf>
    <xf numFmtId="0" fontId="2" fillId="2" borderId="44" xfId="0" applyFont="1" applyFill="1" applyBorder="1" applyAlignment="1">
      <alignment horizontal="center" vertical="center"/>
    </xf>
    <xf numFmtId="0" fontId="2" fillId="2" borderId="47" xfId="0" applyFont="1" applyFill="1" applyBorder="1" applyAlignment="1">
      <alignment horizontal="center" vertical="center"/>
    </xf>
    <xf numFmtId="0" fontId="0" fillId="3" borderId="55" xfId="0" applyFill="1" applyBorder="1" applyAlignment="1">
      <alignment horizontal="center"/>
    </xf>
    <xf numFmtId="0" fontId="0" fillId="3" borderId="32" xfId="0" applyFill="1" applyBorder="1" applyAlignment="1">
      <alignment horizontal="center"/>
    </xf>
    <xf numFmtId="0" fontId="0" fillId="6" borderId="3" xfId="0" applyFill="1" applyBorder="1" applyAlignment="1" applyProtection="1">
      <alignment horizontal="center"/>
      <protection locked="0"/>
    </xf>
    <xf numFmtId="0" fontId="0" fillId="6" borderId="4" xfId="0" applyFill="1" applyBorder="1" applyAlignment="1" applyProtection="1">
      <alignment horizontal="center"/>
      <protection locked="0"/>
    </xf>
    <xf numFmtId="0" fontId="0" fillId="6" borderId="34" xfId="0" applyFill="1" applyBorder="1" applyAlignment="1" applyProtection="1">
      <alignment horizontal="center"/>
      <protection locked="0"/>
    </xf>
    <xf numFmtId="0" fontId="2" fillId="0" borderId="0" xfId="0" applyFont="1" applyAlignment="1">
      <alignment horizontal="left" wrapText="1"/>
    </xf>
    <xf numFmtId="0" fontId="6" fillId="0" borderId="33" xfId="0" applyFont="1" applyBorder="1" applyAlignment="1">
      <alignment horizontal="left" wrapText="1"/>
    </xf>
    <xf numFmtId="0" fontId="6" fillId="0" borderId="5" xfId="0" applyFont="1" applyBorder="1" applyAlignment="1">
      <alignment horizontal="left" wrapText="1"/>
    </xf>
    <xf numFmtId="0" fontId="18" fillId="2" borderId="40" xfId="0" applyFont="1" applyFill="1" applyBorder="1" applyAlignment="1">
      <alignment horizontal="center"/>
    </xf>
    <xf numFmtId="0" fontId="18" fillId="2" borderId="41" xfId="0" applyFont="1" applyFill="1" applyBorder="1" applyAlignment="1">
      <alignment horizontal="center"/>
    </xf>
    <xf numFmtId="0" fontId="18" fillId="2" borderId="42" xfId="0" applyFont="1" applyFill="1" applyBorder="1" applyAlignment="1">
      <alignment horizontal="center"/>
    </xf>
    <xf numFmtId="0" fontId="13" fillId="6" borderId="3" xfId="0" applyFont="1" applyFill="1" applyBorder="1" applyAlignment="1" applyProtection="1">
      <alignment horizontal="center"/>
      <protection locked="0"/>
    </xf>
    <xf numFmtId="0" fontId="13" fillId="6" borderId="4" xfId="0" applyFont="1" applyFill="1" applyBorder="1" applyAlignment="1" applyProtection="1">
      <alignment horizontal="center"/>
      <protection locked="0"/>
    </xf>
    <xf numFmtId="0" fontId="13" fillId="6" borderId="34" xfId="0" applyFont="1" applyFill="1" applyBorder="1" applyAlignment="1" applyProtection="1">
      <alignment horizontal="center"/>
      <protection locked="0"/>
    </xf>
    <xf numFmtId="0" fontId="2" fillId="11" borderId="43" xfId="0" applyFont="1" applyFill="1" applyBorder="1" applyAlignment="1">
      <alignment horizontal="center"/>
    </xf>
    <xf numFmtId="0" fontId="2" fillId="11" borderId="59" xfId="0" applyFont="1" applyFill="1" applyBorder="1" applyAlignment="1">
      <alignment horizontal="center"/>
    </xf>
    <xf numFmtId="0" fontId="2" fillId="11" borderId="60" xfId="0" applyFont="1" applyFill="1" applyBorder="1" applyAlignment="1">
      <alignment horizontal="center"/>
    </xf>
    <xf numFmtId="0" fontId="18" fillId="2" borderId="6" xfId="0" applyFont="1" applyFill="1" applyBorder="1" applyAlignment="1">
      <alignment horizontal="center" vertical="top" wrapText="1"/>
    </xf>
    <xf numFmtId="0" fontId="18" fillId="2" borderId="7" xfId="0" applyFont="1" applyFill="1" applyBorder="1" applyAlignment="1">
      <alignment horizontal="center" vertical="top" wrapText="1"/>
    </xf>
    <xf numFmtId="0" fontId="18" fillId="2" borderId="8" xfId="0" applyFont="1" applyFill="1" applyBorder="1" applyAlignment="1">
      <alignment horizontal="center" vertical="top" wrapText="1"/>
    </xf>
    <xf numFmtId="0" fontId="2" fillId="11" borderId="26" xfId="0" applyFont="1" applyFill="1" applyBorder="1" applyAlignment="1">
      <alignment horizontal="center"/>
    </xf>
    <xf numFmtId="0" fontId="2" fillId="11" borderId="1" xfId="0" applyFont="1" applyFill="1" applyBorder="1" applyAlignment="1">
      <alignment horizontal="center"/>
    </xf>
    <xf numFmtId="0" fontId="2" fillId="11" borderId="22" xfId="0" applyFont="1" applyFill="1" applyBorder="1" applyAlignment="1">
      <alignment horizontal="center"/>
    </xf>
    <xf numFmtId="0" fontId="2" fillId="11" borderId="23" xfId="0" applyFont="1" applyFill="1" applyBorder="1" applyAlignment="1">
      <alignment horizontal="center"/>
    </xf>
    <xf numFmtId="0" fontId="2" fillId="5" borderId="26" xfId="0" applyFont="1" applyFill="1" applyBorder="1" applyAlignment="1">
      <alignment horizontal="center"/>
    </xf>
    <xf numFmtId="0" fontId="2" fillId="5" borderId="1" xfId="0" applyFont="1" applyFill="1" applyBorder="1" applyAlignment="1">
      <alignment horizontal="center"/>
    </xf>
    <xf numFmtId="0" fontId="2" fillId="5" borderId="27" xfId="0" applyFont="1" applyFill="1" applyBorder="1" applyAlignment="1">
      <alignment horizontal="center"/>
    </xf>
    <xf numFmtId="0" fontId="0" fillId="3" borderId="10" xfId="0" applyFill="1" applyBorder="1" applyAlignment="1">
      <alignment horizontal="center"/>
    </xf>
    <xf numFmtId="0" fontId="13" fillId="3" borderId="38" xfId="0" applyFont="1" applyFill="1" applyBorder="1" applyAlignment="1">
      <alignment horizontal="left" vertical="center" readingOrder="1"/>
    </xf>
    <xf numFmtId="0" fontId="13" fillId="3" borderId="17" xfId="0" applyFont="1" applyFill="1" applyBorder="1" applyAlignment="1">
      <alignment horizontal="left" vertical="center" readingOrder="1"/>
    </xf>
    <xf numFmtId="0" fontId="13" fillId="3" borderId="39" xfId="0" applyFont="1" applyFill="1" applyBorder="1" applyAlignment="1">
      <alignment horizontal="left" vertical="center" readingOrder="1"/>
    </xf>
    <xf numFmtId="0" fontId="2" fillId="6" borderId="3" xfId="0" applyFont="1" applyFill="1" applyBorder="1" applyAlignment="1">
      <alignment horizontal="center" vertical="center" wrapText="1"/>
    </xf>
    <xf numFmtId="0" fontId="2" fillId="6" borderId="4" xfId="0" applyFont="1" applyFill="1" applyBorder="1" applyAlignment="1">
      <alignment horizontal="center" vertical="center" wrapText="1"/>
    </xf>
    <xf numFmtId="0" fontId="2" fillId="6" borderId="34" xfId="0" applyFont="1" applyFill="1" applyBorder="1" applyAlignment="1">
      <alignment horizontal="center" vertical="center" wrapText="1"/>
    </xf>
    <xf numFmtId="0" fontId="2" fillId="6" borderId="1" xfId="0" applyFont="1" applyFill="1" applyBorder="1" applyAlignment="1">
      <alignment horizontal="center" vertical="center" wrapText="1"/>
    </xf>
    <xf numFmtId="0" fontId="2" fillId="6" borderId="27" xfId="0" applyFont="1" applyFill="1" applyBorder="1" applyAlignment="1">
      <alignment horizontal="center" vertical="center" wrapText="1"/>
    </xf>
    <xf numFmtId="2" fontId="2" fillId="0" borderId="1" xfId="0" applyNumberFormat="1" applyFont="1" applyBorder="1" applyAlignment="1">
      <alignment horizontal="center"/>
    </xf>
    <xf numFmtId="2" fontId="2" fillId="0" borderId="27" xfId="0" applyNumberFormat="1" applyFont="1" applyBorder="1" applyAlignment="1">
      <alignment horizontal="center"/>
    </xf>
    <xf numFmtId="0" fontId="13" fillId="0" borderId="13" xfId="0" applyFont="1" applyBorder="1" applyAlignment="1">
      <alignment horizontal="left" vertical="center" wrapText="1" readingOrder="1"/>
    </xf>
    <xf numFmtId="0" fontId="13" fillId="0" borderId="0" xfId="0" applyFont="1" applyAlignment="1">
      <alignment horizontal="left" vertical="center" wrapText="1" readingOrder="1"/>
    </xf>
    <xf numFmtId="0" fontId="13" fillId="0" borderId="12" xfId="0" applyFont="1" applyBorder="1" applyAlignment="1">
      <alignment horizontal="left" vertical="center" wrapText="1" readingOrder="1"/>
    </xf>
    <xf numFmtId="0" fontId="18" fillId="2" borderId="40" xfId="0" applyFont="1" applyFill="1" applyBorder="1" applyAlignment="1">
      <alignment horizontal="center" vertical="top" wrapText="1"/>
    </xf>
    <xf numFmtId="0" fontId="18" fillId="2" borderId="41" xfId="0" applyFont="1" applyFill="1" applyBorder="1" applyAlignment="1">
      <alignment horizontal="center" vertical="top" wrapText="1"/>
    </xf>
    <xf numFmtId="0" fontId="18" fillId="2" borderId="42" xfId="0" applyFont="1" applyFill="1" applyBorder="1" applyAlignment="1">
      <alignment horizontal="center" vertical="top" wrapText="1"/>
    </xf>
    <xf numFmtId="0" fontId="2" fillId="0" borderId="0" xfId="0" applyFont="1" applyAlignment="1">
      <alignment horizontal="left" vertical="top" wrapText="1"/>
    </xf>
    <xf numFmtId="0" fontId="2" fillId="3" borderId="0" xfId="0" applyFont="1" applyFill="1" applyAlignment="1">
      <alignment vertical="top" wrapText="1"/>
    </xf>
    <xf numFmtId="0" fontId="3" fillId="3" borderId="36" xfId="4" applyFill="1" applyBorder="1" applyAlignment="1">
      <alignment horizontal="left" vertical="top" wrapText="1"/>
    </xf>
    <xf numFmtId="0" fontId="3" fillId="3" borderId="37" xfId="4" applyFill="1" applyBorder="1" applyAlignment="1">
      <alignment horizontal="left" vertical="top" wrapText="1"/>
    </xf>
    <xf numFmtId="0" fontId="2" fillId="7" borderId="40" xfId="0" applyFont="1" applyFill="1" applyBorder="1" applyAlignment="1">
      <alignment horizontal="center"/>
    </xf>
    <xf numFmtId="0" fontId="2" fillId="7" borderId="41" xfId="0" applyFont="1" applyFill="1" applyBorder="1" applyAlignment="1">
      <alignment horizontal="center"/>
    </xf>
    <xf numFmtId="0" fontId="2" fillId="7" borderId="42" xfId="0" applyFont="1" applyFill="1" applyBorder="1" applyAlignment="1">
      <alignment horizontal="center"/>
    </xf>
    <xf numFmtId="0" fontId="13" fillId="3" borderId="11" xfId="0" applyFont="1" applyFill="1" applyBorder="1" applyAlignment="1">
      <alignment horizontal="left" vertical="center" readingOrder="1"/>
    </xf>
    <xf numFmtId="0" fontId="13" fillId="3" borderId="10" xfId="0" applyFont="1" applyFill="1" applyBorder="1" applyAlignment="1">
      <alignment horizontal="left" vertical="center" readingOrder="1"/>
    </xf>
    <xf numFmtId="0" fontId="13" fillId="3" borderId="9" xfId="0" applyFont="1" applyFill="1" applyBorder="1" applyAlignment="1">
      <alignment horizontal="left" vertical="center" readingOrder="1"/>
    </xf>
    <xf numFmtId="0" fontId="13" fillId="3" borderId="13" xfId="0" applyFont="1" applyFill="1" applyBorder="1" applyAlignment="1">
      <alignment horizontal="left" vertical="center" readingOrder="1"/>
    </xf>
    <xf numFmtId="0" fontId="13" fillId="3" borderId="0" xfId="0" applyFont="1" applyFill="1" applyAlignment="1">
      <alignment horizontal="left" vertical="center" readingOrder="1"/>
    </xf>
    <xf numFmtId="0" fontId="2" fillId="5" borderId="26"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5" borderId="27" xfId="0" applyFont="1" applyFill="1" applyBorder="1" applyAlignment="1">
      <alignment horizontal="center" vertical="center" wrapText="1"/>
    </xf>
    <xf numFmtId="0" fontId="2" fillId="14" borderId="26" xfId="0" applyFont="1" applyFill="1" applyBorder="1" applyAlignment="1">
      <alignment horizontal="center"/>
    </xf>
    <xf numFmtId="0" fontId="2" fillId="14" borderId="1" xfId="0" applyFont="1" applyFill="1" applyBorder="1" applyAlignment="1">
      <alignment horizontal="center"/>
    </xf>
    <xf numFmtId="0" fontId="2" fillId="14" borderId="27" xfId="0" applyFont="1" applyFill="1" applyBorder="1" applyAlignment="1">
      <alignment horizontal="center"/>
    </xf>
    <xf numFmtId="2" fontId="2" fillId="0" borderId="45" xfId="0" applyNumberFormat="1" applyFont="1" applyBorder="1" applyAlignment="1">
      <alignment horizontal="center"/>
    </xf>
    <xf numFmtId="2" fontId="2" fillId="0" borderId="56" xfId="0" applyNumberFormat="1" applyFont="1" applyBorder="1" applyAlignment="1">
      <alignment horizontal="center"/>
    </xf>
    <xf numFmtId="0" fontId="13" fillId="6" borderId="1" xfId="0" applyFont="1" applyFill="1" applyBorder="1" applyAlignment="1" applyProtection="1">
      <alignment horizontal="center"/>
      <protection locked="0"/>
    </xf>
    <xf numFmtId="0" fontId="13" fillId="6" borderId="27" xfId="0" applyFont="1" applyFill="1" applyBorder="1" applyAlignment="1" applyProtection="1">
      <alignment horizontal="center"/>
      <protection locked="0"/>
    </xf>
    <xf numFmtId="9" fontId="13" fillId="6" borderId="1" xfId="0" applyNumberFormat="1" applyFont="1" applyFill="1" applyBorder="1" applyAlignment="1" applyProtection="1">
      <alignment horizontal="center"/>
      <protection locked="0"/>
    </xf>
    <xf numFmtId="9" fontId="13" fillId="6" borderId="27" xfId="0" applyNumberFormat="1" applyFont="1" applyFill="1" applyBorder="1" applyAlignment="1" applyProtection="1">
      <alignment horizontal="center"/>
      <protection locked="0"/>
    </xf>
    <xf numFmtId="0" fontId="2" fillId="14" borderId="22" xfId="0" applyFont="1" applyFill="1" applyBorder="1" applyAlignment="1">
      <alignment horizontal="center"/>
    </xf>
    <xf numFmtId="0" fontId="2" fillId="14" borderId="58" xfId="0" applyFont="1" applyFill="1" applyBorder="1" applyAlignment="1">
      <alignment horizontal="center"/>
    </xf>
    <xf numFmtId="0" fontId="2" fillId="14" borderId="24" xfId="0" applyFont="1" applyFill="1" applyBorder="1" applyAlignment="1">
      <alignment horizontal="center"/>
    </xf>
    <xf numFmtId="0" fontId="0" fillId="0" borderId="0" xfId="0" applyAlignment="1">
      <alignment horizontal="center"/>
    </xf>
    <xf numFmtId="0" fontId="0" fillId="0" borderId="10" xfId="0" applyBorder="1" applyAlignment="1">
      <alignment horizontal="center"/>
    </xf>
    <xf numFmtId="0" fontId="0" fillId="3" borderId="11" xfId="0" applyFill="1" applyBorder="1" applyAlignment="1">
      <alignment horizontal="left"/>
    </xf>
    <xf numFmtId="0" fontId="13" fillId="3" borderId="12" xfId="0" applyFont="1" applyFill="1" applyBorder="1" applyAlignment="1">
      <alignment horizontal="left" vertical="center" readingOrder="1"/>
    </xf>
    <xf numFmtId="0" fontId="2" fillId="11" borderId="24" xfId="0" applyFont="1" applyFill="1" applyBorder="1" applyAlignment="1">
      <alignment horizontal="center"/>
    </xf>
    <xf numFmtId="0" fontId="0" fillId="6" borderId="1" xfId="0" applyFill="1" applyBorder="1" applyAlignment="1" applyProtection="1">
      <alignment horizontal="center"/>
      <protection locked="0"/>
    </xf>
    <xf numFmtId="0" fontId="0" fillId="6" borderId="27" xfId="0" applyFill="1" applyBorder="1" applyAlignment="1" applyProtection="1">
      <alignment horizontal="center"/>
      <protection locked="0"/>
    </xf>
    <xf numFmtId="10" fontId="2" fillId="0" borderId="1" xfId="3" applyNumberFormat="1" applyFont="1" applyFill="1" applyBorder="1" applyAlignment="1">
      <alignment horizontal="center"/>
    </xf>
    <xf numFmtId="10" fontId="2" fillId="0" borderId="27" xfId="3" applyNumberFormat="1" applyFont="1" applyFill="1" applyBorder="1" applyAlignment="1">
      <alignment horizontal="center"/>
    </xf>
    <xf numFmtId="10" fontId="2" fillId="0" borderId="29" xfId="3" applyNumberFormat="1" applyFont="1" applyFill="1" applyBorder="1" applyAlignment="1">
      <alignment horizontal="center"/>
    </xf>
    <xf numFmtId="10" fontId="2" fillId="0" borderId="30" xfId="3" applyNumberFormat="1" applyFont="1" applyFill="1" applyBorder="1" applyAlignment="1">
      <alignment horizontal="center"/>
    </xf>
    <xf numFmtId="0" fontId="2" fillId="5" borderId="22" xfId="0" applyFont="1" applyFill="1" applyBorder="1" applyAlignment="1">
      <alignment horizontal="center"/>
    </xf>
    <xf numFmtId="0" fontId="2" fillId="5" borderId="58" xfId="0" applyFont="1" applyFill="1" applyBorder="1" applyAlignment="1">
      <alignment horizontal="center"/>
    </xf>
    <xf numFmtId="0" fontId="2" fillId="5" borderId="23" xfId="0" applyFont="1" applyFill="1" applyBorder="1" applyAlignment="1">
      <alignment horizontal="center"/>
    </xf>
    <xf numFmtId="0" fontId="2" fillId="5" borderId="24" xfId="0" applyFont="1" applyFill="1" applyBorder="1" applyAlignment="1">
      <alignment horizontal="center"/>
    </xf>
    <xf numFmtId="37" fontId="12" fillId="0" borderId="1" xfId="1" applyNumberFormat="1" applyFont="1" applyFill="1" applyBorder="1" applyAlignment="1" applyProtection="1">
      <alignment horizontal="center" vertical="center"/>
    </xf>
    <xf numFmtId="37" fontId="12" fillId="0" borderId="27" xfId="1" applyNumberFormat="1" applyFont="1" applyFill="1" applyBorder="1" applyAlignment="1" applyProtection="1">
      <alignment horizontal="center" vertical="center"/>
    </xf>
    <xf numFmtId="3" fontId="2" fillId="3" borderId="33" xfId="0" applyNumberFormat="1" applyFont="1" applyFill="1" applyBorder="1" applyAlignment="1">
      <alignment horizontal="center" vertical="center"/>
    </xf>
    <xf numFmtId="3" fontId="2" fillId="3" borderId="4" xfId="0" applyNumberFormat="1" applyFont="1" applyFill="1" applyBorder="1" applyAlignment="1">
      <alignment horizontal="center" vertical="center"/>
    </xf>
    <xf numFmtId="3" fontId="2" fillId="3" borderId="34" xfId="0" applyNumberFormat="1" applyFont="1" applyFill="1" applyBorder="1" applyAlignment="1">
      <alignment horizontal="center" vertical="center"/>
    </xf>
    <xf numFmtId="3" fontId="2" fillId="0" borderId="26" xfId="0" applyNumberFormat="1" applyFont="1" applyBorder="1" applyAlignment="1">
      <alignment horizontal="center" vertical="center"/>
    </xf>
    <xf numFmtId="0" fontId="10" fillId="11" borderId="22" xfId="0" applyFont="1" applyFill="1" applyBorder="1" applyAlignment="1">
      <alignment horizontal="center" vertical="center" wrapText="1"/>
    </xf>
    <xf numFmtId="0" fontId="10" fillId="11" borderId="23" xfId="0" applyFont="1" applyFill="1" applyBorder="1" applyAlignment="1">
      <alignment horizontal="center" vertical="center" wrapText="1"/>
    </xf>
    <xf numFmtId="0" fontId="10" fillId="11" borderId="24" xfId="0" applyFont="1" applyFill="1" applyBorder="1" applyAlignment="1">
      <alignment horizontal="center" vertical="center" wrapText="1"/>
    </xf>
    <xf numFmtId="0" fontId="10" fillId="13" borderId="22" xfId="0" applyFont="1" applyFill="1" applyBorder="1" applyAlignment="1">
      <alignment horizontal="center" vertical="center" wrapText="1"/>
    </xf>
    <xf numFmtId="0" fontId="10" fillId="13" borderId="23" xfId="0" applyFont="1" applyFill="1" applyBorder="1" applyAlignment="1">
      <alignment horizontal="center" vertical="center" wrapText="1"/>
    </xf>
    <xf numFmtId="0" fontId="10" fillId="13" borderId="24" xfId="0" applyFont="1" applyFill="1" applyBorder="1" applyAlignment="1">
      <alignment horizontal="center" vertical="center" wrapText="1"/>
    </xf>
    <xf numFmtId="0" fontId="2" fillId="5" borderId="6" xfId="0" applyFont="1" applyFill="1" applyBorder="1" applyAlignment="1">
      <alignment horizontal="center"/>
    </xf>
    <xf numFmtId="0" fontId="2" fillId="5" borderId="7" xfId="0" applyFont="1" applyFill="1" applyBorder="1" applyAlignment="1">
      <alignment horizontal="center"/>
    </xf>
    <xf numFmtId="0" fontId="2" fillId="5" borderId="8" xfId="0" applyFont="1" applyFill="1" applyBorder="1" applyAlignment="1">
      <alignment horizontal="center"/>
    </xf>
    <xf numFmtId="0" fontId="2" fillId="11" borderId="6" xfId="0" applyFont="1" applyFill="1" applyBorder="1" applyAlignment="1">
      <alignment horizontal="center"/>
    </xf>
    <xf numFmtId="0" fontId="2" fillId="11" borderId="7" xfId="0" applyFont="1" applyFill="1" applyBorder="1" applyAlignment="1">
      <alignment horizontal="center"/>
    </xf>
    <xf numFmtId="0" fontId="2" fillId="11" borderId="8" xfId="0" applyFont="1" applyFill="1" applyBorder="1" applyAlignment="1">
      <alignment horizontal="center"/>
    </xf>
    <xf numFmtId="0" fontId="2" fillId="14" borderId="6" xfId="0" applyFont="1" applyFill="1" applyBorder="1" applyAlignment="1">
      <alignment horizontal="center"/>
    </xf>
    <xf numFmtId="0" fontId="2" fillId="14" borderId="7" xfId="0" applyFont="1" applyFill="1" applyBorder="1" applyAlignment="1">
      <alignment horizontal="center"/>
    </xf>
    <xf numFmtId="0" fontId="2" fillId="14" borderId="8" xfId="0" applyFont="1" applyFill="1" applyBorder="1" applyAlignment="1">
      <alignment horizontal="center"/>
    </xf>
    <xf numFmtId="0" fontId="10" fillId="5" borderId="6" xfId="0" applyFont="1" applyFill="1" applyBorder="1" applyAlignment="1">
      <alignment horizontal="center" vertical="center" wrapText="1"/>
    </xf>
    <xf numFmtId="0" fontId="10" fillId="5" borderId="8" xfId="0" applyFont="1" applyFill="1" applyBorder="1" applyAlignment="1">
      <alignment horizontal="center" vertical="center" wrapText="1"/>
    </xf>
    <xf numFmtId="0" fontId="2" fillId="0" borderId="26" xfId="0" applyFont="1" applyBorder="1" applyAlignment="1">
      <alignment horizontal="center" vertical="center" wrapText="1"/>
    </xf>
    <xf numFmtId="0" fontId="2" fillId="0" borderId="28" xfId="0" applyFont="1" applyBorder="1" applyAlignment="1">
      <alignment horizontal="center" vertical="center" wrapText="1"/>
    </xf>
    <xf numFmtId="0" fontId="18" fillId="2" borderId="16" xfId="0" applyFont="1" applyFill="1" applyBorder="1" applyAlignment="1">
      <alignment horizontal="center"/>
    </xf>
    <xf numFmtId="0" fontId="18" fillId="2" borderId="15" xfId="0" applyFont="1" applyFill="1" applyBorder="1" applyAlignment="1">
      <alignment horizontal="center"/>
    </xf>
    <xf numFmtId="0" fontId="10" fillId="5" borderId="40" xfId="0" applyFont="1" applyFill="1" applyBorder="1" applyAlignment="1">
      <alignment horizontal="center" vertical="center" wrapText="1"/>
    </xf>
    <xf numFmtId="0" fontId="10" fillId="5" borderId="41" xfId="0" applyFont="1" applyFill="1" applyBorder="1" applyAlignment="1">
      <alignment horizontal="center" vertical="center" wrapText="1"/>
    </xf>
    <xf numFmtId="0" fontId="10" fillId="5" borderId="42" xfId="0" applyFont="1" applyFill="1" applyBorder="1" applyAlignment="1">
      <alignment horizontal="center" vertical="center" wrapText="1"/>
    </xf>
    <xf numFmtId="37" fontId="12" fillId="0" borderId="33" xfId="1" applyNumberFormat="1" applyFont="1" applyFill="1" applyBorder="1" applyAlignment="1" applyProtection="1">
      <alignment horizontal="center" vertical="center"/>
    </xf>
    <xf numFmtId="37" fontId="12" fillId="0" borderId="5" xfId="1" applyNumberFormat="1" applyFont="1" applyFill="1" applyBorder="1" applyAlignment="1" applyProtection="1">
      <alignment horizontal="center" vertical="center"/>
    </xf>
    <xf numFmtId="37" fontId="12" fillId="0" borderId="3" xfId="1" applyNumberFormat="1" applyFont="1" applyFill="1" applyBorder="1" applyAlignment="1" applyProtection="1">
      <alignment horizontal="center" vertical="center"/>
    </xf>
    <xf numFmtId="37" fontId="12" fillId="0" borderId="4" xfId="1" applyNumberFormat="1" applyFont="1" applyFill="1" applyBorder="1" applyAlignment="1" applyProtection="1">
      <alignment horizontal="center" vertical="center"/>
    </xf>
    <xf numFmtId="37" fontId="12" fillId="0" borderId="34" xfId="1" applyNumberFormat="1" applyFont="1" applyFill="1" applyBorder="1" applyAlignment="1" applyProtection="1">
      <alignment horizontal="center" vertical="center"/>
    </xf>
    <xf numFmtId="0" fontId="10" fillId="11" borderId="6" xfId="0" applyFont="1" applyFill="1" applyBorder="1" applyAlignment="1">
      <alignment horizontal="center" vertical="center" wrapText="1"/>
    </xf>
    <xf numFmtId="0" fontId="10" fillId="11" borderId="7" xfId="0" applyFont="1" applyFill="1" applyBorder="1" applyAlignment="1">
      <alignment horizontal="center" vertical="center" wrapText="1"/>
    </xf>
    <xf numFmtId="0" fontId="10" fillId="13" borderId="6" xfId="0" applyFont="1" applyFill="1" applyBorder="1" applyAlignment="1">
      <alignment horizontal="center" vertical="center" wrapText="1"/>
    </xf>
    <xf numFmtId="0" fontId="10" fillId="13" borderId="7" xfId="0" applyFont="1" applyFill="1" applyBorder="1" applyAlignment="1">
      <alignment horizontal="center" vertical="center" wrapText="1"/>
    </xf>
    <xf numFmtId="37" fontId="12" fillId="0" borderId="26" xfId="1" applyNumberFormat="1" applyFont="1" applyFill="1" applyBorder="1" applyAlignment="1" applyProtection="1">
      <alignment horizontal="center" vertical="center"/>
    </xf>
    <xf numFmtId="0" fontId="10" fillId="5" borderId="22" xfId="0" applyFont="1" applyFill="1" applyBorder="1" applyAlignment="1">
      <alignment horizontal="center" vertical="center" wrapText="1"/>
    </xf>
    <xf numFmtId="0" fontId="10" fillId="5" borderId="23" xfId="0" applyFont="1" applyFill="1" applyBorder="1" applyAlignment="1">
      <alignment horizontal="center" vertical="center" wrapText="1"/>
    </xf>
    <xf numFmtId="0" fontId="10" fillId="5" borderId="24" xfId="0" applyFont="1" applyFill="1" applyBorder="1" applyAlignment="1">
      <alignment horizontal="center" vertical="center" wrapText="1"/>
    </xf>
    <xf numFmtId="0" fontId="12" fillId="5" borderId="22" xfId="0" applyFont="1" applyFill="1" applyBorder="1" applyAlignment="1">
      <alignment horizontal="center"/>
    </xf>
    <xf numFmtId="0" fontId="12" fillId="5" borderId="23" xfId="0" applyFont="1" applyFill="1" applyBorder="1" applyAlignment="1">
      <alignment horizontal="center"/>
    </xf>
    <xf numFmtId="0" fontId="12" fillId="5" borderId="24" xfId="0" applyFont="1" applyFill="1" applyBorder="1" applyAlignment="1">
      <alignment horizontal="center"/>
    </xf>
    <xf numFmtId="0" fontId="12" fillId="11" borderId="22" xfId="0" applyFont="1" applyFill="1" applyBorder="1" applyAlignment="1">
      <alignment horizontal="center"/>
    </xf>
    <xf numFmtId="0" fontId="12" fillId="11" borderId="23" xfId="0" applyFont="1" applyFill="1" applyBorder="1" applyAlignment="1">
      <alignment horizontal="center"/>
    </xf>
    <xf numFmtId="0" fontId="12" fillId="11" borderId="24" xfId="0" applyFont="1" applyFill="1" applyBorder="1" applyAlignment="1">
      <alignment horizontal="center"/>
    </xf>
    <xf numFmtId="0" fontId="12" fillId="5" borderId="40" xfId="0" applyFont="1" applyFill="1" applyBorder="1" applyAlignment="1">
      <alignment horizontal="center"/>
    </xf>
    <xf numFmtId="0" fontId="12" fillId="5" borderId="41" xfId="0" applyFont="1" applyFill="1" applyBorder="1" applyAlignment="1">
      <alignment horizontal="center"/>
    </xf>
    <xf numFmtId="0" fontId="12" fillId="5" borderId="42" xfId="0" applyFont="1" applyFill="1" applyBorder="1" applyAlignment="1">
      <alignment horizontal="center"/>
    </xf>
    <xf numFmtId="0" fontId="9" fillId="3" borderId="33" xfId="0" applyFont="1" applyFill="1" applyBorder="1" applyAlignment="1">
      <alignment horizontal="center" vertical="center"/>
    </xf>
    <xf numFmtId="0" fontId="9" fillId="3" borderId="4" xfId="0" applyFont="1" applyFill="1" applyBorder="1" applyAlignment="1">
      <alignment horizontal="center" vertical="center"/>
    </xf>
    <xf numFmtId="0" fontId="9" fillId="3" borderId="34" xfId="0" applyFont="1" applyFill="1" applyBorder="1" applyAlignment="1">
      <alignment horizontal="center" vertical="center"/>
    </xf>
    <xf numFmtId="0" fontId="9" fillId="0" borderId="33" xfId="0" applyFont="1" applyBorder="1" applyAlignment="1">
      <alignment horizontal="center" vertical="center"/>
    </xf>
    <xf numFmtId="0" fontId="9" fillId="0" borderId="4" xfId="0" applyFont="1" applyBorder="1" applyAlignment="1">
      <alignment horizontal="center" vertical="center"/>
    </xf>
    <xf numFmtId="0" fontId="9" fillId="0" borderId="34" xfId="0" applyFont="1" applyBorder="1" applyAlignment="1">
      <alignment horizontal="center" vertical="center"/>
    </xf>
    <xf numFmtId="0" fontId="18" fillId="2" borderId="46" xfId="0" applyFont="1" applyFill="1" applyBorder="1" applyAlignment="1">
      <alignment horizontal="center" vertical="top" wrapText="1"/>
    </xf>
    <xf numFmtId="0" fontId="18" fillId="2" borderId="44" xfId="0" applyFont="1" applyFill="1" applyBorder="1" applyAlignment="1">
      <alignment horizontal="center" vertical="top" wrapText="1"/>
    </xf>
    <xf numFmtId="0" fontId="18" fillId="2" borderId="47" xfId="0" applyFont="1" applyFill="1" applyBorder="1" applyAlignment="1">
      <alignment horizontal="center" vertical="top" wrapText="1"/>
    </xf>
    <xf numFmtId="0" fontId="12" fillId="13" borderId="22" xfId="0" applyFont="1" applyFill="1" applyBorder="1" applyAlignment="1">
      <alignment horizontal="center"/>
    </xf>
    <xf numFmtId="0" fontId="12" fillId="13" borderId="23" xfId="0" applyFont="1" applyFill="1" applyBorder="1" applyAlignment="1">
      <alignment horizontal="center"/>
    </xf>
    <xf numFmtId="0" fontId="12" fillId="13" borderId="24" xfId="0" applyFont="1" applyFill="1" applyBorder="1" applyAlignment="1">
      <alignment horizontal="center"/>
    </xf>
    <xf numFmtId="0" fontId="12" fillId="13" borderId="16" xfId="0" applyFont="1" applyFill="1" applyBorder="1" applyAlignment="1">
      <alignment horizontal="center"/>
    </xf>
    <xf numFmtId="0" fontId="12" fillId="13" borderId="15" xfId="0" applyFont="1" applyFill="1" applyBorder="1" applyAlignment="1">
      <alignment horizontal="center"/>
    </xf>
    <xf numFmtId="0" fontId="12" fillId="13" borderId="14" xfId="0" applyFont="1" applyFill="1" applyBorder="1" applyAlignment="1">
      <alignment horizontal="center"/>
    </xf>
    <xf numFmtId="0" fontId="2" fillId="2" borderId="22" xfId="0" applyFont="1" applyFill="1" applyBorder="1" applyAlignment="1">
      <alignment horizontal="center"/>
    </xf>
    <xf numFmtId="0" fontId="2" fillId="2" borderId="23" xfId="0" applyFont="1" applyFill="1" applyBorder="1" applyAlignment="1">
      <alignment horizontal="center"/>
    </xf>
    <xf numFmtId="0" fontId="2" fillId="2" borderId="24" xfId="0" applyFont="1" applyFill="1" applyBorder="1" applyAlignment="1">
      <alignment horizontal="center"/>
    </xf>
    <xf numFmtId="44" fontId="2" fillId="12" borderId="3" xfId="2" applyFont="1" applyFill="1" applyBorder="1" applyAlignment="1" applyProtection="1">
      <alignment horizontal="center" vertical="center"/>
      <protection locked="0"/>
    </xf>
    <xf numFmtId="44" fontId="2" fillId="12" borderId="4" xfId="2" applyFont="1" applyFill="1" applyBorder="1" applyAlignment="1" applyProtection="1">
      <alignment horizontal="center" vertical="center"/>
      <protection locked="0"/>
    </xf>
    <xf numFmtId="44" fontId="2" fillId="12" borderId="34" xfId="2" applyFont="1" applyFill="1" applyBorder="1" applyAlignment="1" applyProtection="1">
      <alignment horizontal="center" vertical="center"/>
      <protection locked="0"/>
    </xf>
    <xf numFmtId="0" fontId="18" fillId="2" borderId="14" xfId="0" applyFont="1" applyFill="1" applyBorder="1" applyAlignment="1">
      <alignment horizontal="center"/>
    </xf>
    <xf numFmtId="0" fontId="36" fillId="3" borderId="0" xfId="0" applyFont="1" applyFill="1" applyAlignment="1">
      <alignment horizontal="left" vertical="top" wrapText="1"/>
    </xf>
    <xf numFmtId="0" fontId="36" fillId="3" borderId="12" xfId="0" applyFont="1" applyFill="1" applyBorder="1" applyAlignment="1">
      <alignment horizontal="left" vertical="top" wrapText="1"/>
    </xf>
    <xf numFmtId="0" fontId="2" fillId="2" borderId="33" xfId="0" applyFont="1" applyFill="1" applyBorder="1" applyAlignment="1">
      <alignment horizontal="center"/>
    </xf>
    <xf numFmtId="0" fontId="2" fillId="2" borderId="34" xfId="0" applyFont="1" applyFill="1" applyBorder="1" applyAlignment="1">
      <alignment horizontal="center"/>
    </xf>
    <xf numFmtId="164" fontId="2" fillId="0" borderId="35" xfId="2" applyNumberFormat="1" applyFont="1" applyBorder="1" applyAlignment="1">
      <alignment horizontal="center"/>
    </xf>
    <xf numFmtId="164" fontId="2" fillId="0" borderId="36" xfId="2" applyNumberFormat="1" applyFont="1" applyBorder="1" applyAlignment="1">
      <alignment horizontal="center"/>
    </xf>
    <xf numFmtId="164" fontId="2" fillId="0" borderId="37" xfId="2" applyNumberFormat="1" applyFont="1" applyBorder="1" applyAlignment="1">
      <alignment horizontal="center"/>
    </xf>
    <xf numFmtId="0" fontId="2" fillId="0" borderId="26" xfId="0" applyFont="1" applyBorder="1" applyAlignment="1">
      <alignment horizontal="center"/>
    </xf>
    <xf numFmtId="0" fontId="2" fillId="0" borderId="1" xfId="0" applyFont="1" applyBorder="1" applyAlignment="1">
      <alignment horizontal="center"/>
    </xf>
    <xf numFmtId="0" fontId="2" fillId="0" borderId="46" xfId="0" applyFont="1" applyBorder="1" applyAlignment="1">
      <alignment horizontal="center"/>
    </xf>
    <xf numFmtId="0" fontId="2" fillId="0" borderId="44" xfId="0" applyFont="1" applyBorder="1" applyAlignment="1">
      <alignment horizontal="center"/>
    </xf>
    <xf numFmtId="0" fontId="2" fillId="2" borderId="40" xfId="0" applyFont="1" applyFill="1" applyBorder="1" applyAlignment="1">
      <alignment horizontal="center"/>
    </xf>
    <xf numFmtId="0" fontId="2" fillId="2" borderId="41" xfId="0" applyFont="1" applyFill="1" applyBorder="1" applyAlignment="1">
      <alignment horizontal="center"/>
    </xf>
    <xf numFmtId="0" fontId="2" fillId="2" borderId="42" xfId="0" applyFont="1" applyFill="1" applyBorder="1" applyAlignment="1">
      <alignment horizontal="center"/>
    </xf>
    <xf numFmtId="0" fontId="0" fillId="0" borderId="13" xfId="0" applyBorder="1" applyAlignment="1">
      <alignment horizontal="center"/>
    </xf>
    <xf numFmtId="0" fontId="0" fillId="0" borderId="11" xfId="0" applyBorder="1" applyAlignment="1">
      <alignment horizontal="center"/>
    </xf>
    <xf numFmtId="0" fontId="38" fillId="2" borderId="44" xfId="0" applyFont="1" applyFill="1" applyBorder="1" applyAlignment="1">
      <alignment horizontal="center"/>
    </xf>
    <xf numFmtId="0" fontId="31" fillId="7" borderId="26" xfId="0" applyFont="1" applyFill="1" applyBorder="1" applyAlignment="1">
      <alignment horizontal="left"/>
    </xf>
    <xf numFmtId="0" fontId="31" fillId="7" borderId="1" xfId="0" applyFont="1" applyFill="1" applyBorder="1" applyAlignment="1">
      <alignment horizontal="left"/>
    </xf>
    <xf numFmtId="0" fontId="31" fillId="7" borderId="27" xfId="0" applyFont="1" applyFill="1" applyBorder="1" applyAlignment="1">
      <alignment horizontal="left"/>
    </xf>
    <xf numFmtId="0" fontId="0" fillId="0" borderId="26" xfId="0" applyBorder="1" applyAlignment="1">
      <alignment horizontal="center"/>
    </xf>
    <xf numFmtId="0" fontId="0" fillId="0" borderId="1" xfId="0" applyBorder="1" applyAlignment="1">
      <alignment horizontal="center"/>
    </xf>
    <xf numFmtId="0" fontId="0" fillId="0" borderId="27" xfId="0" applyBorder="1" applyAlignment="1">
      <alignment horizontal="center"/>
    </xf>
    <xf numFmtId="0" fontId="0" fillId="0" borderId="33" xfId="0" applyBorder="1" applyAlignment="1">
      <alignment horizontal="center"/>
    </xf>
    <xf numFmtId="0" fontId="0" fillId="0" borderId="4" xfId="0" applyBorder="1" applyAlignment="1">
      <alignment horizontal="center"/>
    </xf>
    <xf numFmtId="0" fontId="0" fillId="0" borderId="34" xfId="0" applyBorder="1" applyAlignment="1">
      <alignment horizontal="center"/>
    </xf>
    <xf numFmtId="0" fontId="3" fillId="3" borderId="10" xfId="4" applyFill="1" applyBorder="1" applyAlignment="1">
      <alignment horizontal="left" wrapText="1"/>
    </xf>
    <xf numFmtId="0" fontId="3" fillId="3" borderId="9" xfId="4" applyFill="1" applyBorder="1" applyAlignment="1">
      <alignment horizontal="left" wrapText="1"/>
    </xf>
    <xf numFmtId="0" fontId="0" fillId="3" borderId="11" xfId="0" applyFill="1" applyBorder="1" applyAlignment="1">
      <alignment horizontal="left" vertical="top" wrapText="1"/>
    </xf>
    <xf numFmtId="0" fontId="0" fillId="3" borderId="10" xfId="0" applyFill="1" applyBorder="1" applyAlignment="1">
      <alignment horizontal="left" vertical="top" wrapText="1"/>
    </xf>
    <xf numFmtId="0" fontId="0" fillId="0" borderId="13" xfId="0" applyBorder="1" applyAlignment="1">
      <alignment horizontal="left" vertical="top" wrapText="1"/>
    </xf>
    <xf numFmtId="0" fontId="3" fillId="3" borderId="0" xfId="4" applyFill="1" applyBorder="1" applyAlignment="1">
      <alignment horizontal="left" vertical="top" wrapText="1"/>
    </xf>
    <xf numFmtId="0" fontId="3" fillId="3" borderId="12" xfId="4" applyFill="1" applyBorder="1" applyAlignment="1">
      <alignment horizontal="left" vertical="top" wrapText="1"/>
    </xf>
    <xf numFmtId="0" fontId="4" fillId="3" borderId="54" xfId="0" applyFont="1" applyFill="1" applyBorder="1" applyAlignment="1">
      <alignment horizontal="left"/>
    </xf>
    <xf numFmtId="0" fontId="4" fillId="3" borderId="36" xfId="0" applyFont="1" applyFill="1" applyBorder="1" applyAlignment="1">
      <alignment horizontal="left"/>
    </xf>
    <xf numFmtId="0" fontId="4" fillId="3" borderId="37" xfId="0" applyFont="1" applyFill="1" applyBorder="1" applyAlignment="1">
      <alignment horizontal="left"/>
    </xf>
    <xf numFmtId="0" fontId="2" fillId="2" borderId="26"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27" xfId="0" applyFont="1" applyFill="1" applyBorder="1" applyAlignment="1">
      <alignment horizontal="center" vertical="center" wrapText="1"/>
    </xf>
    <xf numFmtId="43" fontId="0" fillId="15" borderId="45" xfId="1" applyFont="1" applyFill="1" applyBorder="1" applyAlignment="1">
      <alignment horizontal="center"/>
    </xf>
    <xf numFmtId="43" fontId="0" fillId="15" borderId="48" xfId="1" applyFont="1" applyFill="1" applyBorder="1" applyAlignment="1">
      <alignment horizontal="center"/>
    </xf>
    <xf numFmtId="43" fontId="0" fillId="15" borderId="53" xfId="1" applyFont="1" applyFill="1" applyBorder="1" applyAlignment="1">
      <alignment horizontal="center"/>
    </xf>
    <xf numFmtId="0" fontId="6" fillId="2" borderId="3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6" fillId="2" borderId="34"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34" xfId="0" applyFont="1" applyFill="1" applyBorder="1" applyAlignment="1">
      <alignment horizontal="center" vertical="center" wrapText="1"/>
    </xf>
    <xf numFmtId="0" fontId="16" fillId="2" borderId="49" xfId="0" applyFont="1" applyFill="1" applyBorder="1" applyAlignment="1">
      <alignment horizontal="center" vertical="top" wrapText="1"/>
    </xf>
    <xf numFmtId="0" fontId="16" fillId="2" borderId="50" xfId="0" applyFont="1" applyFill="1" applyBorder="1" applyAlignment="1">
      <alignment horizontal="center" vertical="top" wrapText="1"/>
    </xf>
    <xf numFmtId="0" fontId="16" fillId="2" borderId="51" xfId="0" applyFont="1" applyFill="1" applyBorder="1" applyAlignment="1">
      <alignment horizontal="center" vertical="top" wrapText="1"/>
    </xf>
    <xf numFmtId="0" fontId="39" fillId="2" borderId="40" xfId="0" applyFont="1" applyFill="1" applyBorder="1" applyAlignment="1">
      <alignment horizontal="center"/>
    </xf>
    <xf numFmtId="0" fontId="39" fillId="2" borderId="41" xfId="0" applyFont="1" applyFill="1" applyBorder="1" applyAlignment="1">
      <alignment horizontal="center"/>
    </xf>
    <xf numFmtId="0" fontId="39" fillId="2" borderId="42" xfId="0" applyFont="1" applyFill="1" applyBorder="1" applyAlignment="1">
      <alignment horizontal="center"/>
    </xf>
    <xf numFmtId="0" fontId="2" fillId="13" borderId="22" xfId="0" applyFont="1" applyFill="1" applyBorder="1" applyAlignment="1">
      <alignment horizontal="center"/>
    </xf>
    <xf numFmtId="0" fontId="2" fillId="13" borderId="23" xfId="0" applyFont="1" applyFill="1" applyBorder="1" applyAlignment="1">
      <alignment horizontal="center"/>
    </xf>
    <xf numFmtId="0" fontId="2" fillId="13" borderId="24" xfId="0" applyFont="1" applyFill="1" applyBorder="1" applyAlignment="1">
      <alignment horizontal="center"/>
    </xf>
    <xf numFmtId="0" fontId="8" fillId="3" borderId="13" xfId="0" quotePrefix="1" applyFont="1" applyFill="1" applyBorder="1" applyAlignment="1">
      <alignment horizontal="left" wrapText="1"/>
    </xf>
    <xf numFmtId="0" fontId="8" fillId="3" borderId="0" xfId="0" quotePrefix="1" applyFont="1" applyFill="1" applyAlignment="1">
      <alignment horizontal="left" wrapText="1"/>
    </xf>
    <xf numFmtId="0" fontId="26" fillId="9" borderId="13" xfId="0" applyFont="1" applyFill="1" applyBorder="1" applyAlignment="1">
      <alignment horizontal="left" wrapText="1"/>
    </xf>
    <xf numFmtId="0" fontId="26" fillId="9" borderId="0" xfId="0" applyFont="1" applyFill="1" applyAlignment="1">
      <alignment horizontal="left" wrapText="1"/>
    </xf>
    <xf numFmtId="0" fontId="26" fillId="9" borderId="12" xfId="0" applyFont="1" applyFill="1" applyBorder="1" applyAlignment="1">
      <alignment horizontal="left" wrapText="1"/>
    </xf>
    <xf numFmtId="0" fontId="20" fillId="9" borderId="13" xfId="0" applyFont="1" applyFill="1" applyBorder="1" applyAlignment="1">
      <alignment horizontal="left" wrapText="1"/>
    </xf>
    <xf numFmtId="0" fontId="20" fillId="9" borderId="0" xfId="0" applyFont="1" applyFill="1" applyAlignment="1">
      <alignment horizontal="left" wrapText="1"/>
    </xf>
    <xf numFmtId="0" fontId="23" fillId="9" borderId="13" xfId="8" applyFill="1" applyBorder="1" applyAlignment="1" applyProtection="1">
      <alignment horizontal="left" wrapText="1"/>
    </xf>
    <xf numFmtId="0" fontId="23" fillId="9" borderId="0" xfId="8" applyFill="1" applyBorder="1" applyAlignment="1" applyProtection="1">
      <alignment horizontal="left" wrapText="1"/>
    </xf>
    <xf numFmtId="0" fontId="8" fillId="3" borderId="13" xfId="0" applyFont="1" applyFill="1" applyBorder="1" applyAlignment="1">
      <alignment horizontal="left" wrapText="1"/>
    </xf>
    <xf numFmtId="0" fontId="8" fillId="3" borderId="0" xfId="0" applyFont="1" applyFill="1" applyAlignment="1">
      <alignment horizontal="left" wrapText="1"/>
    </xf>
    <xf numFmtId="0" fontId="8" fillId="3" borderId="11" xfId="0" applyFont="1" applyFill="1" applyBorder="1" applyAlignment="1">
      <alignment horizontal="left" wrapText="1"/>
    </xf>
    <xf numFmtId="0" fontId="8" fillId="3" borderId="10" xfId="0" applyFont="1" applyFill="1" applyBorder="1" applyAlignment="1">
      <alignment horizontal="left" wrapText="1"/>
    </xf>
  </cellXfs>
  <cellStyles count="11">
    <cellStyle name="Comma" xfId="1" builtinId="3"/>
    <cellStyle name="Comma 2" xfId="6" xr:uid="{1590F04A-BDF6-40DE-930A-88A23726A822}"/>
    <cellStyle name="Currency" xfId="2" builtinId="4"/>
    <cellStyle name="Currency 2" xfId="9" xr:uid="{E17753BD-D206-4CB4-A8BD-F94E94D90608}"/>
    <cellStyle name="Hyperlink" xfId="4" builtinId="8"/>
    <cellStyle name="Hyperlink 2" xfId="8" xr:uid="{5A22B728-AF7E-4199-AFF5-4B5F2FB581C0}"/>
    <cellStyle name="Normal" xfId="0" builtinId="0"/>
    <cellStyle name="Normal 2" xfId="5" xr:uid="{DDF49767-8C8A-4B95-955D-75A6BD199C57}"/>
    <cellStyle name="Normal 6" xfId="10" xr:uid="{CDFCF4FD-97F0-4B5D-BF05-C5079BCE0D65}"/>
    <cellStyle name="Percent" xfId="3" builtinId="5"/>
    <cellStyle name="Percent 2" xfId="7" xr:uid="{ECBDE96B-542F-44DB-AE2B-534FE760E968}"/>
  </cellStyles>
  <dxfs count="36">
    <dxf>
      <font>
        <b/>
        <i val="0"/>
        <color rgb="FFFF0000"/>
      </font>
    </dxf>
    <dxf>
      <font>
        <b/>
        <i val="0"/>
        <color rgb="FFFF0000"/>
      </font>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9C0006"/>
      </font>
      <fill>
        <patternFill>
          <bgColor rgb="FFFFC7CE"/>
        </patternFill>
      </fill>
    </dxf>
    <dxf>
      <font>
        <b/>
        <i val="0"/>
        <color theme="0"/>
      </font>
      <fill>
        <patternFill>
          <bgColor rgb="FFFF0000"/>
        </patternFill>
      </fill>
    </dxf>
    <dxf>
      <font>
        <b/>
        <i val="0"/>
        <color theme="0"/>
      </font>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theme="0"/>
      </font>
      <fill>
        <patternFill>
          <bgColor rgb="FFFF0000"/>
        </patternFill>
      </fill>
    </dxf>
    <dxf>
      <font>
        <b/>
        <i val="0"/>
        <color theme="0"/>
      </font>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theme="0"/>
      </font>
      <fill>
        <patternFill>
          <bgColor rgb="FFFF0000"/>
        </patternFill>
      </fill>
    </dxf>
    <dxf>
      <font>
        <b/>
        <i val="0"/>
        <color theme="0"/>
      </font>
      <fill>
        <patternFill>
          <bgColor rgb="FFFF00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b/>
        <i val="0"/>
        <color theme="0"/>
      </font>
      <fill>
        <patternFill patternType="solid">
          <bgColor rgb="FFFF0000"/>
        </patternFill>
      </fill>
    </dxf>
    <dxf>
      <font>
        <b/>
        <i val="0"/>
        <color theme="0"/>
      </font>
      <fill>
        <patternFill patternType="solid">
          <bgColor rgb="FFFF0000"/>
        </patternFill>
      </fill>
    </dxf>
    <dxf>
      <font>
        <b/>
        <i val="0"/>
        <color theme="0"/>
      </font>
      <fill>
        <patternFill patternType="solid">
          <bgColor rgb="FFFF0000"/>
        </patternFill>
      </fill>
    </dxf>
  </dxfs>
  <tableStyles count="0" defaultTableStyle="TableStyleMedium2" defaultPivotStyle="PivotStyleLight16"/>
  <colors>
    <mruColors>
      <color rgb="FF20672B"/>
      <color rgb="FF83E28E"/>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Waste Composition in</a:t>
            </a:r>
            <a:r>
              <a:rPr lang="en-US" baseline="0"/>
              <a:t> Trash Bins</a:t>
            </a:r>
            <a:r>
              <a:rPr lang="en-US"/>
              <a:t> (By Volume)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spPr>
            <a:ln>
              <a:noFill/>
            </a:ln>
          </c:spPr>
          <c:dPt>
            <c:idx val="0"/>
            <c:bubble3D val="0"/>
            <c:spPr>
              <a:solidFill>
                <a:schemeClr val="accent1"/>
              </a:solidFill>
              <a:ln w="19050">
                <a:noFill/>
              </a:ln>
              <a:effectLst/>
            </c:spPr>
            <c:extLst>
              <c:ext xmlns:c16="http://schemas.microsoft.com/office/drawing/2014/chart" uri="{C3380CC4-5D6E-409C-BE32-E72D297353CC}">
                <c16:uniqueId val="{00000001-0770-4D2D-9672-3E8D96EEF7E9}"/>
              </c:ext>
            </c:extLst>
          </c:dPt>
          <c:dPt>
            <c:idx val="1"/>
            <c:bubble3D val="0"/>
            <c:spPr>
              <a:solidFill>
                <a:schemeClr val="accent2"/>
              </a:solidFill>
              <a:ln w="19050">
                <a:noFill/>
              </a:ln>
              <a:effectLst/>
            </c:spPr>
            <c:extLst>
              <c:ext xmlns:c16="http://schemas.microsoft.com/office/drawing/2014/chart" uri="{C3380CC4-5D6E-409C-BE32-E72D297353CC}">
                <c16:uniqueId val="{00000003-0770-4D2D-9672-3E8D96EEF7E9}"/>
              </c:ext>
            </c:extLst>
          </c:dPt>
          <c:dPt>
            <c:idx val="2"/>
            <c:bubble3D val="0"/>
            <c:spPr>
              <a:solidFill>
                <a:schemeClr val="accent3"/>
              </a:solidFill>
              <a:ln w="19050">
                <a:noFill/>
              </a:ln>
              <a:effectLst/>
            </c:spPr>
            <c:extLst>
              <c:ext xmlns:c16="http://schemas.microsoft.com/office/drawing/2014/chart" uri="{C3380CC4-5D6E-409C-BE32-E72D297353CC}">
                <c16:uniqueId val="{00000005-0770-4D2D-9672-3E8D96EEF7E9}"/>
              </c:ext>
            </c:extLst>
          </c:dPt>
          <c:dPt>
            <c:idx val="3"/>
            <c:bubble3D val="0"/>
            <c:spPr>
              <a:solidFill>
                <a:schemeClr val="accent4"/>
              </a:solidFill>
              <a:ln w="19050">
                <a:noFill/>
              </a:ln>
              <a:effectLst/>
            </c:spPr>
            <c:extLst>
              <c:ext xmlns:c16="http://schemas.microsoft.com/office/drawing/2014/chart" uri="{C3380CC4-5D6E-409C-BE32-E72D297353CC}">
                <c16:uniqueId val="{00000007-0770-4D2D-9672-3E8D96EEF7E9}"/>
              </c:ext>
            </c:extLst>
          </c:dPt>
          <c:dPt>
            <c:idx val="4"/>
            <c:bubble3D val="0"/>
            <c:spPr>
              <a:solidFill>
                <a:schemeClr val="accent5"/>
              </a:solidFill>
              <a:ln w="19050">
                <a:noFill/>
              </a:ln>
              <a:effectLst/>
            </c:spPr>
            <c:extLst>
              <c:ext xmlns:c16="http://schemas.microsoft.com/office/drawing/2014/chart" uri="{C3380CC4-5D6E-409C-BE32-E72D297353CC}">
                <c16:uniqueId val="{00000009-0770-4D2D-9672-3E8D96EEF7E9}"/>
              </c:ext>
            </c:extLst>
          </c:dPt>
          <c:dPt>
            <c:idx val="5"/>
            <c:bubble3D val="0"/>
            <c:spPr>
              <a:solidFill>
                <a:schemeClr val="accent6"/>
              </a:solidFill>
              <a:ln w="19050">
                <a:noFill/>
              </a:ln>
              <a:effectLst/>
            </c:spPr>
            <c:extLst>
              <c:ext xmlns:c16="http://schemas.microsoft.com/office/drawing/2014/chart" uri="{C3380CC4-5D6E-409C-BE32-E72D297353CC}">
                <c16:uniqueId val="{0000000B-0770-4D2D-9672-3E8D96EEF7E9}"/>
              </c:ext>
            </c:extLst>
          </c:dPt>
          <c:dPt>
            <c:idx val="6"/>
            <c:bubble3D val="0"/>
            <c:spPr>
              <a:solidFill>
                <a:schemeClr val="accent1">
                  <a:lumMod val="60000"/>
                </a:schemeClr>
              </a:solidFill>
              <a:ln w="19050">
                <a:noFill/>
              </a:ln>
              <a:effectLst/>
            </c:spPr>
            <c:extLst>
              <c:ext xmlns:c16="http://schemas.microsoft.com/office/drawing/2014/chart" uri="{C3380CC4-5D6E-409C-BE32-E72D297353CC}">
                <c16:uniqueId val="{0000000D-0770-4D2D-9672-3E8D96EEF7E9}"/>
              </c:ext>
            </c:extLst>
          </c:dPt>
          <c:dPt>
            <c:idx val="7"/>
            <c:bubble3D val="0"/>
            <c:spPr>
              <a:solidFill>
                <a:schemeClr val="accent2">
                  <a:lumMod val="60000"/>
                </a:schemeClr>
              </a:solidFill>
              <a:ln w="19050">
                <a:noFill/>
              </a:ln>
              <a:effectLst/>
            </c:spPr>
            <c:extLst>
              <c:ext xmlns:c16="http://schemas.microsoft.com/office/drawing/2014/chart" uri="{C3380CC4-5D6E-409C-BE32-E72D297353CC}">
                <c16:uniqueId val="{0000000F-0770-4D2D-9672-3E8D96EEF7E9}"/>
              </c:ext>
            </c:extLst>
          </c:dPt>
          <c:dPt>
            <c:idx val="8"/>
            <c:bubble3D val="0"/>
            <c:spPr>
              <a:solidFill>
                <a:schemeClr val="accent3">
                  <a:lumMod val="60000"/>
                </a:schemeClr>
              </a:solidFill>
              <a:ln w="19050">
                <a:noFill/>
              </a:ln>
              <a:effectLst/>
            </c:spPr>
            <c:extLst>
              <c:ext xmlns:c16="http://schemas.microsoft.com/office/drawing/2014/chart" uri="{C3380CC4-5D6E-409C-BE32-E72D297353CC}">
                <c16:uniqueId val="{00000011-0770-4D2D-9672-3E8D96EEF7E9}"/>
              </c:ext>
            </c:extLst>
          </c:dPt>
          <c:dPt>
            <c:idx val="9"/>
            <c:bubble3D val="0"/>
            <c:spPr>
              <a:solidFill>
                <a:schemeClr val="accent4">
                  <a:lumMod val="60000"/>
                </a:schemeClr>
              </a:solidFill>
              <a:ln w="19050">
                <a:noFill/>
              </a:ln>
              <a:effectLst/>
            </c:spPr>
            <c:extLst>
              <c:ext xmlns:c16="http://schemas.microsoft.com/office/drawing/2014/chart" uri="{C3380CC4-5D6E-409C-BE32-E72D297353CC}">
                <c16:uniqueId val="{00000013-0770-4D2D-9672-3E8D96EEF7E9}"/>
              </c:ext>
            </c:extLst>
          </c:dPt>
          <c:dPt>
            <c:idx val="10"/>
            <c:bubble3D val="0"/>
            <c:spPr>
              <a:solidFill>
                <a:schemeClr val="accent5">
                  <a:lumMod val="60000"/>
                </a:schemeClr>
              </a:solidFill>
              <a:ln w="19050">
                <a:noFill/>
              </a:ln>
              <a:effectLst/>
            </c:spPr>
            <c:extLst>
              <c:ext xmlns:c16="http://schemas.microsoft.com/office/drawing/2014/chart" uri="{C3380CC4-5D6E-409C-BE32-E72D297353CC}">
                <c16:uniqueId val="{00000015-0770-4D2D-9672-3E8D96EEF7E9}"/>
              </c:ext>
            </c:extLst>
          </c:dPt>
          <c:dPt>
            <c:idx val="11"/>
            <c:bubble3D val="0"/>
            <c:spPr>
              <a:solidFill>
                <a:schemeClr val="accent6">
                  <a:lumMod val="60000"/>
                </a:schemeClr>
              </a:solidFill>
              <a:ln w="19050">
                <a:noFill/>
              </a:ln>
              <a:effectLst/>
            </c:spPr>
            <c:extLst>
              <c:ext xmlns:c16="http://schemas.microsoft.com/office/drawing/2014/chart" uri="{C3380CC4-5D6E-409C-BE32-E72D297353CC}">
                <c16:uniqueId val="{00000017-0770-4D2D-9672-3E8D96EEF7E9}"/>
              </c:ext>
            </c:extLst>
          </c:dPt>
          <c:dPt>
            <c:idx val="12"/>
            <c:bubble3D val="0"/>
            <c:spPr>
              <a:solidFill>
                <a:schemeClr val="accent1">
                  <a:lumMod val="80000"/>
                  <a:lumOff val="20000"/>
                </a:schemeClr>
              </a:solidFill>
              <a:ln w="19050">
                <a:noFill/>
              </a:ln>
              <a:effectLst/>
            </c:spPr>
            <c:extLst>
              <c:ext xmlns:c16="http://schemas.microsoft.com/office/drawing/2014/chart" uri="{C3380CC4-5D6E-409C-BE32-E72D297353CC}">
                <c16:uniqueId val="{00000019-0770-4D2D-9672-3E8D96EEF7E9}"/>
              </c:ext>
            </c:extLst>
          </c:dPt>
          <c:dPt>
            <c:idx val="13"/>
            <c:bubble3D val="0"/>
            <c:spPr>
              <a:solidFill>
                <a:schemeClr val="accent2">
                  <a:lumMod val="80000"/>
                  <a:lumOff val="20000"/>
                </a:schemeClr>
              </a:solidFill>
              <a:ln w="19050">
                <a:noFill/>
              </a:ln>
              <a:effectLst/>
            </c:spPr>
            <c:extLst>
              <c:ext xmlns:c16="http://schemas.microsoft.com/office/drawing/2014/chart" uri="{C3380CC4-5D6E-409C-BE32-E72D297353CC}">
                <c16:uniqueId val="{0000001B-0770-4D2D-9672-3E8D96EEF7E9}"/>
              </c:ext>
            </c:extLst>
          </c:dPt>
          <c:dPt>
            <c:idx val="14"/>
            <c:bubble3D val="0"/>
            <c:spPr>
              <a:solidFill>
                <a:schemeClr val="accent3">
                  <a:lumMod val="80000"/>
                  <a:lumOff val="20000"/>
                </a:schemeClr>
              </a:solidFill>
              <a:ln w="19050">
                <a:noFill/>
              </a:ln>
              <a:effectLst/>
            </c:spPr>
            <c:extLst>
              <c:ext xmlns:c16="http://schemas.microsoft.com/office/drawing/2014/chart" uri="{C3380CC4-5D6E-409C-BE32-E72D297353CC}">
                <c16:uniqueId val="{0000001D-0770-4D2D-9672-3E8D96EEF7E9}"/>
              </c:ext>
            </c:extLst>
          </c:dPt>
          <c:dPt>
            <c:idx val="15"/>
            <c:bubble3D val="0"/>
            <c:spPr>
              <a:solidFill>
                <a:schemeClr val="accent4">
                  <a:lumMod val="80000"/>
                  <a:lumOff val="20000"/>
                </a:schemeClr>
              </a:solidFill>
              <a:ln w="19050">
                <a:noFill/>
              </a:ln>
              <a:effectLst/>
            </c:spPr>
            <c:extLst>
              <c:ext xmlns:c16="http://schemas.microsoft.com/office/drawing/2014/chart" uri="{C3380CC4-5D6E-409C-BE32-E72D297353CC}">
                <c16:uniqueId val="{0000001F-0770-4D2D-9672-3E8D96EEF7E9}"/>
              </c:ext>
            </c:extLst>
          </c:dPt>
          <c:dPt>
            <c:idx val="16"/>
            <c:bubble3D val="0"/>
            <c:spPr>
              <a:solidFill>
                <a:schemeClr val="accent5">
                  <a:lumMod val="80000"/>
                  <a:lumOff val="20000"/>
                </a:schemeClr>
              </a:solidFill>
              <a:ln w="19050">
                <a:noFill/>
              </a:ln>
              <a:effectLst/>
            </c:spPr>
            <c:extLst>
              <c:ext xmlns:c16="http://schemas.microsoft.com/office/drawing/2014/chart" uri="{C3380CC4-5D6E-409C-BE32-E72D297353CC}">
                <c16:uniqueId val="{00000021-0770-4D2D-9672-3E8D96EEF7E9}"/>
              </c:ext>
            </c:extLst>
          </c:dPt>
          <c:dPt>
            <c:idx val="17"/>
            <c:bubble3D val="0"/>
            <c:spPr>
              <a:solidFill>
                <a:schemeClr val="accent6">
                  <a:lumMod val="80000"/>
                  <a:lumOff val="20000"/>
                </a:schemeClr>
              </a:solidFill>
              <a:ln w="19050">
                <a:noFill/>
              </a:ln>
              <a:effectLst/>
            </c:spPr>
            <c:extLst>
              <c:ext xmlns:c16="http://schemas.microsoft.com/office/drawing/2014/chart" uri="{C3380CC4-5D6E-409C-BE32-E72D297353CC}">
                <c16:uniqueId val="{00000023-0770-4D2D-9672-3E8D96EEF7E9}"/>
              </c:ext>
            </c:extLst>
          </c:dPt>
          <c:dPt>
            <c:idx val="18"/>
            <c:bubble3D val="0"/>
            <c:spPr>
              <a:solidFill>
                <a:schemeClr val="accent1">
                  <a:lumMod val="80000"/>
                </a:schemeClr>
              </a:solidFill>
              <a:ln w="19050">
                <a:noFill/>
              </a:ln>
              <a:effectLst/>
            </c:spPr>
            <c:extLst>
              <c:ext xmlns:c16="http://schemas.microsoft.com/office/drawing/2014/chart" uri="{C3380CC4-5D6E-409C-BE32-E72D297353CC}">
                <c16:uniqueId val="{00000025-E8E1-4F22-A42A-268C778A4EDE}"/>
              </c:ext>
            </c:extLst>
          </c:dPt>
          <c:dPt>
            <c:idx val="19"/>
            <c:bubble3D val="0"/>
            <c:spPr>
              <a:solidFill>
                <a:schemeClr val="accent2">
                  <a:lumMod val="80000"/>
                </a:schemeClr>
              </a:solidFill>
              <a:ln w="19050">
                <a:noFill/>
              </a:ln>
              <a:effectLst/>
            </c:spPr>
            <c:extLst>
              <c:ext xmlns:c16="http://schemas.microsoft.com/office/drawing/2014/chart" uri="{C3380CC4-5D6E-409C-BE32-E72D297353CC}">
                <c16:uniqueId val="{00000027-E8E1-4F22-A42A-268C778A4EDE}"/>
              </c:ext>
            </c:extLst>
          </c:dPt>
          <c:dPt>
            <c:idx val="20"/>
            <c:bubble3D val="0"/>
            <c:spPr>
              <a:solidFill>
                <a:schemeClr val="accent3">
                  <a:lumMod val="80000"/>
                </a:schemeClr>
              </a:solidFill>
              <a:ln w="19050">
                <a:noFill/>
              </a:ln>
              <a:effectLst/>
            </c:spPr>
            <c:extLst>
              <c:ext xmlns:c16="http://schemas.microsoft.com/office/drawing/2014/chart" uri="{C3380CC4-5D6E-409C-BE32-E72D297353CC}">
                <c16:uniqueId val="{00000029-E8E1-4F22-A42A-268C778A4EDE}"/>
              </c:ext>
            </c:extLst>
          </c:dPt>
          <c:dPt>
            <c:idx val="21"/>
            <c:bubble3D val="0"/>
            <c:spPr>
              <a:solidFill>
                <a:schemeClr val="accent4">
                  <a:lumMod val="80000"/>
                </a:schemeClr>
              </a:solidFill>
              <a:ln w="19050">
                <a:noFill/>
              </a:ln>
              <a:effectLst/>
            </c:spPr>
            <c:extLst>
              <c:ext xmlns:c16="http://schemas.microsoft.com/office/drawing/2014/chart" uri="{C3380CC4-5D6E-409C-BE32-E72D297353CC}">
                <c16:uniqueId val="{0000002B-E8E1-4F22-A42A-268C778A4EDE}"/>
              </c:ext>
            </c:extLst>
          </c:dPt>
          <c:dPt>
            <c:idx val="22"/>
            <c:bubble3D val="0"/>
            <c:spPr>
              <a:solidFill>
                <a:schemeClr val="accent5">
                  <a:lumMod val="80000"/>
                </a:schemeClr>
              </a:solidFill>
              <a:ln w="19050">
                <a:noFill/>
              </a:ln>
              <a:effectLst/>
            </c:spPr>
            <c:extLst>
              <c:ext xmlns:c16="http://schemas.microsoft.com/office/drawing/2014/chart" uri="{C3380CC4-5D6E-409C-BE32-E72D297353CC}">
                <c16:uniqueId val="{0000002D-E8E1-4F22-A42A-268C778A4EDE}"/>
              </c:ext>
            </c:extLst>
          </c:dPt>
          <c:dPt>
            <c:idx val="23"/>
            <c:bubble3D val="0"/>
            <c:spPr>
              <a:solidFill>
                <a:schemeClr val="accent6">
                  <a:lumMod val="80000"/>
                </a:schemeClr>
              </a:solidFill>
              <a:ln w="19050">
                <a:noFill/>
              </a:ln>
              <a:effectLst/>
            </c:spPr>
            <c:extLst>
              <c:ext xmlns:c16="http://schemas.microsoft.com/office/drawing/2014/chart" uri="{C3380CC4-5D6E-409C-BE32-E72D297353CC}">
                <c16:uniqueId val="{0000002F-E8E1-4F22-A42A-268C778A4EDE}"/>
              </c:ext>
            </c:extLst>
          </c:dPt>
          <c:dPt>
            <c:idx val="24"/>
            <c:bubble3D val="0"/>
            <c:spPr>
              <a:solidFill>
                <a:schemeClr val="accent1">
                  <a:lumMod val="60000"/>
                  <a:lumOff val="40000"/>
                </a:schemeClr>
              </a:solidFill>
              <a:ln w="19050">
                <a:noFill/>
              </a:ln>
              <a:effectLst/>
            </c:spPr>
            <c:extLst>
              <c:ext xmlns:c16="http://schemas.microsoft.com/office/drawing/2014/chart" uri="{C3380CC4-5D6E-409C-BE32-E72D297353CC}">
                <c16:uniqueId val="{00000031-E8E1-4F22-A42A-268C778A4EDE}"/>
              </c:ext>
            </c:extLst>
          </c:dPt>
          <c:dPt>
            <c:idx val="25"/>
            <c:bubble3D val="0"/>
            <c:spPr>
              <a:solidFill>
                <a:schemeClr val="accent2">
                  <a:lumMod val="60000"/>
                  <a:lumOff val="40000"/>
                </a:schemeClr>
              </a:solidFill>
              <a:ln w="19050">
                <a:noFill/>
              </a:ln>
              <a:effectLst/>
            </c:spPr>
            <c:extLst>
              <c:ext xmlns:c16="http://schemas.microsoft.com/office/drawing/2014/chart" uri="{C3380CC4-5D6E-409C-BE32-E72D297353CC}">
                <c16:uniqueId val="{00000033-E8E1-4F22-A42A-268C778A4EDE}"/>
              </c:ext>
            </c:extLst>
          </c:dPt>
          <c:dPt>
            <c:idx val="26"/>
            <c:bubble3D val="0"/>
            <c:spPr>
              <a:solidFill>
                <a:schemeClr val="accent3">
                  <a:lumMod val="60000"/>
                  <a:lumOff val="40000"/>
                </a:schemeClr>
              </a:solidFill>
              <a:ln w="19050">
                <a:noFill/>
              </a:ln>
              <a:effectLst/>
            </c:spPr>
            <c:extLst>
              <c:ext xmlns:c16="http://schemas.microsoft.com/office/drawing/2014/chart" uri="{C3380CC4-5D6E-409C-BE32-E72D297353CC}">
                <c16:uniqueId val="{00000035-E8E1-4F22-A42A-268C778A4EDE}"/>
              </c:ext>
            </c:extLst>
          </c:dPt>
          <c:dPt>
            <c:idx val="27"/>
            <c:bubble3D val="0"/>
            <c:spPr>
              <a:solidFill>
                <a:schemeClr val="accent4">
                  <a:lumMod val="60000"/>
                  <a:lumOff val="40000"/>
                </a:schemeClr>
              </a:solidFill>
              <a:ln w="19050">
                <a:noFill/>
              </a:ln>
              <a:effectLst/>
            </c:spPr>
            <c:extLst>
              <c:ext xmlns:c16="http://schemas.microsoft.com/office/drawing/2014/chart" uri="{C3380CC4-5D6E-409C-BE32-E72D297353CC}">
                <c16:uniqueId val="{00000037-E8E1-4F22-A42A-268C778A4EDE}"/>
              </c:ext>
            </c:extLst>
          </c:dPt>
          <c:dPt>
            <c:idx val="28"/>
            <c:bubble3D val="0"/>
            <c:spPr>
              <a:solidFill>
                <a:schemeClr val="accent5">
                  <a:lumMod val="60000"/>
                  <a:lumOff val="40000"/>
                </a:schemeClr>
              </a:solidFill>
              <a:ln w="19050">
                <a:noFill/>
              </a:ln>
              <a:effectLst/>
            </c:spPr>
            <c:extLst>
              <c:ext xmlns:c16="http://schemas.microsoft.com/office/drawing/2014/chart" uri="{C3380CC4-5D6E-409C-BE32-E72D297353CC}">
                <c16:uniqueId val="{00000039-45D0-4516-B527-6F803FA52E3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('Waste Composition'!$B$48:$B$74,'Waste Composition'!$B$76:$B$77)</c:f>
              <c:strCache>
                <c:ptCount val="29"/>
                <c:pt idx="0">
                  <c:v>Cardboard</c:v>
                </c:pt>
                <c:pt idx="1">
                  <c:v>Mixed Paper</c:v>
                </c:pt>
                <c:pt idx="2">
                  <c:v>Office Paper</c:v>
                </c:pt>
                <c:pt idx="3">
                  <c:v>Plastic #1 PET</c:v>
                </c:pt>
                <c:pt idx="4">
                  <c:v>Plastic #2 HDPE</c:v>
                </c:pt>
                <c:pt idx="5">
                  <c:v>Plastic #5 PP</c:v>
                </c:pt>
                <c:pt idx="6">
                  <c:v>Plastic #3-7 Mixed</c:v>
                </c:pt>
                <c:pt idx="7">
                  <c:v>Plastic Film/Bags</c:v>
                </c:pt>
                <c:pt idx="8">
                  <c:v>Plastic Foam</c:v>
                </c:pt>
                <c:pt idx="9">
                  <c:v>Other Plastics</c:v>
                </c:pt>
                <c:pt idx="10">
                  <c:v>Glass Containers</c:v>
                </c:pt>
                <c:pt idx="11">
                  <c:v>Other Glass</c:v>
                </c:pt>
                <c:pt idx="12">
                  <c:v>Aluminum Cans</c:v>
                </c:pt>
                <c:pt idx="13">
                  <c:v>Steel/Tin Cans</c:v>
                </c:pt>
                <c:pt idx="14">
                  <c:v>Ferrous Metal</c:v>
                </c:pt>
                <c:pt idx="15">
                  <c:v>Non-Ferrous Metal</c:v>
                </c:pt>
                <c:pt idx="16">
                  <c:v>Batteries</c:v>
                </c:pt>
                <c:pt idx="17">
                  <c:v>Appliances</c:v>
                </c:pt>
                <c:pt idx="18">
                  <c:v>Electronics</c:v>
                </c:pt>
                <c:pt idx="19">
                  <c:v>Tires</c:v>
                </c:pt>
                <c:pt idx="20">
                  <c:v>Textiles</c:v>
                </c:pt>
                <c:pt idx="21">
                  <c:v>Other Recyclable Materials</c:v>
                </c:pt>
                <c:pt idx="22">
                  <c:v>Wood Pallets</c:v>
                </c:pt>
                <c:pt idx="23">
                  <c:v>Food Waste</c:v>
                </c:pt>
                <c:pt idx="24">
                  <c:v>Yard Waste</c:v>
                </c:pt>
                <c:pt idx="25">
                  <c:v>Biosolids</c:v>
                </c:pt>
                <c:pt idx="26">
                  <c:v>Other Organics</c:v>
                </c:pt>
                <c:pt idx="27">
                  <c:v>Landfill Waste</c:v>
                </c:pt>
                <c:pt idx="28">
                  <c:v>Other Waste</c:v>
                </c:pt>
              </c:strCache>
            </c:strRef>
          </c:cat>
          <c:val>
            <c:numRef>
              <c:f>('Waste Composition'!$F$48:$F$74,'Waste Composition'!$F$76:$F$77)</c:f>
              <c:numCache>
                <c:formatCode>0.00%</c:formatCode>
                <c:ptCount val="2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numCache>
            </c:numRef>
          </c:val>
          <c:extLst>
            <c:ext xmlns:c16="http://schemas.microsoft.com/office/drawing/2014/chart" uri="{C3380CC4-5D6E-409C-BE32-E72D297353CC}">
              <c16:uniqueId val="{00000028-0770-4D2D-9672-3E8D96EEF7E9}"/>
            </c:ext>
          </c:extLst>
        </c:ser>
        <c:dLbls>
          <c:showLegendKey val="0"/>
          <c:showVal val="0"/>
          <c:showCatName val="0"/>
          <c:showSerName val="0"/>
          <c:showPercent val="0"/>
          <c:showBubbleSize val="0"/>
          <c:showLeaderLines val="1"/>
        </c:dLbls>
        <c:firstSliceAng val="0"/>
      </c:pieChart>
      <c:spPr>
        <a:noFill/>
        <a:ln>
          <a:noFill/>
        </a:ln>
        <a:effectLst/>
      </c:spPr>
    </c:plotArea>
    <c:legend>
      <c:legendPos val="r"/>
      <c:layout>
        <c:manualLayout>
          <c:xMode val="edge"/>
          <c:yMode val="edge"/>
          <c:x val="0.82673499962046104"/>
          <c:y val="0.12156399995330475"/>
          <c:w val="0.16367267303293404"/>
          <c:h val="0.82028242587942557"/>
        </c:manualLayout>
      </c:layout>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Monthly</a:t>
            </a:r>
            <a:r>
              <a:rPr lang="en-US" b="1" baseline="0"/>
              <a:t> Tonnage Activity &amp; Diversion Rate</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7.3909413487352263E-2"/>
          <c:y val="9.7365112886812627E-2"/>
          <c:w val="0.88644332058396658"/>
          <c:h val="0.77218495439883272"/>
        </c:manualLayout>
      </c:layout>
      <c:barChart>
        <c:barDir val="col"/>
        <c:grouping val="clustered"/>
        <c:varyColors val="0"/>
        <c:ser>
          <c:idx val="0"/>
          <c:order val="0"/>
          <c:tx>
            <c:strRef>
              <c:f>'Monthly Tracker'!$J$29</c:f>
              <c:strCache>
                <c:ptCount val="1"/>
                <c:pt idx="0">
                  <c:v>Landfill (Tons)</c:v>
                </c:pt>
              </c:strCache>
            </c:strRef>
          </c:tx>
          <c:spPr>
            <a:solidFill>
              <a:schemeClr val="bg1">
                <a:lumMod val="75000"/>
              </a:schemeClr>
            </a:solidFill>
            <a:ln>
              <a:noFill/>
            </a:ln>
            <a:effectLst/>
          </c:spPr>
          <c:invertIfNegative val="0"/>
          <c:cat>
            <c:strRef>
              <c:f>'Monthly Tracker'!$K$28:$V$28</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Tracker'!$K$29:$V$29</c:f>
              <c:numCache>
                <c:formatCode>_(* #,##0.00_);_(* \(#,##0.00\);_(* "-"??_);_(@_)</c:formatCode>
                <c:ptCount val="12"/>
                <c:pt idx="0">
                  <c:v>3.9720533333333332</c:v>
                </c:pt>
                <c:pt idx="1">
                  <c:v>3.9720533333333332</c:v>
                </c:pt>
                <c:pt idx="2">
                  <c:v>3.9720533333333332</c:v>
                </c:pt>
                <c:pt idx="3">
                  <c:v>3.9720533333333332</c:v>
                </c:pt>
                <c:pt idx="4">
                  <c:v>3.9720533333333332</c:v>
                </c:pt>
                <c:pt idx="5">
                  <c:v>3.9720533333333332</c:v>
                </c:pt>
                <c:pt idx="6">
                  <c:v>3.9720533333333332</c:v>
                </c:pt>
                <c:pt idx="7">
                  <c:v>3.9720533333333332</c:v>
                </c:pt>
                <c:pt idx="8">
                  <c:v>3.9720533333333332</c:v>
                </c:pt>
                <c:pt idx="9">
                  <c:v>3.9720533333333332</c:v>
                </c:pt>
                <c:pt idx="10">
                  <c:v>3.9720533333333332</c:v>
                </c:pt>
                <c:pt idx="11">
                  <c:v>3.9720533333333332</c:v>
                </c:pt>
              </c:numCache>
            </c:numRef>
          </c:val>
          <c:extLst>
            <c:ext xmlns:c16="http://schemas.microsoft.com/office/drawing/2014/chart" uri="{C3380CC4-5D6E-409C-BE32-E72D297353CC}">
              <c16:uniqueId val="{00000000-2E8B-45AA-8416-119176364300}"/>
            </c:ext>
          </c:extLst>
        </c:ser>
        <c:ser>
          <c:idx val="2"/>
          <c:order val="1"/>
          <c:tx>
            <c:strRef>
              <c:f>'Monthly Tracker'!$J$30</c:f>
              <c:strCache>
                <c:ptCount val="1"/>
                <c:pt idx="0">
                  <c:v>Recycling (Tons)</c:v>
                </c:pt>
              </c:strCache>
            </c:strRef>
          </c:tx>
          <c:spPr>
            <a:solidFill>
              <a:srgbClr val="00B0F0"/>
            </a:solidFill>
            <a:ln>
              <a:noFill/>
            </a:ln>
            <a:effectLst/>
          </c:spPr>
          <c:invertIfNegative val="0"/>
          <c:cat>
            <c:strRef>
              <c:f>'Monthly Tracker'!$K$28:$V$28</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Tracker'!$K$30:$V$30</c:f>
              <c:numCache>
                <c:formatCode>_(* #,##0.00_);_(* \(#,##0.00\);_(* "-"??_);_(@_)</c:formatCode>
                <c:ptCount val="12"/>
                <c:pt idx="0">
                  <c:v>1.2779685714285713</c:v>
                </c:pt>
                <c:pt idx="1">
                  <c:v>1.2779685714285713</c:v>
                </c:pt>
                <c:pt idx="2">
                  <c:v>1.2779685714285713</c:v>
                </c:pt>
                <c:pt idx="3">
                  <c:v>1.2779685714285713</c:v>
                </c:pt>
                <c:pt idx="4">
                  <c:v>1.2779685714285713</c:v>
                </c:pt>
                <c:pt idx="5">
                  <c:v>1.2779685714285713</c:v>
                </c:pt>
                <c:pt idx="6">
                  <c:v>1.2779685714285713</c:v>
                </c:pt>
                <c:pt idx="7">
                  <c:v>1.2779685714285713</c:v>
                </c:pt>
                <c:pt idx="8">
                  <c:v>1.2779685714285713</c:v>
                </c:pt>
                <c:pt idx="9">
                  <c:v>1.2779685714285713</c:v>
                </c:pt>
                <c:pt idx="10">
                  <c:v>1.2779685714285713</c:v>
                </c:pt>
                <c:pt idx="11">
                  <c:v>1.2779685714285713</c:v>
                </c:pt>
              </c:numCache>
            </c:numRef>
          </c:val>
          <c:extLst>
            <c:ext xmlns:c16="http://schemas.microsoft.com/office/drawing/2014/chart" uri="{C3380CC4-5D6E-409C-BE32-E72D297353CC}">
              <c16:uniqueId val="{00000002-2E8B-45AA-8416-119176364300}"/>
            </c:ext>
          </c:extLst>
        </c:ser>
        <c:ser>
          <c:idx val="1"/>
          <c:order val="3"/>
          <c:tx>
            <c:strRef>
              <c:f>'Monthly Tracker'!$J$31</c:f>
              <c:strCache>
                <c:ptCount val="1"/>
                <c:pt idx="0">
                  <c:v>Organics (Tons)</c:v>
                </c:pt>
              </c:strCache>
            </c:strRef>
          </c:tx>
          <c:spPr>
            <a:solidFill>
              <a:srgbClr val="83E28E"/>
            </a:solidFill>
            <a:ln>
              <a:noFill/>
            </a:ln>
            <a:effectLst/>
          </c:spPr>
          <c:invertIfNegative val="0"/>
          <c:val>
            <c:numRef>
              <c:f>'Monthly Tracker'!$K$31:$V$31</c:f>
              <c:numCache>
                <c:formatCode>_(* #,##0.00_);_(* \(#,##0.00\);_(* "-"??_);_(@_)</c:formatCode>
                <c:ptCount val="12"/>
                <c:pt idx="0">
                  <c:v>0.67547999999999997</c:v>
                </c:pt>
                <c:pt idx="1">
                  <c:v>0.67547999999999997</c:v>
                </c:pt>
                <c:pt idx="2">
                  <c:v>0.67547999999999997</c:v>
                </c:pt>
                <c:pt idx="3">
                  <c:v>0.67547999999999997</c:v>
                </c:pt>
                <c:pt idx="4">
                  <c:v>0.67547999999999997</c:v>
                </c:pt>
                <c:pt idx="5">
                  <c:v>0.67547999999999997</c:v>
                </c:pt>
                <c:pt idx="6">
                  <c:v>0.67547999999999997</c:v>
                </c:pt>
                <c:pt idx="7">
                  <c:v>0.67547999999999997</c:v>
                </c:pt>
                <c:pt idx="8">
                  <c:v>0.67547999999999997</c:v>
                </c:pt>
                <c:pt idx="9">
                  <c:v>0.67547999999999997</c:v>
                </c:pt>
                <c:pt idx="10">
                  <c:v>0.67547999999999997</c:v>
                </c:pt>
                <c:pt idx="11">
                  <c:v>0.67547999999999997</c:v>
                </c:pt>
              </c:numCache>
            </c:numRef>
          </c:val>
          <c:extLst>
            <c:ext xmlns:c16="http://schemas.microsoft.com/office/drawing/2014/chart" uri="{C3380CC4-5D6E-409C-BE32-E72D297353CC}">
              <c16:uniqueId val="{00000001-A194-4743-91FF-80E146EC498F}"/>
            </c:ext>
          </c:extLst>
        </c:ser>
        <c:dLbls>
          <c:showLegendKey val="0"/>
          <c:showVal val="0"/>
          <c:showCatName val="0"/>
          <c:showSerName val="0"/>
          <c:showPercent val="0"/>
          <c:showBubbleSize val="0"/>
        </c:dLbls>
        <c:gapWidth val="150"/>
        <c:axId val="596309023"/>
        <c:axId val="765004575"/>
      </c:barChart>
      <c:lineChart>
        <c:grouping val="standard"/>
        <c:varyColors val="0"/>
        <c:ser>
          <c:idx val="3"/>
          <c:order val="2"/>
          <c:tx>
            <c:strRef>
              <c:f>'Monthly Tracker'!$J$32</c:f>
              <c:strCache>
                <c:ptCount val="1"/>
                <c:pt idx="0">
                  <c:v>Total Waste (Tons)</c:v>
                </c:pt>
              </c:strCache>
            </c:strRef>
          </c:tx>
          <c:spPr>
            <a:ln w="28575" cap="rnd">
              <a:solidFill>
                <a:schemeClr val="tx1"/>
              </a:solidFill>
              <a:round/>
            </a:ln>
            <a:effectLst/>
          </c:spPr>
          <c:marker>
            <c:symbol val="none"/>
          </c:marker>
          <c:cat>
            <c:strRef>
              <c:f>'Monthly Tracker'!$K$28:$V$28</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Tracker'!$K$32:$V$32</c:f>
              <c:numCache>
                <c:formatCode>_(* #,##0.00_);_(* \(#,##0.00\);_(* "-"??_);_(@_)</c:formatCode>
                <c:ptCount val="12"/>
                <c:pt idx="0">
                  <c:v>5.9255019047619051</c:v>
                </c:pt>
                <c:pt idx="1">
                  <c:v>5.9255019047619051</c:v>
                </c:pt>
                <c:pt idx="2">
                  <c:v>5.9255019047619051</c:v>
                </c:pt>
                <c:pt idx="3">
                  <c:v>5.9255019047619051</c:v>
                </c:pt>
                <c:pt idx="4">
                  <c:v>5.9255019047619051</c:v>
                </c:pt>
                <c:pt idx="5">
                  <c:v>5.9255019047619051</c:v>
                </c:pt>
                <c:pt idx="6">
                  <c:v>5.9255019047619051</c:v>
                </c:pt>
                <c:pt idx="7">
                  <c:v>5.9255019047619051</c:v>
                </c:pt>
                <c:pt idx="8">
                  <c:v>5.9255019047619051</c:v>
                </c:pt>
                <c:pt idx="9">
                  <c:v>5.9255019047619051</c:v>
                </c:pt>
                <c:pt idx="10">
                  <c:v>5.9255019047619051</c:v>
                </c:pt>
                <c:pt idx="11">
                  <c:v>5.9255019047619051</c:v>
                </c:pt>
              </c:numCache>
            </c:numRef>
          </c:val>
          <c:smooth val="0"/>
          <c:extLst>
            <c:ext xmlns:c16="http://schemas.microsoft.com/office/drawing/2014/chart" uri="{C3380CC4-5D6E-409C-BE32-E72D297353CC}">
              <c16:uniqueId val="{00000003-2E8B-45AA-8416-119176364300}"/>
            </c:ext>
          </c:extLst>
        </c:ser>
        <c:dLbls>
          <c:showLegendKey val="0"/>
          <c:showVal val="0"/>
          <c:showCatName val="0"/>
          <c:showSerName val="0"/>
          <c:showPercent val="0"/>
          <c:showBubbleSize val="0"/>
        </c:dLbls>
        <c:marker val="1"/>
        <c:smooth val="0"/>
        <c:axId val="596309023"/>
        <c:axId val="765004575"/>
      </c:lineChart>
      <c:lineChart>
        <c:grouping val="standard"/>
        <c:varyColors val="0"/>
        <c:ser>
          <c:idx val="4"/>
          <c:order val="4"/>
          <c:tx>
            <c:strRef>
              <c:f>'Monthly Tracker'!$J$33</c:f>
              <c:strCache>
                <c:ptCount val="1"/>
                <c:pt idx="0">
                  <c:v>Recycling Rate (%)</c:v>
                </c:pt>
              </c:strCache>
            </c:strRef>
          </c:tx>
          <c:spPr>
            <a:ln w="28575" cap="rnd">
              <a:solidFill>
                <a:srgbClr val="00B0F0"/>
              </a:solidFill>
              <a:round/>
            </a:ln>
            <a:effectLst/>
          </c:spPr>
          <c:marker>
            <c:symbol val="none"/>
          </c:marker>
          <c:val>
            <c:numRef>
              <c:f>'Monthly Tracker'!$K$33:$V$33</c:f>
              <c:numCache>
                <c:formatCode>0.00%</c:formatCode>
                <c:ptCount val="12"/>
                <c:pt idx="0">
                  <c:v>0.21567262857540537</c:v>
                </c:pt>
                <c:pt idx="1">
                  <c:v>0.21567262857540537</c:v>
                </c:pt>
                <c:pt idx="2">
                  <c:v>0.21567262857540537</c:v>
                </c:pt>
                <c:pt idx="3">
                  <c:v>0.21567262857540537</c:v>
                </c:pt>
                <c:pt idx="4">
                  <c:v>0.21567262857540537</c:v>
                </c:pt>
                <c:pt idx="5">
                  <c:v>0.21567262857540537</c:v>
                </c:pt>
                <c:pt idx="6">
                  <c:v>0.21567262857540537</c:v>
                </c:pt>
                <c:pt idx="7">
                  <c:v>0.21567262857540537</c:v>
                </c:pt>
                <c:pt idx="8">
                  <c:v>0.21567262857540537</c:v>
                </c:pt>
                <c:pt idx="9">
                  <c:v>0.21567262857540537</c:v>
                </c:pt>
                <c:pt idx="10">
                  <c:v>0.21567262857540537</c:v>
                </c:pt>
                <c:pt idx="11">
                  <c:v>0.21567262857540537</c:v>
                </c:pt>
              </c:numCache>
            </c:numRef>
          </c:val>
          <c:smooth val="0"/>
          <c:extLst>
            <c:ext xmlns:c16="http://schemas.microsoft.com/office/drawing/2014/chart" uri="{C3380CC4-5D6E-409C-BE32-E72D297353CC}">
              <c16:uniqueId val="{00000000-2652-4828-9873-F13C22AB3812}"/>
            </c:ext>
          </c:extLst>
        </c:ser>
        <c:ser>
          <c:idx val="5"/>
          <c:order val="5"/>
          <c:tx>
            <c:strRef>
              <c:f>'Monthly Tracker'!$J$34</c:f>
              <c:strCache>
                <c:ptCount val="1"/>
                <c:pt idx="0">
                  <c:v>Organics Diversion Rate (%)</c:v>
                </c:pt>
              </c:strCache>
            </c:strRef>
          </c:tx>
          <c:spPr>
            <a:ln w="28575" cap="rnd">
              <a:solidFill>
                <a:srgbClr val="83E28E"/>
              </a:solidFill>
              <a:round/>
            </a:ln>
            <a:effectLst/>
          </c:spPr>
          <c:marker>
            <c:symbol val="none"/>
          </c:marker>
          <c:val>
            <c:numRef>
              <c:f>'Monthly Tracker'!$K$34:$V$34</c:f>
              <c:numCache>
                <c:formatCode>0.00%</c:formatCode>
                <c:ptCount val="12"/>
                <c:pt idx="0">
                  <c:v>0.11399540677848144</c:v>
                </c:pt>
                <c:pt idx="1">
                  <c:v>0.11399540677848144</c:v>
                </c:pt>
                <c:pt idx="2">
                  <c:v>0.11399540677848144</c:v>
                </c:pt>
                <c:pt idx="3">
                  <c:v>0.11399540677848144</c:v>
                </c:pt>
                <c:pt idx="4">
                  <c:v>0.11399540677848144</c:v>
                </c:pt>
                <c:pt idx="5">
                  <c:v>0.11399540677848144</c:v>
                </c:pt>
                <c:pt idx="6">
                  <c:v>0.11399540677848144</c:v>
                </c:pt>
                <c:pt idx="7">
                  <c:v>0.11399540677848144</c:v>
                </c:pt>
                <c:pt idx="8">
                  <c:v>0.11399540677848144</c:v>
                </c:pt>
                <c:pt idx="9">
                  <c:v>0.11399540677848144</c:v>
                </c:pt>
                <c:pt idx="10">
                  <c:v>0.11399540677848144</c:v>
                </c:pt>
                <c:pt idx="11">
                  <c:v>0.11399540677848144</c:v>
                </c:pt>
              </c:numCache>
            </c:numRef>
          </c:val>
          <c:smooth val="0"/>
          <c:extLst>
            <c:ext xmlns:c16="http://schemas.microsoft.com/office/drawing/2014/chart" uri="{C3380CC4-5D6E-409C-BE32-E72D297353CC}">
              <c16:uniqueId val="{00000001-2652-4828-9873-F13C22AB3812}"/>
            </c:ext>
          </c:extLst>
        </c:ser>
        <c:dLbls>
          <c:showLegendKey val="0"/>
          <c:showVal val="0"/>
          <c:showCatName val="0"/>
          <c:showSerName val="0"/>
          <c:showPercent val="0"/>
          <c:showBubbleSize val="0"/>
        </c:dLbls>
        <c:marker val="1"/>
        <c:smooth val="0"/>
        <c:axId val="2031039151"/>
        <c:axId val="2031038671"/>
      </c:lineChart>
      <c:catAx>
        <c:axId val="5963090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765004575"/>
        <c:crosses val="autoZero"/>
        <c:auto val="1"/>
        <c:lblAlgn val="ctr"/>
        <c:lblOffset val="100"/>
        <c:noMultiLvlLbl val="0"/>
      </c:catAx>
      <c:valAx>
        <c:axId val="76500457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en-US" sz="1200" b="0"/>
                  <a:t>Tons</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_(* #,##0.00_);_(* \(#,##0.00\);_(* &quot;-&quot;??_);_(@_)"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596309023"/>
        <c:crosses val="autoZero"/>
        <c:crossBetween val="between"/>
      </c:valAx>
      <c:valAx>
        <c:axId val="2031038671"/>
        <c:scaling>
          <c:orientation val="minMax"/>
        </c:scaling>
        <c:delete val="0"/>
        <c:axPos val="r"/>
        <c:numFmt formatCode="0.00%" sourceLinked="1"/>
        <c:majorTickMark val="out"/>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2031039151"/>
        <c:crosses val="max"/>
        <c:crossBetween val="between"/>
      </c:valAx>
      <c:catAx>
        <c:axId val="2031039151"/>
        <c:scaling>
          <c:orientation val="minMax"/>
        </c:scaling>
        <c:delete val="1"/>
        <c:axPos val="b"/>
        <c:majorTickMark val="out"/>
        <c:minorTickMark val="none"/>
        <c:tickLblPos val="nextTo"/>
        <c:crossAx val="2031038671"/>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Monthly</a:t>
            </a:r>
            <a:r>
              <a:rPr lang="en-US" b="1" baseline="0"/>
              <a:t> Costs</a:t>
            </a:r>
            <a:endParaRPr lang="en-US" b="1"/>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'Monthly Tracker'!$J$35</c:f>
              <c:strCache>
                <c:ptCount val="1"/>
                <c:pt idx="0">
                  <c:v>Total Monthly Landfill Cost ($)</c:v>
                </c:pt>
              </c:strCache>
            </c:strRef>
          </c:tx>
          <c:spPr>
            <a:solidFill>
              <a:schemeClr val="bg1">
                <a:lumMod val="75000"/>
              </a:schemeClr>
            </a:solidFill>
            <a:ln>
              <a:noFill/>
            </a:ln>
            <a:effectLst/>
          </c:spPr>
          <c:invertIfNegative val="0"/>
          <c:cat>
            <c:strRef>
              <c:f>'Monthly Tracker'!$K$28:$V$28</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Tracker'!$K$35:$V$35</c:f>
              <c:numCache>
                <c:formatCode>_("$"* #,##0.00_);_("$"* \(#,##0.00\);_("$"* "-"??_);_(@_)</c:formatCode>
                <c:ptCount val="12"/>
                <c:pt idx="0">
                  <c:v>500</c:v>
                </c:pt>
                <c:pt idx="1">
                  <c:v>500</c:v>
                </c:pt>
                <c:pt idx="2">
                  <c:v>500</c:v>
                </c:pt>
                <c:pt idx="3">
                  <c:v>500</c:v>
                </c:pt>
                <c:pt idx="4">
                  <c:v>500</c:v>
                </c:pt>
                <c:pt idx="5">
                  <c:v>500</c:v>
                </c:pt>
                <c:pt idx="6">
                  <c:v>500</c:v>
                </c:pt>
                <c:pt idx="7">
                  <c:v>500</c:v>
                </c:pt>
                <c:pt idx="8">
                  <c:v>500</c:v>
                </c:pt>
                <c:pt idx="9">
                  <c:v>500</c:v>
                </c:pt>
                <c:pt idx="10">
                  <c:v>500</c:v>
                </c:pt>
                <c:pt idx="11">
                  <c:v>500</c:v>
                </c:pt>
              </c:numCache>
            </c:numRef>
          </c:val>
          <c:extLst>
            <c:ext xmlns:c16="http://schemas.microsoft.com/office/drawing/2014/chart" uri="{C3380CC4-5D6E-409C-BE32-E72D297353CC}">
              <c16:uniqueId val="{00000000-0E63-42E0-B027-9AB040D8EEF6}"/>
            </c:ext>
          </c:extLst>
        </c:ser>
        <c:ser>
          <c:idx val="2"/>
          <c:order val="1"/>
          <c:tx>
            <c:strRef>
              <c:f>'Monthly Tracker'!$J$36</c:f>
              <c:strCache>
                <c:ptCount val="1"/>
                <c:pt idx="0">
                  <c:v>Total Monthly Recycling Cost ($)</c:v>
                </c:pt>
              </c:strCache>
            </c:strRef>
          </c:tx>
          <c:spPr>
            <a:solidFill>
              <a:srgbClr val="00B0F0"/>
            </a:solidFill>
            <a:ln>
              <a:noFill/>
            </a:ln>
            <a:effectLst/>
          </c:spPr>
          <c:invertIfNegative val="0"/>
          <c:cat>
            <c:strRef>
              <c:f>'Monthly Tracker'!$K$28:$V$28</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Tracker'!$K$36:$V$36</c:f>
              <c:numCache>
                <c:formatCode>_("$"* #,##0.00_);_("$"* \(#,##0.00\);_("$"* "-"??_);_(@_)</c:formatCode>
                <c:ptCount val="12"/>
                <c:pt idx="0">
                  <c:v>200</c:v>
                </c:pt>
                <c:pt idx="1">
                  <c:v>200</c:v>
                </c:pt>
                <c:pt idx="2">
                  <c:v>200</c:v>
                </c:pt>
                <c:pt idx="3">
                  <c:v>200</c:v>
                </c:pt>
                <c:pt idx="4">
                  <c:v>200</c:v>
                </c:pt>
                <c:pt idx="5">
                  <c:v>200</c:v>
                </c:pt>
                <c:pt idx="6">
                  <c:v>200</c:v>
                </c:pt>
                <c:pt idx="7">
                  <c:v>200</c:v>
                </c:pt>
                <c:pt idx="8">
                  <c:v>200</c:v>
                </c:pt>
                <c:pt idx="9">
                  <c:v>200</c:v>
                </c:pt>
                <c:pt idx="10">
                  <c:v>200</c:v>
                </c:pt>
                <c:pt idx="11">
                  <c:v>200</c:v>
                </c:pt>
              </c:numCache>
            </c:numRef>
          </c:val>
          <c:extLst>
            <c:ext xmlns:c16="http://schemas.microsoft.com/office/drawing/2014/chart" uri="{C3380CC4-5D6E-409C-BE32-E72D297353CC}">
              <c16:uniqueId val="{00000001-0E63-42E0-B027-9AB040D8EEF6}"/>
            </c:ext>
          </c:extLst>
        </c:ser>
        <c:ser>
          <c:idx val="1"/>
          <c:order val="2"/>
          <c:tx>
            <c:strRef>
              <c:f>'Monthly Tracker'!$J$37</c:f>
              <c:strCache>
                <c:ptCount val="1"/>
                <c:pt idx="0">
                  <c:v>Total Monthly Organics Cost ($)</c:v>
                </c:pt>
              </c:strCache>
            </c:strRef>
          </c:tx>
          <c:spPr>
            <a:solidFill>
              <a:srgbClr val="83E28E"/>
            </a:solidFill>
            <a:ln>
              <a:noFill/>
            </a:ln>
            <a:effectLst/>
          </c:spPr>
          <c:invertIfNegative val="0"/>
          <c:val>
            <c:numRef>
              <c:f>'Monthly Tracker'!$K$37:$V$37</c:f>
              <c:numCache>
                <c:formatCode>_("$"* #,##0.00_);_("$"* \(#,##0.00\);_("$"* "-"??_);_(@_)</c:formatCode>
                <c:ptCount val="12"/>
                <c:pt idx="0">
                  <c:v>150</c:v>
                </c:pt>
                <c:pt idx="1">
                  <c:v>150</c:v>
                </c:pt>
                <c:pt idx="2">
                  <c:v>150</c:v>
                </c:pt>
                <c:pt idx="3">
                  <c:v>150</c:v>
                </c:pt>
                <c:pt idx="4">
                  <c:v>150</c:v>
                </c:pt>
                <c:pt idx="5">
                  <c:v>150</c:v>
                </c:pt>
                <c:pt idx="6">
                  <c:v>150</c:v>
                </c:pt>
                <c:pt idx="7">
                  <c:v>150</c:v>
                </c:pt>
                <c:pt idx="8">
                  <c:v>150</c:v>
                </c:pt>
                <c:pt idx="9">
                  <c:v>150</c:v>
                </c:pt>
                <c:pt idx="10">
                  <c:v>150</c:v>
                </c:pt>
                <c:pt idx="11">
                  <c:v>150</c:v>
                </c:pt>
              </c:numCache>
            </c:numRef>
          </c:val>
          <c:extLst>
            <c:ext xmlns:c16="http://schemas.microsoft.com/office/drawing/2014/chart" uri="{C3380CC4-5D6E-409C-BE32-E72D297353CC}">
              <c16:uniqueId val="{00000003-0E63-42E0-B027-9AB040D8EEF6}"/>
            </c:ext>
          </c:extLst>
        </c:ser>
        <c:dLbls>
          <c:showLegendKey val="0"/>
          <c:showVal val="0"/>
          <c:showCatName val="0"/>
          <c:showSerName val="0"/>
          <c:showPercent val="0"/>
          <c:showBubbleSize val="0"/>
        </c:dLbls>
        <c:gapWidth val="219"/>
        <c:overlap val="-27"/>
        <c:axId val="596309023"/>
        <c:axId val="765004575"/>
      </c:barChart>
      <c:lineChart>
        <c:grouping val="standard"/>
        <c:varyColors val="0"/>
        <c:ser>
          <c:idx val="3"/>
          <c:order val="3"/>
          <c:tx>
            <c:strRef>
              <c:f>'Monthly Tracker'!$J$38</c:f>
              <c:strCache>
                <c:ptCount val="1"/>
                <c:pt idx="0">
                  <c:v>Total Monthly Cost ($)</c:v>
                </c:pt>
              </c:strCache>
            </c:strRef>
          </c:tx>
          <c:spPr>
            <a:ln w="28575" cap="rnd">
              <a:solidFill>
                <a:schemeClr val="tx1"/>
              </a:solidFill>
              <a:round/>
            </a:ln>
            <a:effectLst/>
          </c:spPr>
          <c:marker>
            <c:symbol val="none"/>
          </c:marker>
          <c:val>
            <c:numRef>
              <c:f>'Monthly Tracker'!$K$38:$V$38</c:f>
              <c:numCache>
                <c:formatCode>_("$"* #,##0.00_);_("$"* \(#,##0.00\);_("$"* "-"??_);_(@_)</c:formatCode>
                <c:ptCount val="12"/>
                <c:pt idx="0">
                  <c:v>850</c:v>
                </c:pt>
                <c:pt idx="1">
                  <c:v>850</c:v>
                </c:pt>
                <c:pt idx="2">
                  <c:v>850</c:v>
                </c:pt>
                <c:pt idx="3">
                  <c:v>850</c:v>
                </c:pt>
                <c:pt idx="4">
                  <c:v>850</c:v>
                </c:pt>
                <c:pt idx="5">
                  <c:v>850</c:v>
                </c:pt>
                <c:pt idx="6">
                  <c:v>850</c:v>
                </c:pt>
                <c:pt idx="7">
                  <c:v>850</c:v>
                </c:pt>
                <c:pt idx="8">
                  <c:v>850</c:v>
                </c:pt>
                <c:pt idx="9">
                  <c:v>850</c:v>
                </c:pt>
                <c:pt idx="10">
                  <c:v>850</c:v>
                </c:pt>
                <c:pt idx="11">
                  <c:v>850</c:v>
                </c:pt>
              </c:numCache>
            </c:numRef>
          </c:val>
          <c:smooth val="0"/>
          <c:extLst>
            <c:ext xmlns:c16="http://schemas.microsoft.com/office/drawing/2014/chart" uri="{C3380CC4-5D6E-409C-BE32-E72D297353CC}">
              <c16:uniqueId val="{00000004-0E63-42E0-B027-9AB040D8EEF6}"/>
            </c:ext>
          </c:extLst>
        </c:ser>
        <c:dLbls>
          <c:showLegendKey val="0"/>
          <c:showVal val="0"/>
          <c:showCatName val="0"/>
          <c:showSerName val="0"/>
          <c:showPercent val="0"/>
          <c:showBubbleSize val="0"/>
        </c:dLbls>
        <c:marker val="1"/>
        <c:smooth val="0"/>
        <c:axId val="596309023"/>
        <c:axId val="765004575"/>
      </c:lineChart>
      <c:catAx>
        <c:axId val="5963090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765004575"/>
        <c:crosses val="autoZero"/>
        <c:auto val="1"/>
        <c:lblAlgn val="ctr"/>
        <c:lblOffset val="100"/>
        <c:noMultiLvlLbl val="0"/>
      </c:catAx>
      <c:valAx>
        <c:axId val="76500457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en-US" sz="1200" b="0"/>
                  <a:t>Cost</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59630902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just">
              <a:defRPr sz="1400" b="1" i="0" u="none" strike="noStrike" kern="1200" spc="0" baseline="0">
                <a:solidFill>
                  <a:schemeClr val="tx1">
                    <a:lumMod val="65000"/>
                    <a:lumOff val="35000"/>
                  </a:schemeClr>
                </a:solidFill>
                <a:latin typeface="+mn-lt"/>
                <a:ea typeface="+mn-ea"/>
                <a:cs typeface="+mn-cs"/>
              </a:defRPr>
            </a:pPr>
            <a:r>
              <a:rPr lang="en-US" b="1"/>
              <a:t>Jobs</a:t>
            </a:r>
            <a:r>
              <a:rPr lang="en-US" b="1" baseline="0"/>
              <a:t> Created per Month</a:t>
            </a:r>
            <a:endParaRPr lang="en-US" b="1"/>
          </a:p>
        </c:rich>
      </c:tx>
      <c:overlay val="0"/>
      <c:spPr>
        <a:noFill/>
        <a:ln>
          <a:noFill/>
        </a:ln>
        <a:effectLst/>
      </c:spPr>
      <c:txPr>
        <a:bodyPr rot="0" spcFirstLastPara="1" vertOverflow="ellipsis" vert="horz" wrap="square" anchor="ctr" anchorCtr="1"/>
        <a:lstStyle/>
        <a:p>
          <a:pPr algn="just">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'Monthly Tracker'!$J$42</c:f>
              <c:strCache>
                <c:ptCount val="1"/>
                <c:pt idx="0">
                  <c:v>Job Created per Month</c:v>
                </c:pt>
              </c:strCache>
            </c:strRef>
          </c:tx>
          <c:spPr>
            <a:solidFill>
              <a:schemeClr val="accent1"/>
            </a:solidFill>
            <a:ln>
              <a:noFill/>
            </a:ln>
            <a:effectLst/>
          </c:spPr>
          <c:invertIfNegative val="0"/>
          <c:cat>
            <c:strRef>
              <c:f>'Monthly Tracker'!$K$28:$V$28</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Tracker'!$K$42:$V$42</c:f>
              <c:numCache>
                <c:formatCode>_(* #,##0.00_);_(* \(#,##0.00\);_(* "-"??_);_(@_)</c:formatCode>
                <c:ptCount val="12"/>
                <c:pt idx="0">
                  <c:v>1.8329632285714284E-3</c:v>
                </c:pt>
                <c:pt idx="1">
                  <c:v>1.8329632285714284E-3</c:v>
                </c:pt>
                <c:pt idx="2">
                  <c:v>1.8329632285714284E-3</c:v>
                </c:pt>
                <c:pt idx="3">
                  <c:v>1.8329632285714284E-3</c:v>
                </c:pt>
                <c:pt idx="4">
                  <c:v>1.8329632285714284E-3</c:v>
                </c:pt>
                <c:pt idx="5">
                  <c:v>1.8329632285714284E-3</c:v>
                </c:pt>
                <c:pt idx="6">
                  <c:v>1.8329632285714284E-3</c:v>
                </c:pt>
                <c:pt idx="7">
                  <c:v>1.8329632285714284E-3</c:v>
                </c:pt>
                <c:pt idx="8">
                  <c:v>1.8329632285714284E-3</c:v>
                </c:pt>
                <c:pt idx="9">
                  <c:v>1.8329632285714284E-3</c:v>
                </c:pt>
                <c:pt idx="10">
                  <c:v>1.8329632285714284E-3</c:v>
                </c:pt>
                <c:pt idx="11">
                  <c:v>1.8329632285714284E-3</c:v>
                </c:pt>
              </c:numCache>
            </c:numRef>
          </c:val>
          <c:extLst>
            <c:ext xmlns:c16="http://schemas.microsoft.com/office/drawing/2014/chart" uri="{C3380CC4-5D6E-409C-BE32-E72D297353CC}">
              <c16:uniqueId val="{00000000-49D4-4829-B946-8FD6419F92C9}"/>
            </c:ext>
          </c:extLst>
        </c:ser>
        <c:dLbls>
          <c:showLegendKey val="0"/>
          <c:showVal val="0"/>
          <c:showCatName val="0"/>
          <c:showSerName val="0"/>
          <c:showPercent val="0"/>
          <c:showBubbleSize val="0"/>
        </c:dLbls>
        <c:gapWidth val="219"/>
        <c:overlap val="-27"/>
        <c:axId val="596309023"/>
        <c:axId val="765004575"/>
      </c:barChart>
      <c:catAx>
        <c:axId val="59630902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765004575"/>
        <c:crosses val="autoZero"/>
        <c:auto val="1"/>
        <c:lblAlgn val="ctr"/>
        <c:lblOffset val="100"/>
        <c:noMultiLvlLbl val="0"/>
      </c:catAx>
      <c:valAx>
        <c:axId val="76500457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en-US" sz="1200" b="0"/>
                  <a:t>Jobs</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_(* #,##0.0000_);_(* \(#,##0.0000\);_(* &quot;-&quot;????_);_(@_)"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59630902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just">
              <a:defRPr sz="1400" b="1" i="0" u="none" strike="noStrike" kern="1200" spc="0" baseline="0">
                <a:solidFill>
                  <a:schemeClr val="tx1">
                    <a:lumMod val="65000"/>
                    <a:lumOff val="35000"/>
                  </a:schemeClr>
                </a:solidFill>
                <a:latin typeface="+mn-lt"/>
                <a:ea typeface="+mn-ea"/>
                <a:cs typeface="+mn-cs"/>
              </a:defRPr>
            </a:pPr>
            <a:r>
              <a:rPr lang="en-US" b="1"/>
              <a:t>Emissions Avoided per Month</a:t>
            </a:r>
          </a:p>
        </c:rich>
      </c:tx>
      <c:overlay val="0"/>
      <c:spPr>
        <a:noFill/>
        <a:ln>
          <a:noFill/>
        </a:ln>
        <a:effectLst/>
      </c:spPr>
      <c:txPr>
        <a:bodyPr rot="0" spcFirstLastPara="1" vertOverflow="ellipsis" vert="horz" wrap="square" anchor="ctr" anchorCtr="1"/>
        <a:lstStyle/>
        <a:p>
          <a:pPr algn="just">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'Monthly Tracker'!$J$43</c:f>
              <c:strCache>
                <c:ptCount val="1"/>
                <c:pt idx="0">
                  <c:v>MTCO2E Emissions per Month</c:v>
                </c:pt>
              </c:strCache>
            </c:strRef>
          </c:tx>
          <c:spPr>
            <a:solidFill>
              <a:schemeClr val="accent1"/>
            </a:solidFill>
            <a:ln>
              <a:noFill/>
            </a:ln>
            <a:effectLst/>
          </c:spPr>
          <c:invertIfNegative val="0"/>
          <c:cat>
            <c:strRef>
              <c:f>'Monthly Tracker'!$K$28:$V$28</c:f>
              <c:strCache>
                <c:ptCount val="12"/>
                <c:pt idx="0">
                  <c:v>Jan</c:v>
                </c:pt>
                <c:pt idx="1">
                  <c:v>Feb</c:v>
                </c:pt>
                <c:pt idx="2">
                  <c:v>Mar</c:v>
                </c:pt>
                <c:pt idx="3">
                  <c:v>Apr</c:v>
                </c:pt>
                <c:pt idx="4">
                  <c:v>May</c:v>
                </c:pt>
                <c:pt idx="5">
                  <c:v>Jun</c:v>
                </c:pt>
                <c:pt idx="6">
                  <c:v>Jul</c:v>
                </c:pt>
                <c:pt idx="7">
                  <c:v>Aug</c:v>
                </c:pt>
                <c:pt idx="8">
                  <c:v>Sep</c:v>
                </c:pt>
                <c:pt idx="9">
                  <c:v>Oct</c:v>
                </c:pt>
                <c:pt idx="10">
                  <c:v>Nov</c:v>
                </c:pt>
                <c:pt idx="11">
                  <c:v>Dec</c:v>
                </c:pt>
              </c:strCache>
            </c:strRef>
          </c:cat>
          <c:val>
            <c:numRef>
              <c:f>'Monthly Tracker'!$K$43:$V$43</c:f>
              <c:numCache>
                <c:formatCode>_(* #,##0.00_);_(* \(#,##0.00\);_(* "-"??_);_(@_)</c:formatCode>
                <c:ptCount val="12"/>
                <c:pt idx="0">
                  <c:v>-0.96</c:v>
                </c:pt>
                <c:pt idx="1">
                  <c:v>-0.96</c:v>
                </c:pt>
                <c:pt idx="2">
                  <c:v>-0.96</c:v>
                </c:pt>
                <c:pt idx="3">
                  <c:v>-0.96</c:v>
                </c:pt>
                <c:pt idx="4">
                  <c:v>-0.96</c:v>
                </c:pt>
                <c:pt idx="5">
                  <c:v>-0.96</c:v>
                </c:pt>
                <c:pt idx="6">
                  <c:v>-0.96</c:v>
                </c:pt>
                <c:pt idx="7">
                  <c:v>-0.96</c:v>
                </c:pt>
                <c:pt idx="8">
                  <c:v>-0.96</c:v>
                </c:pt>
                <c:pt idx="9">
                  <c:v>-0.96</c:v>
                </c:pt>
                <c:pt idx="10">
                  <c:v>-0.96</c:v>
                </c:pt>
                <c:pt idx="11">
                  <c:v>-0.96</c:v>
                </c:pt>
              </c:numCache>
            </c:numRef>
          </c:val>
          <c:extLst>
            <c:ext xmlns:c16="http://schemas.microsoft.com/office/drawing/2014/chart" uri="{C3380CC4-5D6E-409C-BE32-E72D297353CC}">
              <c16:uniqueId val="{00000000-DEE4-4607-A3B0-2833A266B3F5}"/>
            </c:ext>
          </c:extLst>
        </c:ser>
        <c:dLbls>
          <c:showLegendKey val="0"/>
          <c:showVal val="0"/>
          <c:showCatName val="0"/>
          <c:showSerName val="0"/>
          <c:showPercent val="0"/>
          <c:showBubbleSize val="0"/>
        </c:dLbls>
        <c:gapWidth val="219"/>
        <c:overlap val="-27"/>
        <c:axId val="596309023"/>
        <c:axId val="765004575"/>
      </c:barChart>
      <c:catAx>
        <c:axId val="596309023"/>
        <c:scaling>
          <c:orientation val="minMax"/>
        </c:scaling>
        <c:delete val="0"/>
        <c:axPos val="b"/>
        <c:numFmt formatCode="General" sourceLinked="1"/>
        <c:majorTickMark val="none"/>
        <c:minorTickMark val="none"/>
        <c:tickLblPos val="high"/>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765004575"/>
        <c:crosses val="autoZero"/>
        <c:auto val="1"/>
        <c:lblAlgn val="ctr"/>
        <c:lblOffset val="100"/>
        <c:noMultiLvlLbl val="0"/>
      </c:catAx>
      <c:valAx>
        <c:axId val="765004575"/>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r>
                  <a:rPr lang="en-US" sz="1200" b="0"/>
                  <a:t>MTCO2E</a:t>
                </a:r>
              </a:p>
            </c:rich>
          </c:tx>
          <c:overlay val="0"/>
          <c:spPr>
            <a:noFill/>
            <a:ln>
              <a:noFill/>
            </a:ln>
            <a:effectLst/>
          </c:spPr>
          <c:txPr>
            <a:bodyPr rot="-54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title>
        <c:numFmt formatCode="_(* #,##0.00_);_(* \(#,##0.00\);_(* &quot;-&quot;??_);_(@_)" sourceLinked="0"/>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596309023"/>
        <c:crosses val="autoZero"/>
        <c:crossBetween val="between"/>
        <c:majorUnit val="0.25"/>
      </c:valAx>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colors2.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D1AD6490-6302-46C3-A3E0-CAC9AD1840CE}" type="doc">
      <dgm:prSet loTypeId="urn:microsoft.com/office/officeart/2005/8/layout/hierarchy2" loCatId="hierarchy" qsTypeId="urn:microsoft.com/office/officeart/2005/8/quickstyle/simple1" qsCatId="simple" csTypeId="urn:microsoft.com/office/officeart/2005/8/colors/accent1_2" csCatId="accent1" phldr="1"/>
      <dgm:spPr/>
      <dgm:t>
        <a:bodyPr/>
        <a:lstStyle/>
        <a:p>
          <a:endParaRPr lang="en-US"/>
        </a:p>
      </dgm:t>
    </dgm:pt>
    <dgm:pt modelId="{6D191991-F2C3-4669-8CA8-59C3704278EF}">
      <dgm:prSet phldrT="[Text]"/>
      <dgm:spPr>
        <a:solidFill>
          <a:srgbClr val="00B050"/>
        </a:solidFill>
      </dgm:spPr>
      <dgm:t>
        <a:bodyPr/>
        <a:lstStyle/>
        <a:p>
          <a:r>
            <a:rPr lang="en-US" dirty="0"/>
            <a:t>Green Business Program</a:t>
          </a:r>
        </a:p>
      </dgm:t>
    </dgm:pt>
    <dgm:pt modelId="{712B99EA-9D9B-48CB-85A4-645FA02D8B62}" type="parTrans" cxnId="{285D8B13-2D80-478A-958E-A2D712F9D067}">
      <dgm:prSet/>
      <dgm:spPr/>
      <dgm:t>
        <a:bodyPr/>
        <a:lstStyle/>
        <a:p>
          <a:endParaRPr lang="en-US"/>
        </a:p>
      </dgm:t>
    </dgm:pt>
    <dgm:pt modelId="{AA7E65CB-7FB3-43CE-8052-8CAA2261AA06}" type="sibTrans" cxnId="{285D8B13-2D80-478A-958E-A2D712F9D067}">
      <dgm:prSet/>
      <dgm:spPr/>
      <dgm:t>
        <a:bodyPr/>
        <a:lstStyle/>
        <a:p>
          <a:endParaRPr lang="en-US"/>
        </a:p>
      </dgm:t>
    </dgm:pt>
    <dgm:pt modelId="{2E20311B-6D6C-43F4-A811-30FC0CF355BB}">
      <dgm:prSet phldrT="[Text]"/>
      <dgm:spPr>
        <a:solidFill>
          <a:srgbClr val="00B050"/>
        </a:solidFill>
      </dgm:spPr>
      <dgm:t>
        <a:bodyPr/>
        <a:lstStyle/>
        <a:p>
          <a:r>
            <a:rPr lang="en-US" dirty="0"/>
            <a:t>Waste Evaluation Toolkit</a:t>
          </a:r>
        </a:p>
      </dgm:t>
    </dgm:pt>
    <dgm:pt modelId="{BC7EF889-E1CD-45CD-A175-AB72BD43E801}" type="parTrans" cxnId="{C3E65F15-8BA1-403F-8349-3709169AD18E}">
      <dgm:prSet/>
      <dgm:spPr/>
      <dgm:t>
        <a:bodyPr/>
        <a:lstStyle/>
        <a:p>
          <a:endParaRPr lang="en-US"/>
        </a:p>
      </dgm:t>
    </dgm:pt>
    <dgm:pt modelId="{60BA0722-3399-4096-B734-DD14BCE67064}" type="sibTrans" cxnId="{C3E65F15-8BA1-403F-8349-3709169AD18E}">
      <dgm:prSet/>
      <dgm:spPr/>
      <dgm:t>
        <a:bodyPr/>
        <a:lstStyle/>
        <a:p>
          <a:endParaRPr lang="en-US"/>
        </a:p>
      </dgm:t>
    </dgm:pt>
    <dgm:pt modelId="{CA249114-CFE5-48A4-9045-5909C11F8A34}">
      <dgm:prSet phldrT="[Text]"/>
      <dgm:spPr>
        <a:solidFill>
          <a:srgbClr val="00B050"/>
        </a:solidFill>
      </dgm:spPr>
      <dgm:t>
        <a:bodyPr/>
        <a:lstStyle/>
        <a:p>
          <a:r>
            <a:rPr lang="en-US" dirty="0"/>
            <a:t>Green Business Award</a:t>
          </a:r>
        </a:p>
      </dgm:t>
    </dgm:pt>
    <dgm:pt modelId="{BA685598-0095-4C68-A490-6A152BE93158}" type="parTrans" cxnId="{F93B35C4-B555-4F91-88D0-A196D1454E4A}">
      <dgm:prSet/>
      <dgm:spPr/>
      <dgm:t>
        <a:bodyPr/>
        <a:lstStyle/>
        <a:p>
          <a:endParaRPr lang="en-US"/>
        </a:p>
      </dgm:t>
    </dgm:pt>
    <dgm:pt modelId="{76FB2991-072B-4A39-8DB6-A2BE93EF2042}" type="sibTrans" cxnId="{F93B35C4-B555-4F91-88D0-A196D1454E4A}">
      <dgm:prSet/>
      <dgm:spPr/>
      <dgm:t>
        <a:bodyPr/>
        <a:lstStyle/>
        <a:p>
          <a:endParaRPr lang="en-US"/>
        </a:p>
      </dgm:t>
    </dgm:pt>
    <dgm:pt modelId="{9C680BE6-82A1-418F-B4B6-D462E41315D3}">
      <dgm:prSet phldrT="[Text]"/>
      <dgm:spPr/>
      <dgm:t>
        <a:bodyPr/>
        <a:lstStyle/>
        <a:p>
          <a:r>
            <a:rPr lang="en-US" dirty="0"/>
            <a:t>Cost Evaluation Toolkit</a:t>
          </a:r>
        </a:p>
      </dgm:t>
    </dgm:pt>
    <dgm:pt modelId="{20A8F287-4007-407F-B1CE-7CB32F8B9109}" type="sibTrans" cxnId="{FAD88E6E-FF5B-4EBC-9BF9-B31C4290AD2B}">
      <dgm:prSet/>
      <dgm:spPr/>
      <dgm:t>
        <a:bodyPr/>
        <a:lstStyle/>
        <a:p>
          <a:endParaRPr lang="en-US"/>
        </a:p>
      </dgm:t>
    </dgm:pt>
    <dgm:pt modelId="{EA14AF12-82F3-4388-BA1C-F01BDB405615}" type="parTrans" cxnId="{FAD88E6E-FF5B-4EBC-9BF9-B31C4290AD2B}">
      <dgm:prSet/>
      <dgm:spPr/>
      <dgm:t>
        <a:bodyPr/>
        <a:lstStyle/>
        <a:p>
          <a:endParaRPr lang="en-US"/>
        </a:p>
      </dgm:t>
    </dgm:pt>
    <dgm:pt modelId="{BFC9EA93-362A-414C-A569-20FA844B7D4F}">
      <dgm:prSet phldrT="[Text]"/>
      <dgm:spPr/>
      <dgm:t>
        <a:bodyPr/>
        <a:lstStyle/>
        <a:p>
          <a:r>
            <a:rPr lang="en-US" dirty="0"/>
            <a:t>Additional Toolkits</a:t>
          </a:r>
        </a:p>
      </dgm:t>
    </dgm:pt>
    <dgm:pt modelId="{FB42932B-A079-48D2-9301-505D5689EE8E}" type="sibTrans" cxnId="{65144242-996F-41F5-951B-E182FCD77082}">
      <dgm:prSet/>
      <dgm:spPr/>
      <dgm:t>
        <a:bodyPr/>
        <a:lstStyle/>
        <a:p>
          <a:endParaRPr lang="en-US"/>
        </a:p>
      </dgm:t>
    </dgm:pt>
    <dgm:pt modelId="{733D491B-12EE-4C13-8911-0B680FF2A0C6}" type="parTrans" cxnId="{65144242-996F-41F5-951B-E182FCD77082}">
      <dgm:prSet/>
      <dgm:spPr/>
      <dgm:t>
        <a:bodyPr/>
        <a:lstStyle/>
        <a:p>
          <a:endParaRPr lang="en-US"/>
        </a:p>
      </dgm:t>
    </dgm:pt>
    <dgm:pt modelId="{07AD3155-D2A1-419C-80CB-0A73C77335D9}">
      <dgm:prSet phldrT="[Text]"/>
      <dgm:spPr/>
      <dgm:t>
        <a:bodyPr/>
        <a:lstStyle/>
        <a:p>
          <a:r>
            <a:rPr lang="en-US" dirty="0"/>
            <a:t>Waste Management Tracking Toolkit</a:t>
          </a:r>
        </a:p>
      </dgm:t>
    </dgm:pt>
    <dgm:pt modelId="{6F38F11F-9050-4D1E-9B02-D26598D23460}" type="parTrans" cxnId="{E767AEC8-4F5C-4E34-9A5A-276BB498076E}">
      <dgm:prSet/>
      <dgm:spPr/>
      <dgm:t>
        <a:bodyPr/>
        <a:lstStyle/>
        <a:p>
          <a:endParaRPr lang="en-US"/>
        </a:p>
      </dgm:t>
    </dgm:pt>
    <dgm:pt modelId="{F2B98493-19A6-49AA-81E7-BAC78A771ED8}" type="sibTrans" cxnId="{E767AEC8-4F5C-4E34-9A5A-276BB498076E}">
      <dgm:prSet/>
      <dgm:spPr/>
      <dgm:t>
        <a:bodyPr/>
        <a:lstStyle/>
        <a:p>
          <a:endParaRPr lang="en-US"/>
        </a:p>
      </dgm:t>
    </dgm:pt>
    <dgm:pt modelId="{9FCCE9B3-7E35-439B-B44C-D4906BEFCF5C}">
      <dgm:prSet phldrT="[Text]"/>
      <dgm:spPr/>
      <dgm:t>
        <a:bodyPr/>
        <a:lstStyle/>
        <a:p>
          <a:r>
            <a:rPr lang="en-US" dirty="0"/>
            <a:t>Additional Resources Toolkit</a:t>
          </a:r>
        </a:p>
      </dgm:t>
    </dgm:pt>
    <dgm:pt modelId="{A9F4056C-733E-49D3-86E0-4ABC92A45AAA}" type="parTrans" cxnId="{A70E44FF-AB69-4440-BDD5-3A7132CD191B}">
      <dgm:prSet/>
      <dgm:spPr/>
      <dgm:t>
        <a:bodyPr/>
        <a:lstStyle/>
        <a:p>
          <a:endParaRPr lang="en-US"/>
        </a:p>
      </dgm:t>
    </dgm:pt>
    <dgm:pt modelId="{59D83EC0-9D68-402D-9B49-C32C9EEAC5A8}" type="sibTrans" cxnId="{A70E44FF-AB69-4440-BDD5-3A7132CD191B}">
      <dgm:prSet/>
      <dgm:spPr/>
      <dgm:t>
        <a:bodyPr/>
        <a:lstStyle/>
        <a:p>
          <a:endParaRPr lang="en-US"/>
        </a:p>
      </dgm:t>
    </dgm:pt>
    <dgm:pt modelId="{E2182725-DE71-4BB4-A389-47EC1D39015A}">
      <dgm:prSet phldrT="[Text]"/>
      <dgm:spPr>
        <a:solidFill>
          <a:srgbClr val="00B050"/>
        </a:solidFill>
      </dgm:spPr>
      <dgm:t>
        <a:bodyPr/>
        <a:lstStyle/>
        <a:p>
          <a:r>
            <a:rPr lang="en-US" dirty="0"/>
            <a:t>How to Start a Program</a:t>
          </a:r>
        </a:p>
      </dgm:t>
    </dgm:pt>
    <dgm:pt modelId="{F81D91FD-1E67-4CDB-AFCA-B58CB528FE3F}" type="parTrans" cxnId="{94E3F66D-2CE6-4100-9D32-74CAB391684F}">
      <dgm:prSet/>
      <dgm:spPr/>
      <dgm:t>
        <a:bodyPr/>
        <a:lstStyle/>
        <a:p>
          <a:endParaRPr lang="en-US"/>
        </a:p>
      </dgm:t>
    </dgm:pt>
    <dgm:pt modelId="{FA257D2D-67CE-4A8E-B2DE-4DAA28D0A1F7}" type="sibTrans" cxnId="{94E3F66D-2CE6-4100-9D32-74CAB391684F}">
      <dgm:prSet/>
      <dgm:spPr/>
      <dgm:t>
        <a:bodyPr/>
        <a:lstStyle/>
        <a:p>
          <a:endParaRPr lang="en-US"/>
        </a:p>
      </dgm:t>
    </dgm:pt>
    <dgm:pt modelId="{07F7B4D9-9B1F-41CC-8131-D165BD1DB7FE}">
      <dgm:prSet phldrT="[Text]"/>
      <dgm:spPr/>
      <dgm:t>
        <a:bodyPr/>
        <a:lstStyle/>
        <a:p>
          <a:r>
            <a:rPr lang="en-US" dirty="0"/>
            <a:t>Program Startup Toolkit</a:t>
          </a:r>
        </a:p>
      </dgm:t>
    </dgm:pt>
    <dgm:pt modelId="{2CDCE919-EFBB-4B2E-9280-8E22FC89F890}" type="parTrans" cxnId="{573AD040-3442-4D87-B6E1-FECA2DD7FC84}">
      <dgm:prSet/>
      <dgm:spPr/>
      <dgm:t>
        <a:bodyPr/>
        <a:lstStyle/>
        <a:p>
          <a:endParaRPr lang="en-US"/>
        </a:p>
      </dgm:t>
    </dgm:pt>
    <dgm:pt modelId="{D14CC4D4-3A7D-4BB8-B4F7-302E7242D256}" type="sibTrans" cxnId="{573AD040-3442-4D87-B6E1-FECA2DD7FC84}">
      <dgm:prSet/>
      <dgm:spPr/>
      <dgm:t>
        <a:bodyPr/>
        <a:lstStyle/>
        <a:p>
          <a:endParaRPr lang="en-US"/>
        </a:p>
      </dgm:t>
    </dgm:pt>
    <dgm:pt modelId="{7AEEABA0-3BF5-4C70-A1E1-3FF78B748A96}" type="pres">
      <dgm:prSet presAssocID="{D1AD6490-6302-46C3-A3E0-CAC9AD1840CE}" presName="diagram" presStyleCnt="0">
        <dgm:presLayoutVars>
          <dgm:chPref val="1"/>
          <dgm:dir/>
          <dgm:animOne val="branch"/>
          <dgm:animLvl val="lvl"/>
          <dgm:resizeHandles val="exact"/>
        </dgm:presLayoutVars>
      </dgm:prSet>
      <dgm:spPr/>
    </dgm:pt>
    <dgm:pt modelId="{49AC395B-952C-4881-A8B1-7AB6CF87DEB1}" type="pres">
      <dgm:prSet presAssocID="{6D191991-F2C3-4669-8CA8-59C3704278EF}" presName="root1" presStyleCnt="0"/>
      <dgm:spPr/>
    </dgm:pt>
    <dgm:pt modelId="{7700356E-6C48-49C2-850C-A3EAE3CB4401}" type="pres">
      <dgm:prSet presAssocID="{6D191991-F2C3-4669-8CA8-59C3704278EF}" presName="LevelOneTextNode" presStyleLbl="node0" presStyleIdx="0" presStyleCnt="1">
        <dgm:presLayoutVars>
          <dgm:chPref val="3"/>
        </dgm:presLayoutVars>
      </dgm:prSet>
      <dgm:spPr/>
    </dgm:pt>
    <dgm:pt modelId="{8398951A-7BD7-46D8-986A-7AAB9C33FDF4}" type="pres">
      <dgm:prSet presAssocID="{6D191991-F2C3-4669-8CA8-59C3704278EF}" presName="level2hierChild" presStyleCnt="0"/>
      <dgm:spPr/>
    </dgm:pt>
    <dgm:pt modelId="{59A01059-E60B-4D85-9CE4-45F1CEF8FD08}" type="pres">
      <dgm:prSet presAssocID="{F81D91FD-1E67-4CDB-AFCA-B58CB528FE3F}" presName="conn2-1" presStyleLbl="parChTrans1D2" presStyleIdx="0" presStyleCnt="2"/>
      <dgm:spPr/>
    </dgm:pt>
    <dgm:pt modelId="{AC232DD7-6CA4-458F-B95D-6BD485DD59A2}" type="pres">
      <dgm:prSet presAssocID="{F81D91FD-1E67-4CDB-AFCA-B58CB528FE3F}" presName="connTx" presStyleLbl="parChTrans1D2" presStyleIdx="0" presStyleCnt="2"/>
      <dgm:spPr/>
    </dgm:pt>
    <dgm:pt modelId="{145EDACD-6C63-4AC2-A9DC-20AE0C6193F6}" type="pres">
      <dgm:prSet presAssocID="{E2182725-DE71-4BB4-A389-47EC1D39015A}" presName="root2" presStyleCnt="0"/>
      <dgm:spPr/>
    </dgm:pt>
    <dgm:pt modelId="{6564D30B-8B27-4C4B-A279-545B2EF000AF}" type="pres">
      <dgm:prSet presAssocID="{E2182725-DE71-4BB4-A389-47EC1D39015A}" presName="LevelTwoTextNode" presStyleLbl="node2" presStyleIdx="0" presStyleCnt="2">
        <dgm:presLayoutVars>
          <dgm:chPref val="3"/>
        </dgm:presLayoutVars>
      </dgm:prSet>
      <dgm:spPr/>
    </dgm:pt>
    <dgm:pt modelId="{C07C00D0-15B5-466C-9C15-2E89CED1D221}" type="pres">
      <dgm:prSet presAssocID="{E2182725-DE71-4BB4-A389-47EC1D39015A}" presName="level3hierChild" presStyleCnt="0"/>
      <dgm:spPr/>
    </dgm:pt>
    <dgm:pt modelId="{1C8820C8-D48F-48A2-923B-223412C8B4A0}" type="pres">
      <dgm:prSet presAssocID="{BC7EF889-E1CD-45CD-A175-AB72BD43E801}" presName="conn2-1" presStyleLbl="parChTrans1D3" presStyleIdx="0" presStyleCnt="5"/>
      <dgm:spPr/>
    </dgm:pt>
    <dgm:pt modelId="{2E8CA660-FC46-4693-9A50-E651BBF1A531}" type="pres">
      <dgm:prSet presAssocID="{BC7EF889-E1CD-45CD-A175-AB72BD43E801}" presName="connTx" presStyleLbl="parChTrans1D3" presStyleIdx="0" presStyleCnt="5"/>
      <dgm:spPr/>
    </dgm:pt>
    <dgm:pt modelId="{B2AE477D-2FA0-4A48-AEC0-25BABEEB24C5}" type="pres">
      <dgm:prSet presAssocID="{2E20311B-6D6C-43F4-A811-30FC0CF355BB}" presName="root2" presStyleCnt="0"/>
      <dgm:spPr/>
    </dgm:pt>
    <dgm:pt modelId="{09156CF9-B156-40F0-ABD7-405AD20EDCC8}" type="pres">
      <dgm:prSet presAssocID="{2E20311B-6D6C-43F4-A811-30FC0CF355BB}" presName="LevelTwoTextNode" presStyleLbl="node3" presStyleIdx="0" presStyleCnt="5">
        <dgm:presLayoutVars>
          <dgm:chPref val="3"/>
        </dgm:presLayoutVars>
      </dgm:prSet>
      <dgm:spPr/>
    </dgm:pt>
    <dgm:pt modelId="{00D22E84-860C-4C24-85EF-E2AB16583934}" type="pres">
      <dgm:prSet presAssocID="{2E20311B-6D6C-43F4-A811-30FC0CF355BB}" presName="level3hierChild" presStyleCnt="0"/>
      <dgm:spPr/>
    </dgm:pt>
    <dgm:pt modelId="{0CE4C36F-4739-4356-AEE3-E96422DA5C1E}" type="pres">
      <dgm:prSet presAssocID="{BA685598-0095-4C68-A490-6A152BE93158}" presName="conn2-1" presStyleLbl="parChTrans1D4" presStyleIdx="0" presStyleCnt="1"/>
      <dgm:spPr/>
    </dgm:pt>
    <dgm:pt modelId="{56F0212E-539C-4B70-82A4-01B55D876566}" type="pres">
      <dgm:prSet presAssocID="{BA685598-0095-4C68-A490-6A152BE93158}" presName="connTx" presStyleLbl="parChTrans1D4" presStyleIdx="0" presStyleCnt="1"/>
      <dgm:spPr/>
    </dgm:pt>
    <dgm:pt modelId="{97FDCB16-0CF1-4108-A322-D38808A4A24D}" type="pres">
      <dgm:prSet presAssocID="{CA249114-CFE5-48A4-9045-5909C11F8A34}" presName="root2" presStyleCnt="0"/>
      <dgm:spPr/>
    </dgm:pt>
    <dgm:pt modelId="{9A9B883B-A515-4EEE-BC78-1FD31C7A48EC}" type="pres">
      <dgm:prSet presAssocID="{CA249114-CFE5-48A4-9045-5909C11F8A34}" presName="LevelTwoTextNode" presStyleLbl="node4" presStyleIdx="0" presStyleCnt="1">
        <dgm:presLayoutVars>
          <dgm:chPref val="3"/>
        </dgm:presLayoutVars>
      </dgm:prSet>
      <dgm:spPr/>
    </dgm:pt>
    <dgm:pt modelId="{59C890C9-C64F-44B3-99DB-4016B4FCC135}" type="pres">
      <dgm:prSet presAssocID="{CA249114-CFE5-48A4-9045-5909C11F8A34}" presName="level3hierChild" presStyleCnt="0"/>
      <dgm:spPr/>
    </dgm:pt>
    <dgm:pt modelId="{282718F7-B7BD-41A8-B12F-51727C212FCD}" type="pres">
      <dgm:prSet presAssocID="{733D491B-12EE-4C13-8911-0B680FF2A0C6}" presName="conn2-1" presStyleLbl="parChTrans1D2" presStyleIdx="1" presStyleCnt="2"/>
      <dgm:spPr/>
    </dgm:pt>
    <dgm:pt modelId="{2D1E3640-26B4-4720-98AA-1910B8256235}" type="pres">
      <dgm:prSet presAssocID="{733D491B-12EE-4C13-8911-0B680FF2A0C6}" presName="connTx" presStyleLbl="parChTrans1D2" presStyleIdx="1" presStyleCnt="2"/>
      <dgm:spPr/>
    </dgm:pt>
    <dgm:pt modelId="{C1F4ECC8-E4C4-4C2C-9628-7C97F21EF049}" type="pres">
      <dgm:prSet presAssocID="{BFC9EA93-362A-414C-A569-20FA844B7D4F}" presName="root2" presStyleCnt="0"/>
      <dgm:spPr/>
    </dgm:pt>
    <dgm:pt modelId="{6C9C8255-B5A5-40F7-86AC-AAE20E809764}" type="pres">
      <dgm:prSet presAssocID="{BFC9EA93-362A-414C-A569-20FA844B7D4F}" presName="LevelTwoTextNode" presStyleLbl="node2" presStyleIdx="1" presStyleCnt="2">
        <dgm:presLayoutVars>
          <dgm:chPref val="3"/>
        </dgm:presLayoutVars>
      </dgm:prSet>
      <dgm:spPr/>
    </dgm:pt>
    <dgm:pt modelId="{09B3486E-76DB-4B98-8202-5A5DE744CB06}" type="pres">
      <dgm:prSet presAssocID="{BFC9EA93-362A-414C-A569-20FA844B7D4F}" presName="level3hierChild" presStyleCnt="0"/>
      <dgm:spPr/>
    </dgm:pt>
    <dgm:pt modelId="{7B00FCBE-BC0D-47C2-8D9E-044A8DD2315F}" type="pres">
      <dgm:prSet presAssocID="{EA14AF12-82F3-4388-BA1C-F01BDB405615}" presName="conn2-1" presStyleLbl="parChTrans1D3" presStyleIdx="1" presStyleCnt="5"/>
      <dgm:spPr/>
    </dgm:pt>
    <dgm:pt modelId="{3A33F0C7-7F3D-489D-8D3A-FF13EFACBD97}" type="pres">
      <dgm:prSet presAssocID="{EA14AF12-82F3-4388-BA1C-F01BDB405615}" presName="connTx" presStyleLbl="parChTrans1D3" presStyleIdx="1" presStyleCnt="5"/>
      <dgm:spPr/>
    </dgm:pt>
    <dgm:pt modelId="{F0EF5E31-BE1D-42A2-BD87-9FB6CCB0BBEB}" type="pres">
      <dgm:prSet presAssocID="{9C680BE6-82A1-418F-B4B6-D462E41315D3}" presName="root2" presStyleCnt="0"/>
      <dgm:spPr/>
    </dgm:pt>
    <dgm:pt modelId="{D73ACAB9-8C75-440A-95C3-1A0BB570B4A3}" type="pres">
      <dgm:prSet presAssocID="{9C680BE6-82A1-418F-B4B6-D462E41315D3}" presName="LevelTwoTextNode" presStyleLbl="node3" presStyleIdx="1" presStyleCnt="5">
        <dgm:presLayoutVars>
          <dgm:chPref val="3"/>
        </dgm:presLayoutVars>
      </dgm:prSet>
      <dgm:spPr/>
    </dgm:pt>
    <dgm:pt modelId="{9679354E-2235-4133-AF2C-0B9F573F9141}" type="pres">
      <dgm:prSet presAssocID="{9C680BE6-82A1-418F-B4B6-D462E41315D3}" presName="level3hierChild" presStyleCnt="0"/>
      <dgm:spPr/>
    </dgm:pt>
    <dgm:pt modelId="{2802ECD4-4AD3-49BE-A28C-BE2012512E96}" type="pres">
      <dgm:prSet presAssocID="{6F38F11F-9050-4D1E-9B02-D26598D23460}" presName="conn2-1" presStyleLbl="parChTrans1D3" presStyleIdx="2" presStyleCnt="5"/>
      <dgm:spPr/>
    </dgm:pt>
    <dgm:pt modelId="{EDD21FC6-95CD-4739-A810-E27EF356DC75}" type="pres">
      <dgm:prSet presAssocID="{6F38F11F-9050-4D1E-9B02-D26598D23460}" presName="connTx" presStyleLbl="parChTrans1D3" presStyleIdx="2" presStyleCnt="5"/>
      <dgm:spPr/>
    </dgm:pt>
    <dgm:pt modelId="{CC668132-7AEC-4C27-AA2E-547D57FB2043}" type="pres">
      <dgm:prSet presAssocID="{07AD3155-D2A1-419C-80CB-0A73C77335D9}" presName="root2" presStyleCnt="0"/>
      <dgm:spPr/>
    </dgm:pt>
    <dgm:pt modelId="{382C766B-41D9-4F9F-B873-057CE92AE591}" type="pres">
      <dgm:prSet presAssocID="{07AD3155-D2A1-419C-80CB-0A73C77335D9}" presName="LevelTwoTextNode" presStyleLbl="node3" presStyleIdx="2" presStyleCnt="5">
        <dgm:presLayoutVars>
          <dgm:chPref val="3"/>
        </dgm:presLayoutVars>
      </dgm:prSet>
      <dgm:spPr/>
    </dgm:pt>
    <dgm:pt modelId="{B7986372-CA75-4142-B77B-9E0BFDA06592}" type="pres">
      <dgm:prSet presAssocID="{07AD3155-D2A1-419C-80CB-0A73C77335D9}" presName="level3hierChild" presStyleCnt="0"/>
      <dgm:spPr/>
    </dgm:pt>
    <dgm:pt modelId="{6528BE30-A77F-49B8-9141-0EE524682CC0}" type="pres">
      <dgm:prSet presAssocID="{2CDCE919-EFBB-4B2E-9280-8E22FC89F890}" presName="conn2-1" presStyleLbl="parChTrans1D3" presStyleIdx="3" presStyleCnt="5"/>
      <dgm:spPr/>
    </dgm:pt>
    <dgm:pt modelId="{2CD7808A-D288-42B8-8DEC-95837048BFBC}" type="pres">
      <dgm:prSet presAssocID="{2CDCE919-EFBB-4B2E-9280-8E22FC89F890}" presName="connTx" presStyleLbl="parChTrans1D3" presStyleIdx="3" presStyleCnt="5"/>
      <dgm:spPr/>
    </dgm:pt>
    <dgm:pt modelId="{CB85570B-337F-4E71-842E-61CB284FE5BA}" type="pres">
      <dgm:prSet presAssocID="{07F7B4D9-9B1F-41CC-8131-D165BD1DB7FE}" presName="root2" presStyleCnt="0"/>
      <dgm:spPr/>
    </dgm:pt>
    <dgm:pt modelId="{2E695357-033A-4371-8B11-848415D129E2}" type="pres">
      <dgm:prSet presAssocID="{07F7B4D9-9B1F-41CC-8131-D165BD1DB7FE}" presName="LevelTwoTextNode" presStyleLbl="node3" presStyleIdx="3" presStyleCnt="5">
        <dgm:presLayoutVars>
          <dgm:chPref val="3"/>
        </dgm:presLayoutVars>
      </dgm:prSet>
      <dgm:spPr/>
    </dgm:pt>
    <dgm:pt modelId="{8E0A19CE-A609-4471-8A4F-BCC98D4F0B20}" type="pres">
      <dgm:prSet presAssocID="{07F7B4D9-9B1F-41CC-8131-D165BD1DB7FE}" presName="level3hierChild" presStyleCnt="0"/>
      <dgm:spPr/>
    </dgm:pt>
    <dgm:pt modelId="{83FBDBED-E713-4470-B651-116504975855}" type="pres">
      <dgm:prSet presAssocID="{A9F4056C-733E-49D3-86E0-4ABC92A45AAA}" presName="conn2-1" presStyleLbl="parChTrans1D3" presStyleIdx="4" presStyleCnt="5"/>
      <dgm:spPr/>
    </dgm:pt>
    <dgm:pt modelId="{28B9BB06-5285-456C-A859-8D6090BE83D9}" type="pres">
      <dgm:prSet presAssocID="{A9F4056C-733E-49D3-86E0-4ABC92A45AAA}" presName="connTx" presStyleLbl="parChTrans1D3" presStyleIdx="4" presStyleCnt="5"/>
      <dgm:spPr/>
    </dgm:pt>
    <dgm:pt modelId="{1DBFF20A-A7CE-4C15-95F0-AC9F751C0591}" type="pres">
      <dgm:prSet presAssocID="{9FCCE9B3-7E35-439B-B44C-D4906BEFCF5C}" presName="root2" presStyleCnt="0"/>
      <dgm:spPr/>
    </dgm:pt>
    <dgm:pt modelId="{2576217B-AA7C-4783-833A-361DE257DCF4}" type="pres">
      <dgm:prSet presAssocID="{9FCCE9B3-7E35-439B-B44C-D4906BEFCF5C}" presName="LevelTwoTextNode" presStyleLbl="node3" presStyleIdx="4" presStyleCnt="5">
        <dgm:presLayoutVars>
          <dgm:chPref val="3"/>
        </dgm:presLayoutVars>
      </dgm:prSet>
      <dgm:spPr/>
    </dgm:pt>
    <dgm:pt modelId="{053DC42A-2F34-49F3-BBEC-8BB6A35F012A}" type="pres">
      <dgm:prSet presAssocID="{9FCCE9B3-7E35-439B-B44C-D4906BEFCF5C}" presName="level3hierChild" presStyleCnt="0"/>
      <dgm:spPr/>
    </dgm:pt>
  </dgm:ptLst>
  <dgm:cxnLst>
    <dgm:cxn modelId="{0EABEB01-D03F-409E-80D9-8499A3284330}" type="presOf" srcId="{07AD3155-D2A1-419C-80CB-0A73C77335D9}" destId="{382C766B-41D9-4F9F-B873-057CE92AE591}" srcOrd="0" destOrd="0" presId="urn:microsoft.com/office/officeart/2005/8/layout/hierarchy2"/>
    <dgm:cxn modelId="{13C61E02-85D5-4891-9D0A-5DF5FEB9BF64}" type="presOf" srcId="{9FCCE9B3-7E35-439B-B44C-D4906BEFCF5C}" destId="{2576217B-AA7C-4783-833A-361DE257DCF4}" srcOrd="0" destOrd="0" presId="urn:microsoft.com/office/officeart/2005/8/layout/hierarchy2"/>
    <dgm:cxn modelId="{3B9E4D08-040C-4599-9D64-F7F720646DB6}" type="presOf" srcId="{6D191991-F2C3-4669-8CA8-59C3704278EF}" destId="{7700356E-6C48-49C2-850C-A3EAE3CB4401}" srcOrd="0" destOrd="0" presId="urn:microsoft.com/office/officeart/2005/8/layout/hierarchy2"/>
    <dgm:cxn modelId="{FA37B609-FCC5-4FBD-9E5D-B44CB06AC968}" type="presOf" srcId="{EA14AF12-82F3-4388-BA1C-F01BDB405615}" destId="{7B00FCBE-BC0D-47C2-8D9E-044A8DD2315F}" srcOrd="0" destOrd="0" presId="urn:microsoft.com/office/officeart/2005/8/layout/hierarchy2"/>
    <dgm:cxn modelId="{B482C70E-65D5-459C-8197-6DAA7DEEC33E}" type="presOf" srcId="{F81D91FD-1E67-4CDB-AFCA-B58CB528FE3F}" destId="{AC232DD7-6CA4-458F-B95D-6BD485DD59A2}" srcOrd="1" destOrd="0" presId="urn:microsoft.com/office/officeart/2005/8/layout/hierarchy2"/>
    <dgm:cxn modelId="{285D8B13-2D80-478A-958E-A2D712F9D067}" srcId="{D1AD6490-6302-46C3-A3E0-CAC9AD1840CE}" destId="{6D191991-F2C3-4669-8CA8-59C3704278EF}" srcOrd="0" destOrd="0" parTransId="{712B99EA-9D9B-48CB-85A4-645FA02D8B62}" sibTransId="{AA7E65CB-7FB3-43CE-8052-8CAA2261AA06}"/>
    <dgm:cxn modelId="{C3E65F15-8BA1-403F-8349-3709169AD18E}" srcId="{E2182725-DE71-4BB4-A389-47EC1D39015A}" destId="{2E20311B-6D6C-43F4-A811-30FC0CF355BB}" srcOrd="0" destOrd="0" parTransId="{BC7EF889-E1CD-45CD-A175-AB72BD43E801}" sibTransId="{60BA0722-3399-4096-B734-DD14BCE67064}"/>
    <dgm:cxn modelId="{5108571D-1441-4ED9-8C9D-B204AD41FC3F}" type="presOf" srcId="{E2182725-DE71-4BB4-A389-47EC1D39015A}" destId="{6564D30B-8B27-4C4B-A279-545B2EF000AF}" srcOrd="0" destOrd="0" presId="urn:microsoft.com/office/officeart/2005/8/layout/hierarchy2"/>
    <dgm:cxn modelId="{5506732C-4940-4399-B366-40EC402EDE76}" type="presOf" srcId="{BFC9EA93-362A-414C-A569-20FA844B7D4F}" destId="{6C9C8255-B5A5-40F7-86AC-AAE20E809764}" srcOrd="0" destOrd="0" presId="urn:microsoft.com/office/officeart/2005/8/layout/hierarchy2"/>
    <dgm:cxn modelId="{573AD040-3442-4D87-B6E1-FECA2DD7FC84}" srcId="{BFC9EA93-362A-414C-A569-20FA844B7D4F}" destId="{07F7B4D9-9B1F-41CC-8131-D165BD1DB7FE}" srcOrd="2" destOrd="0" parTransId="{2CDCE919-EFBB-4B2E-9280-8E22FC89F890}" sibTransId="{D14CC4D4-3A7D-4BB8-B4F7-302E7242D256}"/>
    <dgm:cxn modelId="{65144242-996F-41F5-951B-E182FCD77082}" srcId="{6D191991-F2C3-4669-8CA8-59C3704278EF}" destId="{BFC9EA93-362A-414C-A569-20FA844B7D4F}" srcOrd="1" destOrd="0" parTransId="{733D491B-12EE-4C13-8911-0B680FF2A0C6}" sibTransId="{FB42932B-A079-48D2-9301-505D5689EE8E}"/>
    <dgm:cxn modelId="{94E3F66D-2CE6-4100-9D32-74CAB391684F}" srcId="{6D191991-F2C3-4669-8CA8-59C3704278EF}" destId="{E2182725-DE71-4BB4-A389-47EC1D39015A}" srcOrd="0" destOrd="0" parTransId="{F81D91FD-1E67-4CDB-AFCA-B58CB528FE3F}" sibTransId="{FA257D2D-67CE-4A8E-B2DE-4DAA28D0A1F7}"/>
    <dgm:cxn modelId="{FAD88E6E-FF5B-4EBC-9BF9-B31C4290AD2B}" srcId="{BFC9EA93-362A-414C-A569-20FA844B7D4F}" destId="{9C680BE6-82A1-418F-B4B6-D462E41315D3}" srcOrd="0" destOrd="0" parTransId="{EA14AF12-82F3-4388-BA1C-F01BDB405615}" sibTransId="{20A8F287-4007-407F-B1CE-7CB32F8B9109}"/>
    <dgm:cxn modelId="{622D9B6E-A95B-498B-B798-00998BDBE8E7}" type="presOf" srcId="{9C680BE6-82A1-418F-B4B6-D462E41315D3}" destId="{D73ACAB9-8C75-440A-95C3-1A0BB570B4A3}" srcOrd="0" destOrd="0" presId="urn:microsoft.com/office/officeart/2005/8/layout/hierarchy2"/>
    <dgm:cxn modelId="{3C71A775-B16C-413E-A43F-9CCB9C6056D4}" type="presOf" srcId="{2CDCE919-EFBB-4B2E-9280-8E22FC89F890}" destId="{6528BE30-A77F-49B8-9141-0EE524682CC0}" srcOrd="0" destOrd="0" presId="urn:microsoft.com/office/officeart/2005/8/layout/hierarchy2"/>
    <dgm:cxn modelId="{0F448D57-2998-4C36-9982-A884E30C9814}" type="presOf" srcId="{F81D91FD-1E67-4CDB-AFCA-B58CB528FE3F}" destId="{59A01059-E60B-4D85-9CE4-45F1CEF8FD08}" srcOrd="0" destOrd="0" presId="urn:microsoft.com/office/officeart/2005/8/layout/hierarchy2"/>
    <dgm:cxn modelId="{2437E479-608C-4502-8A81-1E0769B78A9C}" type="presOf" srcId="{BC7EF889-E1CD-45CD-A175-AB72BD43E801}" destId="{2E8CA660-FC46-4693-9A50-E651BBF1A531}" srcOrd="1" destOrd="0" presId="urn:microsoft.com/office/officeart/2005/8/layout/hierarchy2"/>
    <dgm:cxn modelId="{98A53A5A-4F04-417C-9A02-03F12FB13D20}" type="presOf" srcId="{D1AD6490-6302-46C3-A3E0-CAC9AD1840CE}" destId="{7AEEABA0-3BF5-4C70-A1E1-3FF78B748A96}" srcOrd="0" destOrd="0" presId="urn:microsoft.com/office/officeart/2005/8/layout/hierarchy2"/>
    <dgm:cxn modelId="{7BF06599-0065-4557-90D1-50E8873BE16E}" type="presOf" srcId="{BA685598-0095-4C68-A490-6A152BE93158}" destId="{56F0212E-539C-4B70-82A4-01B55D876566}" srcOrd="1" destOrd="0" presId="urn:microsoft.com/office/officeart/2005/8/layout/hierarchy2"/>
    <dgm:cxn modelId="{99C99D9D-6188-43EE-9591-A8DDC1551F0E}" type="presOf" srcId="{733D491B-12EE-4C13-8911-0B680FF2A0C6}" destId="{2D1E3640-26B4-4720-98AA-1910B8256235}" srcOrd="1" destOrd="0" presId="urn:microsoft.com/office/officeart/2005/8/layout/hierarchy2"/>
    <dgm:cxn modelId="{4D236FA7-C1FD-466C-89FF-DB00FECD8062}" type="presOf" srcId="{2E20311B-6D6C-43F4-A811-30FC0CF355BB}" destId="{09156CF9-B156-40F0-ABD7-405AD20EDCC8}" srcOrd="0" destOrd="0" presId="urn:microsoft.com/office/officeart/2005/8/layout/hierarchy2"/>
    <dgm:cxn modelId="{0EA532BB-056B-40B1-AE8E-92E078DBCBCB}" type="presOf" srcId="{A9F4056C-733E-49D3-86E0-4ABC92A45AAA}" destId="{28B9BB06-5285-456C-A859-8D6090BE83D9}" srcOrd="1" destOrd="0" presId="urn:microsoft.com/office/officeart/2005/8/layout/hierarchy2"/>
    <dgm:cxn modelId="{302B2ABC-F7BF-4551-8C9C-DDB2D9312243}" type="presOf" srcId="{733D491B-12EE-4C13-8911-0B680FF2A0C6}" destId="{282718F7-B7BD-41A8-B12F-51727C212FCD}" srcOrd="0" destOrd="0" presId="urn:microsoft.com/office/officeart/2005/8/layout/hierarchy2"/>
    <dgm:cxn modelId="{F93B35C4-B555-4F91-88D0-A196D1454E4A}" srcId="{2E20311B-6D6C-43F4-A811-30FC0CF355BB}" destId="{CA249114-CFE5-48A4-9045-5909C11F8A34}" srcOrd="0" destOrd="0" parTransId="{BA685598-0095-4C68-A490-6A152BE93158}" sibTransId="{76FB2991-072B-4A39-8DB6-A2BE93EF2042}"/>
    <dgm:cxn modelId="{E767AEC8-4F5C-4E34-9A5A-276BB498076E}" srcId="{BFC9EA93-362A-414C-A569-20FA844B7D4F}" destId="{07AD3155-D2A1-419C-80CB-0A73C77335D9}" srcOrd="1" destOrd="0" parTransId="{6F38F11F-9050-4D1E-9B02-D26598D23460}" sibTransId="{F2B98493-19A6-49AA-81E7-BAC78A771ED8}"/>
    <dgm:cxn modelId="{90D550C9-DE2D-46A0-B984-1BED73BD8492}" type="presOf" srcId="{07F7B4D9-9B1F-41CC-8131-D165BD1DB7FE}" destId="{2E695357-033A-4371-8B11-848415D129E2}" srcOrd="0" destOrd="0" presId="urn:microsoft.com/office/officeart/2005/8/layout/hierarchy2"/>
    <dgm:cxn modelId="{943BACCF-1B4E-4B80-B268-B0ED6E3ABAE5}" type="presOf" srcId="{EA14AF12-82F3-4388-BA1C-F01BDB405615}" destId="{3A33F0C7-7F3D-489D-8D3A-FF13EFACBD97}" srcOrd="1" destOrd="0" presId="urn:microsoft.com/office/officeart/2005/8/layout/hierarchy2"/>
    <dgm:cxn modelId="{09471ED2-23CE-4976-B830-40F20581CA06}" type="presOf" srcId="{CA249114-CFE5-48A4-9045-5909C11F8A34}" destId="{9A9B883B-A515-4EEE-BC78-1FD31C7A48EC}" srcOrd="0" destOrd="0" presId="urn:microsoft.com/office/officeart/2005/8/layout/hierarchy2"/>
    <dgm:cxn modelId="{C80309DC-F41E-4A54-9D78-3E909BE0280F}" type="presOf" srcId="{A9F4056C-733E-49D3-86E0-4ABC92A45AAA}" destId="{83FBDBED-E713-4470-B651-116504975855}" srcOrd="0" destOrd="0" presId="urn:microsoft.com/office/officeart/2005/8/layout/hierarchy2"/>
    <dgm:cxn modelId="{841882DE-3997-4622-9CAB-231CDC0C8957}" type="presOf" srcId="{BC7EF889-E1CD-45CD-A175-AB72BD43E801}" destId="{1C8820C8-D48F-48A2-923B-223412C8B4A0}" srcOrd="0" destOrd="0" presId="urn:microsoft.com/office/officeart/2005/8/layout/hierarchy2"/>
    <dgm:cxn modelId="{BE1717EA-63B8-42CC-AAFE-4E0384F59774}" type="presOf" srcId="{6F38F11F-9050-4D1E-9B02-D26598D23460}" destId="{EDD21FC6-95CD-4739-A810-E27EF356DC75}" srcOrd="1" destOrd="0" presId="urn:microsoft.com/office/officeart/2005/8/layout/hierarchy2"/>
    <dgm:cxn modelId="{7F3D1BEA-35E2-40F4-A527-1114B7502EA1}" type="presOf" srcId="{6F38F11F-9050-4D1E-9B02-D26598D23460}" destId="{2802ECD4-4AD3-49BE-A28C-BE2012512E96}" srcOrd="0" destOrd="0" presId="urn:microsoft.com/office/officeart/2005/8/layout/hierarchy2"/>
    <dgm:cxn modelId="{BBFD27EA-F5B9-4937-BC44-22030EE7CF6A}" type="presOf" srcId="{BA685598-0095-4C68-A490-6A152BE93158}" destId="{0CE4C36F-4739-4356-AEE3-E96422DA5C1E}" srcOrd="0" destOrd="0" presId="urn:microsoft.com/office/officeart/2005/8/layout/hierarchy2"/>
    <dgm:cxn modelId="{298814F6-2D38-4E03-9233-E1295DFBB0AB}" type="presOf" srcId="{2CDCE919-EFBB-4B2E-9280-8E22FC89F890}" destId="{2CD7808A-D288-42B8-8DEC-95837048BFBC}" srcOrd="1" destOrd="0" presId="urn:microsoft.com/office/officeart/2005/8/layout/hierarchy2"/>
    <dgm:cxn modelId="{A70E44FF-AB69-4440-BDD5-3A7132CD191B}" srcId="{BFC9EA93-362A-414C-A569-20FA844B7D4F}" destId="{9FCCE9B3-7E35-439B-B44C-D4906BEFCF5C}" srcOrd="3" destOrd="0" parTransId="{A9F4056C-733E-49D3-86E0-4ABC92A45AAA}" sibTransId="{59D83EC0-9D68-402D-9B49-C32C9EEAC5A8}"/>
    <dgm:cxn modelId="{56636694-271C-40DA-B9C2-EA5549180759}" type="presParOf" srcId="{7AEEABA0-3BF5-4C70-A1E1-3FF78B748A96}" destId="{49AC395B-952C-4881-A8B1-7AB6CF87DEB1}" srcOrd="0" destOrd="0" presId="urn:microsoft.com/office/officeart/2005/8/layout/hierarchy2"/>
    <dgm:cxn modelId="{E5E7768B-6DC5-4E4F-96A2-A8E3E02ABC56}" type="presParOf" srcId="{49AC395B-952C-4881-A8B1-7AB6CF87DEB1}" destId="{7700356E-6C48-49C2-850C-A3EAE3CB4401}" srcOrd="0" destOrd="0" presId="urn:microsoft.com/office/officeart/2005/8/layout/hierarchy2"/>
    <dgm:cxn modelId="{DB9FEAE4-1D25-4462-9710-2B81CDEB54A8}" type="presParOf" srcId="{49AC395B-952C-4881-A8B1-7AB6CF87DEB1}" destId="{8398951A-7BD7-46D8-986A-7AAB9C33FDF4}" srcOrd="1" destOrd="0" presId="urn:microsoft.com/office/officeart/2005/8/layout/hierarchy2"/>
    <dgm:cxn modelId="{E6DBDFDC-55B6-4215-A9F2-662AEBE50F79}" type="presParOf" srcId="{8398951A-7BD7-46D8-986A-7AAB9C33FDF4}" destId="{59A01059-E60B-4D85-9CE4-45F1CEF8FD08}" srcOrd="0" destOrd="0" presId="urn:microsoft.com/office/officeart/2005/8/layout/hierarchy2"/>
    <dgm:cxn modelId="{EE379A3D-35C4-405D-9CDD-9D719F757976}" type="presParOf" srcId="{59A01059-E60B-4D85-9CE4-45F1CEF8FD08}" destId="{AC232DD7-6CA4-458F-B95D-6BD485DD59A2}" srcOrd="0" destOrd="0" presId="urn:microsoft.com/office/officeart/2005/8/layout/hierarchy2"/>
    <dgm:cxn modelId="{A75D685D-29E1-4FF8-A7D4-A351015D096F}" type="presParOf" srcId="{8398951A-7BD7-46D8-986A-7AAB9C33FDF4}" destId="{145EDACD-6C63-4AC2-A9DC-20AE0C6193F6}" srcOrd="1" destOrd="0" presId="urn:microsoft.com/office/officeart/2005/8/layout/hierarchy2"/>
    <dgm:cxn modelId="{25F6A53F-3C5C-418B-9320-CF92D17EAF46}" type="presParOf" srcId="{145EDACD-6C63-4AC2-A9DC-20AE0C6193F6}" destId="{6564D30B-8B27-4C4B-A279-545B2EF000AF}" srcOrd="0" destOrd="0" presId="urn:microsoft.com/office/officeart/2005/8/layout/hierarchy2"/>
    <dgm:cxn modelId="{CB7E1494-DF93-431C-AF14-E5C1DFC37D22}" type="presParOf" srcId="{145EDACD-6C63-4AC2-A9DC-20AE0C6193F6}" destId="{C07C00D0-15B5-466C-9C15-2E89CED1D221}" srcOrd="1" destOrd="0" presId="urn:microsoft.com/office/officeart/2005/8/layout/hierarchy2"/>
    <dgm:cxn modelId="{1CB1DA01-E37B-4782-923D-A29E4D534E39}" type="presParOf" srcId="{C07C00D0-15B5-466C-9C15-2E89CED1D221}" destId="{1C8820C8-D48F-48A2-923B-223412C8B4A0}" srcOrd="0" destOrd="0" presId="urn:microsoft.com/office/officeart/2005/8/layout/hierarchy2"/>
    <dgm:cxn modelId="{D2D8F844-0198-42E6-AC1B-2CBBC5535A2C}" type="presParOf" srcId="{1C8820C8-D48F-48A2-923B-223412C8B4A0}" destId="{2E8CA660-FC46-4693-9A50-E651BBF1A531}" srcOrd="0" destOrd="0" presId="urn:microsoft.com/office/officeart/2005/8/layout/hierarchy2"/>
    <dgm:cxn modelId="{F33562F9-BB1D-4393-9A14-E77B2B1DF2B9}" type="presParOf" srcId="{C07C00D0-15B5-466C-9C15-2E89CED1D221}" destId="{B2AE477D-2FA0-4A48-AEC0-25BABEEB24C5}" srcOrd="1" destOrd="0" presId="urn:microsoft.com/office/officeart/2005/8/layout/hierarchy2"/>
    <dgm:cxn modelId="{B52561F9-1E59-469C-8C94-FEA75A06724D}" type="presParOf" srcId="{B2AE477D-2FA0-4A48-AEC0-25BABEEB24C5}" destId="{09156CF9-B156-40F0-ABD7-405AD20EDCC8}" srcOrd="0" destOrd="0" presId="urn:microsoft.com/office/officeart/2005/8/layout/hierarchy2"/>
    <dgm:cxn modelId="{11B39B65-E714-429D-9C2F-D966CC761A11}" type="presParOf" srcId="{B2AE477D-2FA0-4A48-AEC0-25BABEEB24C5}" destId="{00D22E84-860C-4C24-85EF-E2AB16583934}" srcOrd="1" destOrd="0" presId="urn:microsoft.com/office/officeart/2005/8/layout/hierarchy2"/>
    <dgm:cxn modelId="{312C641E-685E-4C5D-88D1-4FD00609A662}" type="presParOf" srcId="{00D22E84-860C-4C24-85EF-E2AB16583934}" destId="{0CE4C36F-4739-4356-AEE3-E96422DA5C1E}" srcOrd="0" destOrd="0" presId="urn:microsoft.com/office/officeart/2005/8/layout/hierarchy2"/>
    <dgm:cxn modelId="{F93D0197-197D-4E15-B439-69339847FFCF}" type="presParOf" srcId="{0CE4C36F-4739-4356-AEE3-E96422DA5C1E}" destId="{56F0212E-539C-4B70-82A4-01B55D876566}" srcOrd="0" destOrd="0" presId="urn:microsoft.com/office/officeart/2005/8/layout/hierarchy2"/>
    <dgm:cxn modelId="{F64A0CC4-D0EE-46F8-BE22-A7F55180000C}" type="presParOf" srcId="{00D22E84-860C-4C24-85EF-E2AB16583934}" destId="{97FDCB16-0CF1-4108-A322-D38808A4A24D}" srcOrd="1" destOrd="0" presId="urn:microsoft.com/office/officeart/2005/8/layout/hierarchy2"/>
    <dgm:cxn modelId="{D7794420-E7BD-40BE-802E-A6AEBBE3B551}" type="presParOf" srcId="{97FDCB16-0CF1-4108-A322-D38808A4A24D}" destId="{9A9B883B-A515-4EEE-BC78-1FD31C7A48EC}" srcOrd="0" destOrd="0" presId="urn:microsoft.com/office/officeart/2005/8/layout/hierarchy2"/>
    <dgm:cxn modelId="{4DE96900-B34B-447C-85FA-42603EDD9096}" type="presParOf" srcId="{97FDCB16-0CF1-4108-A322-D38808A4A24D}" destId="{59C890C9-C64F-44B3-99DB-4016B4FCC135}" srcOrd="1" destOrd="0" presId="urn:microsoft.com/office/officeart/2005/8/layout/hierarchy2"/>
    <dgm:cxn modelId="{5C5860AB-7B80-4445-AFBA-DC5521336F3C}" type="presParOf" srcId="{8398951A-7BD7-46D8-986A-7AAB9C33FDF4}" destId="{282718F7-B7BD-41A8-B12F-51727C212FCD}" srcOrd="2" destOrd="0" presId="urn:microsoft.com/office/officeart/2005/8/layout/hierarchy2"/>
    <dgm:cxn modelId="{A58044BA-0996-4F41-85FF-B3DAD5F6C6CB}" type="presParOf" srcId="{282718F7-B7BD-41A8-B12F-51727C212FCD}" destId="{2D1E3640-26B4-4720-98AA-1910B8256235}" srcOrd="0" destOrd="0" presId="urn:microsoft.com/office/officeart/2005/8/layout/hierarchy2"/>
    <dgm:cxn modelId="{E22768D9-9F77-41D6-AE33-AF1C34E6AB0F}" type="presParOf" srcId="{8398951A-7BD7-46D8-986A-7AAB9C33FDF4}" destId="{C1F4ECC8-E4C4-4C2C-9628-7C97F21EF049}" srcOrd="3" destOrd="0" presId="urn:microsoft.com/office/officeart/2005/8/layout/hierarchy2"/>
    <dgm:cxn modelId="{9EEA7735-723F-4243-9CB7-051DFFE8DFA8}" type="presParOf" srcId="{C1F4ECC8-E4C4-4C2C-9628-7C97F21EF049}" destId="{6C9C8255-B5A5-40F7-86AC-AAE20E809764}" srcOrd="0" destOrd="0" presId="urn:microsoft.com/office/officeart/2005/8/layout/hierarchy2"/>
    <dgm:cxn modelId="{06A0EDBF-7E2A-4E3B-965E-011D730DEFA3}" type="presParOf" srcId="{C1F4ECC8-E4C4-4C2C-9628-7C97F21EF049}" destId="{09B3486E-76DB-4B98-8202-5A5DE744CB06}" srcOrd="1" destOrd="0" presId="urn:microsoft.com/office/officeart/2005/8/layout/hierarchy2"/>
    <dgm:cxn modelId="{75839DD8-2CDF-48E9-A2A8-08D14FE9916F}" type="presParOf" srcId="{09B3486E-76DB-4B98-8202-5A5DE744CB06}" destId="{7B00FCBE-BC0D-47C2-8D9E-044A8DD2315F}" srcOrd="0" destOrd="0" presId="urn:microsoft.com/office/officeart/2005/8/layout/hierarchy2"/>
    <dgm:cxn modelId="{C67DD136-85C1-43A7-BAF5-575B19DC1596}" type="presParOf" srcId="{7B00FCBE-BC0D-47C2-8D9E-044A8DD2315F}" destId="{3A33F0C7-7F3D-489D-8D3A-FF13EFACBD97}" srcOrd="0" destOrd="0" presId="urn:microsoft.com/office/officeart/2005/8/layout/hierarchy2"/>
    <dgm:cxn modelId="{163C81B1-022C-4276-B0E6-AD3373CD4A3C}" type="presParOf" srcId="{09B3486E-76DB-4B98-8202-5A5DE744CB06}" destId="{F0EF5E31-BE1D-42A2-BD87-9FB6CCB0BBEB}" srcOrd="1" destOrd="0" presId="urn:microsoft.com/office/officeart/2005/8/layout/hierarchy2"/>
    <dgm:cxn modelId="{7ACC6BAE-0C9E-4890-89E7-858D1AA850A0}" type="presParOf" srcId="{F0EF5E31-BE1D-42A2-BD87-9FB6CCB0BBEB}" destId="{D73ACAB9-8C75-440A-95C3-1A0BB570B4A3}" srcOrd="0" destOrd="0" presId="urn:microsoft.com/office/officeart/2005/8/layout/hierarchy2"/>
    <dgm:cxn modelId="{4BE68A41-1394-4697-B253-339BE496A19B}" type="presParOf" srcId="{F0EF5E31-BE1D-42A2-BD87-9FB6CCB0BBEB}" destId="{9679354E-2235-4133-AF2C-0B9F573F9141}" srcOrd="1" destOrd="0" presId="urn:microsoft.com/office/officeart/2005/8/layout/hierarchy2"/>
    <dgm:cxn modelId="{CAADF138-59FA-4F3D-B1A7-413853155127}" type="presParOf" srcId="{09B3486E-76DB-4B98-8202-5A5DE744CB06}" destId="{2802ECD4-4AD3-49BE-A28C-BE2012512E96}" srcOrd="2" destOrd="0" presId="urn:microsoft.com/office/officeart/2005/8/layout/hierarchy2"/>
    <dgm:cxn modelId="{128434DC-5F41-4597-80E5-6DAA35596BA4}" type="presParOf" srcId="{2802ECD4-4AD3-49BE-A28C-BE2012512E96}" destId="{EDD21FC6-95CD-4739-A810-E27EF356DC75}" srcOrd="0" destOrd="0" presId="urn:microsoft.com/office/officeart/2005/8/layout/hierarchy2"/>
    <dgm:cxn modelId="{FF6474F2-38FF-4850-BB18-E54F370C69CC}" type="presParOf" srcId="{09B3486E-76DB-4B98-8202-5A5DE744CB06}" destId="{CC668132-7AEC-4C27-AA2E-547D57FB2043}" srcOrd="3" destOrd="0" presId="urn:microsoft.com/office/officeart/2005/8/layout/hierarchy2"/>
    <dgm:cxn modelId="{AC68C267-E03F-4D4F-8839-3A7714FF116D}" type="presParOf" srcId="{CC668132-7AEC-4C27-AA2E-547D57FB2043}" destId="{382C766B-41D9-4F9F-B873-057CE92AE591}" srcOrd="0" destOrd="0" presId="urn:microsoft.com/office/officeart/2005/8/layout/hierarchy2"/>
    <dgm:cxn modelId="{75492BF0-2DCB-4FC8-A862-5B5BD18C8C4A}" type="presParOf" srcId="{CC668132-7AEC-4C27-AA2E-547D57FB2043}" destId="{B7986372-CA75-4142-B77B-9E0BFDA06592}" srcOrd="1" destOrd="0" presId="urn:microsoft.com/office/officeart/2005/8/layout/hierarchy2"/>
    <dgm:cxn modelId="{1CA685F7-2D0E-4834-97E5-A353B2FF8A18}" type="presParOf" srcId="{09B3486E-76DB-4B98-8202-5A5DE744CB06}" destId="{6528BE30-A77F-49B8-9141-0EE524682CC0}" srcOrd="4" destOrd="0" presId="urn:microsoft.com/office/officeart/2005/8/layout/hierarchy2"/>
    <dgm:cxn modelId="{BB53E51E-2680-4668-9E07-18886084ABED}" type="presParOf" srcId="{6528BE30-A77F-49B8-9141-0EE524682CC0}" destId="{2CD7808A-D288-42B8-8DEC-95837048BFBC}" srcOrd="0" destOrd="0" presId="urn:microsoft.com/office/officeart/2005/8/layout/hierarchy2"/>
    <dgm:cxn modelId="{F3B72074-CABF-47A8-A89D-2434F5091859}" type="presParOf" srcId="{09B3486E-76DB-4B98-8202-5A5DE744CB06}" destId="{CB85570B-337F-4E71-842E-61CB284FE5BA}" srcOrd="5" destOrd="0" presId="urn:microsoft.com/office/officeart/2005/8/layout/hierarchy2"/>
    <dgm:cxn modelId="{0B8344AA-2FB8-4722-85C7-EC8DB27941D0}" type="presParOf" srcId="{CB85570B-337F-4E71-842E-61CB284FE5BA}" destId="{2E695357-033A-4371-8B11-848415D129E2}" srcOrd="0" destOrd="0" presId="urn:microsoft.com/office/officeart/2005/8/layout/hierarchy2"/>
    <dgm:cxn modelId="{A4FB1393-3EA8-4E2C-A348-6BC44ABA494F}" type="presParOf" srcId="{CB85570B-337F-4E71-842E-61CB284FE5BA}" destId="{8E0A19CE-A609-4471-8A4F-BCC98D4F0B20}" srcOrd="1" destOrd="0" presId="urn:microsoft.com/office/officeart/2005/8/layout/hierarchy2"/>
    <dgm:cxn modelId="{62BE9B9E-6BB6-4FD5-87E4-7909351C54D4}" type="presParOf" srcId="{09B3486E-76DB-4B98-8202-5A5DE744CB06}" destId="{83FBDBED-E713-4470-B651-116504975855}" srcOrd="6" destOrd="0" presId="urn:microsoft.com/office/officeart/2005/8/layout/hierarchy2"/>
    <dgm:cxn modelId="{352AC10A-22F5-4EAF-88DD-DCEAB4F8660D}" type="presParOf" srcId="{83FBDBED-E713-4470-B651-116504975855}" destId="{28B9BB06-5285-456C-A859-8D6090BE83D9}" srcOrd="0" destOrd="0" presId="urn:microsoft.com/office/officeart/2005/8/layout/hierarchy2"/>
    <dgm:cxn modelId="{AEB36DB8-226E-491C-A9EB-7201FA3CF5F5}" type="presParOf" srcId="{09B3486E-76DB-4B98-8202-5A5DE744CB06}" destId="{1DBFF20A-A7CE-4C15-95F0-AC9F751C0591}" srcOrd="7" destOrd="0" presId="urn:microsoft.com/office/officeart/2005/8/layout/hierarchy2"/>
    <dgm:cxn modelId="{E5CC0963-0202-4887-AF7E-F2691E182F40}" type="presParOf" srcId="{1DBFF20A-A7CE-4C15-95F0-AC9F751C0591}" destId="{2576217B-AA7C-4783-833A-361DE257DCF4}" srcOrd="0" destOrd="0" presId="urn:microsoft.com/office/officeart/2005/8/layout/hierarchy2"/>
    <dgm:cxn modelId="{B18D9A6A-2F41-4B23-B990-7ED3C5C5B606}" type="presParOf" srcId="{1DBFF20A-A7CE-4C15-95F0-AC9F751C0591}" destId="{053DC42A-2F34-49F3-BBEC-8BB6A35F012A}" srcOrd="1" destOrd="0" presId="urn:microsoft.com/office/officeart/2005/8/layout/hierarchy2"/>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ata2.xml><?xml version="1.0" encoding="utf-8"?>
<dgm:dataModel xmlns:dgm="http://schemas.openxmlformats.org/drawingml/2006/diagram" xmlns:a="http://schemas.openxmlformats.org/drawingml/2006/main">
  <dgm:ptLst>
    <dgm:pt modelId="{15569EDB-C888-49F5-8808-4519AE650633}" type="doc">
      <dgm:prSet loTypeId="urn:microsoft.com/office/officeart/2005/8/layout/orgChart1" loCatId="hierarchy" qsTypeId="urn:microsoft.com/office/officeart/2005/8/quickstyle/simple1" qsCatId="simple" csTypeId="urn:microsoft.com/office/officeart/2005/8/colors/accent1_2" csCatId="accent1" phldr="1"/>
      <dgm:spPr/>
      <dgm:t>
        <a:bodyPr/>
        <a:lstStyle/>
        <a:p>
          <a:endParaRPr lang="en-US"/>
        </a:p>
      </dgm:t>
    </dgm:pt>
    <dgm:pt modelId="{01B344C7-E6CF-432D-9FC0-B79F64A5F007}">
      <dgm:prSet phldrT="[Text]"/>
      <dgm:spPr/>
      <dgm:t>
        <a:bodyPr/>
        <a:lstStyle/>
        <a:p>
          <a:r>
            <a:rPr lang="en-US" dirty="0"/>
            <a:t>Waste Reduction and Recycling Toolkits</a:t>
          </a:r>
        </a:p>
      </dgm:t>
    </dgm:pt>
    <dgm:pt modelId="{C50E2A2C-D659-4E47-A662-FD38BE559DA2}" type="parTrans" cxnId="{75189F0F-E682-423E-96CC-52FC793CB2F7}">
      <dgm:prSet/>
      <dgm:spPr/>
      <dgm:t>
        <a:bodyPr/>
        <a:lstStyle/>
        <a:p>
          <a:endParaRPr lang="en-US"/>
        </a:p>
      </dgm:t>
    </dgm:pt>
    <dgm:pt modelId="{33629F0A-CCBA-479E-8EA6-BD5B7C2ED426}" type="sibTrans" cxnId="{75189F0F-E682-423E-96CC-52FC793CB2F7}">
      <dgm:prSet/>
      <dgm:spPr/>
      <dgm:t>
        <a:bodyPr/>
        <a:lstStyle/>
        <a:p>
          <a:endParaRPr lang="en-US"/>
        </a:p>
      </dgm:t>
    </dgm:pt>
    <dgm:pt modelId="{CA40EA3E-0D74-4B5D-8889-FBBD8F9E6EA2}">
      <dgm:prSet phldrT="[Text]"/>
      <dgm:spPr>
        <a:solidFill>
          <a:srgbClr val="00B050"/>
        </a:solidFill>
      </dgm:spPr>
      <dgm:t>
        <a:bodyPr/>
        <a:lstStyle/>
        <a:p>
          <a:r>
            <a:rPr lang="en-US" dirty="0"/>
            <a:t>Waste Evaluation Toolkit</a:t>
          </a:r>
        </a:p>
      </dgm:t>
    </dgm:pt>
    <dgm:pt modelId="{A47C9F7E-96B3-4739-AA53-8DD9CA03DDC6}" type="parTrans" cxnId="{8D010F6A-EA0D-47B6-A9F4-92D71641D67B}">
      <dgm:prSet/>
      <dgm:spPr/>
      <dgm:t>
        <a:bodyPr/>
        <a:lstStyle/>
        <a:p>
          <a:endParaRPr lang="en-US"/>
        </a:p>
      </dgm:t>
    </dgm:pt>
    <dgm:pt modelId="{059F8902-5BAF-43F2-B645-471169F519E0}" type="sibTrans" cxnId="{8D010F6A-EA0D-47B6-A9F4-92D71641D67B}">
      <dgm:prSet/>
      <dgm:spPr/>
      <dgm:t>
        <a:bodyPr/>
        <a:lstStyle/>
        <a:p>
          <a:endParaRPr lang="en-US"/>
        </a:p>
      </dgm:t>
    </dgm:pt>
    <dgm:pt modelId="{8DE11AB5-8C0C-4A93-AF90-B28A1FAC00CA}">
      <dgm:prSet phldrT="[Text]"/>
      <dgm:spPr/>
      <dgm:t>
        <a:bodyPr/>
        <a:lstStyle/>
        <a:p>
          <a:r>
            <a:rPr lang="en-US" dirty="0"/>
            <a:t>Cost Evaluation Toolkit</a:t>
          </a:r>
        </a:p>
      </dgm:t>
    </dgm:pt>
    <dgm:pt modelId="{D3A1D506-F4AD-4659-81F1-4D2A734AF89C}" type="parTrans" cxnId="{0C492B73-E9AB-49F5-AE70-0E7067B5859D}">
      <dgm:prSet/>
      <dgm:spPr/>
      <dgm:t>
        <a:bodyPr/>
        <a:lstStyle/>
        <a:p>
          <a:endParaRPr lang="en-US"/>
        </a:p>
      </dgm:t>
    </dgm:pt>
    <dgm:pt modelId="{60F2554C-33F4-46D3-9645-5BEE2EE04541}" type="sibTrans" cxnId="{0C492B73-E9AB-49F5-AE70-0E7067B5859D}">
      <dgm:prSet/>
      <dgm:spPr/>
      <dgm:t>
        <a:bodyPr/>
        <a:lstStyle/>
        <a:p>
          <a:endParaRPr lang="en-US"/>
        </a:p>
      </dgm:t>
    </dgm:pt>
    <dgm:pt modelId="{43001946-DECC-4985-BEF9-92F5FBD6609E}">
      <dgm:prSet phldrT="[Text]"/>
      <dgm:spPr/>
      <dgm:t>
        <a:bodyPr/>
        <a:lstStyle/>
        <a:p>
          <a:r>
            <a:rPr lang="en-US" dirty="0"/>
            <a:t>Waste Management Tracking Toolkit</a:t>
          </a:r>
        </a:p>
      </dgm:t>
    </dgm:pt>
    <dgm:pt modelId="{CE2A20CE-DE8D-4118-855C-8235D6289053}" type="parTrans" cxnId="{86D06074-29BB-4FE4-B53B-4E2028C58425}">
      <dgm:prSet/>
      <dgm:spPr/>
      <dgm:t>
        <a:bodyPr/>
        <a:lstStyle/>
        <a:p>
          <a:endParaRPr lang="en-US"/>
        </a:p>
      </dgm:t>
    </dgm:pt>
    <dgm:pt modelId="{AA3BD525-FFDC-4BB2-8576-9D60D29E5CE3}" type="sibTrans" cxnId="{86D06074-29BB-4FE4-B53B-4E2028C58425}">
      <dgm:prSet/>
      <dgm:spPr/>
      <dgm:t>
        <a:bodyPr/>
        <a:lstStyle/>
        <a:p>
          <a:endParaRPr lang="en-US"/>
        </a:p>
      </dgm:t>
    </dgm:pt>
    <dgm:pt modelId="{36FCC6BA-5C1C-43BA-AEA8-D3589AAE1359}">
      <dgm:prSet phldrT="[Text]"/>
      <dgm:spPr/>
      <dgm:t>
        <a:bodyPr/>
        <a:lstStyle/>
        <a:p>
          <a:r>
            <a:rPr lang="en-US" dirty="0"/>
            <a:t>Program Startup Toolkit</a:t>
          </a:r>
        </a:p>
      </dgm:t>
    </dgm:pt>
    <dgm:pt modelId="{B54EB18A-E7D1-4663-90F1-5E768450B2D6}" type="parTrans" cxnId="{7B79B3F0-C049-4EB1-BC9E-C3792B5BBD30}">
      <dgm:prSet/>
      <dgm:spPr/>
      <dgm:t>
        <a:bodyPr/>
        <a:lstStyle/>
        <a:p>
          <a:endParaRPr lang="en-US"/>
        </a:p>
      </dgm:t>
    </dgm:pt>
    <dgm:pt modelId="{EC81E40A-FB9E-4052-955F-3F6A25D0B949}" type="sibTrans" cxnId="{7B79B3F0-C049-4EB1-BC9E-C3792B5BBD30}">
      <dgm:prSet/>
      <dgm:spPr/>
      <dgm:t>
        <a:bodyPr/>
        <a:lstStyle/>
        <a:p>
          <a:endParaRPr lang="en-US"/>
        </a:p>
      </dgm:t>
    </dgm:pt>
    <dgm:pt modelId="{6BBA2480-B995-4A5E-AC78-1BCD9AE1C23E}">
      <dgm:prSet phldrT="[Text]"/>
      <dgm:spPr/>
      <dgm:t>
        <a:bodyPr/>
        <a:lstStyle/>
        <a:p>
          <a:r>
            <a:rPr lang="en-US" dirty="0"/>
            <a:t>Additional Resources Toolkit</a:t>
          </a:r>
        </a:p>
      </dgm:t>
    </dgm:pt>
    <dgm:pt modelId="{607E5FAE-6513-4D34-9F28-4225546A7550}" type="parTrans" cxnId="{B7436343-079E-4E35-B7CE-5D14195F5DC9}">
      <dgm:prSet/>
      <dgm:spPr/>
      <dgm:t>
        <a:bodyPr/>
        <a:lstStyle/>
        <a:p>
          <a:endParaRPr lang="en-US"/>
        </a:p>
      </dgm:t>
    </dgm:pt>
    <dgm:pt modelId="{24E17693-72F6-4AAD-8D66-74E929843872}" type="sibTrans" cxnId="{B7436343-079E-4E35-B7CE-5D14195F5DC9}">
      <dgm:prSet/>
      <dgm:spPr/>
      <dgm:t>
        <a:bodyPr/>
        <a:lstStyle/>
        <a:p>
          <a:endParaRPr lang="en-US"/>
        </a:p>
      </dgm:t>
    </dgm:pt>
    <dgm:pt modelId="{F1D7584F-0952-4C16-BCDA-5654A3553724}">
      <dgm:prSet phldrT="[Text]"/>
      <dgm:spPr>
        <a:solidFill>
          <a:srgbClr val="00B050"/>
        </a:solidFill>
      </dgm:spPr>
      <dgm:t>
        <a:bodyPr/>
        <a:lstStyle/>
        <a:p>
          <a:r>
            <a:rPr lang="en-US" dirty="0"/>
            <a:t>Facility Survey</a:t>
          </a:r>
        </a:p>
      </dgm:t>
    </dgm:pt>
    <dgm:pt modelId="{5BF70684-093C-4660-AD1E-988F9F5ACD64}" type="parTrans" cxnId="{20C58AAA-4486-49E2-A20A-15D315A0E80E}">
      <dgm:prSet/>
      <dgm:spPr/>
      <dgm:t>
        <a:bodyPr/>
        <a:lstStyle/>
        <a:p>
          <a:endParaRPr lang="en-US"/>
        </a:p>
      </dgm:t>
    </dgm:pt>
    <dgm:pt modelId="{8A00B2FD-0990-40FE-B928-9927A7D3229A}" type="sibTrans" cxnId="{20C58AAA-4486-49E2-A20A-15D315A0E80E}">
      <dgm:prSet/>
      <dgm:spPr/>
      <dgm:t>
        <a:bodyPr/>
        <a:lstStyle/>
        <a:p>
          <a:endParaRPr lang="en-US"/>
        </a:p>
      </dgm:t>
    </dgm:pt>
    <dgm:pt modelId="{531F1DC3-92D1-4897-992A-E5FE7062CE31}">
      <dgm:prSet phldrT="[Text]"/>
      <dgm:spPr>
        <a:solidFill>
          <a:srgbClr val="00B050"/>
        </a:solidFill>
      </dgm:spPr>
      <dgm:t>
        <a:bodyPr/>
        <a:lstStyle/>
        <a:p>
          <a:r>
            <a:rPr lang="en-US" dirty="0"/>
            <a:t>Observation Checklist</a:t>
          </a:r>
        </a:p>
      </dgm:t>
    </dgm:pt>
    <dgm:pt modelId="{5669B897-C902-40A3-92B8-E840EBDC694F}" type="parTrans" cxnId="{EB80D547-E43F-4F79-8BF6-7DD9BA2465C0}">
      <dgm:prSet/>
      <dgm:spPr/>
      <dgm:t>
        <a:bodyPr/>
        <a:lstStyle/>
        <a:p>
          <a:endParaRPr lang="en-US"/>
        </a:p>
      </dgm:t>
    </dgm:pt>
    <dgm:pt modelId="{AD32BE51-8D68-4A1D-86FF-78D1155952B5}" type="sibTrans" cxnId="{EB80D547-E43F-4F79-8BF6-7DD9BA2465C0}">
      <dgm:prSet/>
      <dgm:spPr/>
      <dgm:t>
        <a:bodyPr/>
        <a:lstStyle/>
        <a:p>
          <a:endParaRPr lang="en-US"/>
        </a:p>
      </dgm:t>
    </dgm:pt>
    <dgm:pt modelId="{D00705F3-276A-40CF-A7A3-FE7FDA394A3B}">
      <dgm:prSet phldrT="[Text]"/>
      <dgm:spPr>
        <a:solidFill>
          <a:srgbClr val="00B050"/>
        </a:solidFill>
      </dgm:spPr>
      <dgm:t>
        <a:bodyPr/>
        <a:lstStyle/>
        <a:p>
          <a:r>
            <a:rPr lang="en-US" dirty="0"/>
            <a:t>Waste Composition Form</a:t>
          </a:r>
        </a:p>
      </dgm:t>
    </dgm:pt>
    <dgm:pt modelId="{2EF3849B-68B2-40A0-BD76-06604F7B3012}" type="parTrans" cxnId="{7592FC3C-710E-4ACF-9BD9-9FF432D0B347}">
      <dgm:prSet/>
      <dgm:spPr/>
      <dgm:t>
        <a:bodyPr/>
        <a:lstStyle/>
        <a:p>
          <a:endParaRPr lang="en-US"/>
        </a:p>
      </dgm:t>
    </dgm:pt>
    <dgm:pt modelId="{1273B43F-5E47-43FE-828A-6912E304252B}" type="sibTrans" cxnId="{7592FC3C-710E-4ACF-9BD9-9FF432D0B347}">
      <dgm:prSet/>
      <dgm:spPr/>
      <dgm:t>
        <a:bodyPr/>
        <a:lstStyle/>
        <a:p>
          <a:endParaRPr lang="en-US"/>
        </a:p>
      </dgm:t>
    </dgm:pt>
    <dgm:pt modelId="{EEF32661-24B6-4E92-B410-FB58807929DD}">
      <dgm:prSet phldrT="[Text]"/>
      <dgm:spPr/>
      <dgm:t>
        <a:bodyPr/>
        <a:lstStyle/>
        <a:p>
          <a:r>
            <a:rPr lang="en-US" dirty="0"/>
            <a:t>Waste Composition Form - Advanced</a:t>
          </a:r>
        </a:p>
      </dgm:t>
    </dgm:pt>
    <dgm:pt modelId="{8C98F6B0-2440-4DAA-9EC5-B295D9C82943}" type="parTrans" cxnId="{F561668E-6963-4812-8377-9B9CF61E9E05}">
      <dgm:prSet/>
      <dgm:spPr/>
      <dgm:t>
        <a:bodyPr/>
        <a:lstStyle/>
        <a:p>
          <a:endParaRPr lang="en-US"/>
        </a:p>
      </dgm:t>
    </dgm:pt>
    <dgm:pt modelId="{BD33B308-BB91-452E-93FF-A1B3F7FDA263}" type="sibTrans" cxnId="{F561668E-6963-4812-8377-9B9CF61E9E05}">
      <dgm:prSet/>
      <dgm:spPr/>
      <dgm:t>
        <a:bodyPr/>
        <a:lstStyle/>
        <a:p>
          <a:endParaRPr lang="en-US"/>
        </a:p>
      </dgm:t>
    </dgm:pt>
    <dgm:pt modelId="{584F1F94-2AAD-41C8-B664-47DFEF086687}">
      <dgm:prSet phldrT="[Text]"/>
      <dgm:spPr/>
      <dgm:t>
        <a:bodyPr/>
        <a:lstStyle/>
        <a:p>
          <a:r>
            <a:rPr lang="en-US" dirty="0"/>
            <a:t>Cost-Benefit Calculator</a:t>
          </a:r>
        </a:p>
      </dgm:t>
    </dgm:pt>
    <dgm:pt modelId="{FFED0993-DBE7-4D5E-A804-6AF71E499C47}" type="parTrans" cxnId="{C27B5AA2-C918-4EB1-854C-E64AE1C1A2CB}">
      <dgm:prSet/>
      <dgm:spPr/>
      <dgm:t>
        <a:bodyPr/>
        <a:lstStyle/>
        <a:p>
          <a:endParaRPr lang="en-US"/>
        </a:p>
      </dgm:t>
    </dgm:pt>
    <dgm:pt modelId="{63C40335-E65E-48DF-8FFA-78DAEC58E451}" type="sibTrans" cxnId="{C27B5AA2-C918-4EB1-854C-E64AE1C1A2CB}">
      <dgm:prSet/>
      <dgm:spPr/>
      <dgm:t>
        <a:bodyPr/>
        <a:lstStyle/>
        <a:p>
          <a:endParaRPr lang="en-US"/>
        </a:p>
      </dgm:t>
    </dgm:pt>
    <dgm:pt modelId="{A890EBEC-4DCB-46F5-A71A-C3B67DAD6B60}">
      <dgm:prSet phldrT="[Text]"/>
      <dgm:spPr/>
      <dgm:t>
        <a:bodyPr/>
        <a:lstStyle/>
        <a:p>
          <a:r>
            <a:rPr lang="en-US" dirty="0"/>
            <a:t>Container Capacity Calculator</a:t>
          </a:r>
        </a:p>
      </dgm:t>
    </dgm:pt>
    <dgm:pt modelId="{6A52C33B-3EBE-4781-9810-AA8B293D82AF}" type="parTrans" cxnId="{22F93833-B269-4750-A9F7-DE8ABB8C9150}">
      <dgm:prSet/>
      <dgm:spPr/>
      <dgm:t>
        <a:bodyPr/>
        <a:lstStyle/>
        <a:p>
          <a:endParaRPr lang="en-US"/>
        </a:p>
      </dgm:t>
    </dgm:pt>
    <dgm:pt modelId="{52B1D281-4D32-4E60-BB3B-98FC04A99237}" type="sibTrans" cxnId="{22F93833-B269-4750-A9F7-DE8ABB8C9150}">
      <dgm:prSet/>
      <dgm:spPr/>
      <dgm:t>
        <a:bodyPr/>
        <a:lstStyle/>
        <a:p>
          <a:endParaRPr lang="en-US"/>
        </a:p>
      </dgm:t>
    </dgm:pt>
    <dgm:pt modelId="{1D9A6B18-4EE1-465E-AEEA-5B45D418B6F3}">
      <dgm:prSet phldrT="[Text]"/>
      <dgm:spPr/>
      <dgm:t>
        <a:bodyPr/>
        <a:lstStyle/>
        <a:p>
          <a:r>
            <a:rPr lang="en-US" dirty="0"/>
            <a:t>Container Cost Calculator</a:t>
          </a:r>
        </a:p>
      </dgm:t>
    </dgm:pt>
    <dgm:pt modelId="{28E1B331-BF17-4487-910B-1417CEF3C576}" type="parTrans" cxnId="{866CC566-3547-4A77-AFEE-F4264EF0380E}">
      <dgm:prSet/>
      <dgm:spPr/>
      <dgm:t>
        <a:bodyPr/>
        <a:lstStyle/>
        <a:p>
          <a:endParaRPr lang="en-US"/>
        </a:p>
      </dgm:t>
    </dgm:pt>
    <dgm:pt modelId="{1B6BA9C2-3F4B-49B9-A9CD-C5547D5262D1}" type="sibTrans" cxnId="{866CC566-3547-4A77-AFEE-F4264EF0380E}">
      <dgm:prSet/>
      <dgm:spPr/>
      <dgm:t>
        <a:bodyPr/>
        <a:lstStyle/>
        <a:p>
          <a:endParaRPr lang="en-US"/>
        </a:p>
      </dgm:t>
    </dgm:pt>
    <dgm:pt modelId="{401FCD4D-1EA4-4E21-BFE5-51756B0C831A}">
      <dgm:prSet phldrT="[Text]"/>
      <dgm:spPr/>
      <dgm:t>
        <a:bodyPr/>
        <a:lstStyle/>
        <a:p>
          <a:r>
            <a:rPr lang="en-US" dirty="0"/>
            <a:t>Financial Calculator</a:t>
          </a:r>
        </a:p>
      </dgm:t>
    </dgm:pt>
    <dgm:pt modelId="{5FAF258F-90C8-4B4C-A512-4352EDEE571C}" type="parTrans" cxnId="{3F29088A-0EF0-4F58-9FAB-EDB4EA85374A}">
      <dgm:prSet/>
      <dgm:spPr/>
      <dgm:t>
        <a:bodyPr/>
        <a:lstStyle/>
        <a:p>
          <a:endParaRPr lang="en-US"/>
        </a:p>
      </dgm:t>
    </dgm:pt>
    <dgm:pt modelId="{4D3E8422-7C12-4C59-B1BC-8D6AEFD4C38F}" type="sibTrans" cxnId="{3F29088A-0EF0-4F58-9FAB-EDB4EA85374A}">
      <dgm:prSet/>
      <dgm:spPr/>
      <dgm:t>
        <a:bodyPr/>
        <a:lstStyle/>
        <a:p>
          <a:endParaRPr lang="en-US"/>
        </a:p>
      </dgm:t>
    </dgm:pt>
    <dgm:pt modelId="{3A986F4B-DDF9-4547-9581-158DC4941D71}">
      <dgm:prSet phldrT="[Text]"/>
      <dgm:spPr/>
      <dgm:t>
        <a:bodyPr/>
        <a:lstStyle/>
        <a:p>
          <a:r>
            <a:rPr lang="en-US" dirty="0"/>
            <a:t>Job Creation Calculator</a:t>
          </a:r>
        </a:p>
      </dgm:t>
    </dgm:pt>
    <dgm:pt modelId="{48C1277B-B5A3-4DD9-B516-4B186B350C24}" type="parTrans" cxnId="{18FE541D-127B-4FA2-A894-E1413F1CA9EF}">
      <dgm:prSet/>
      <dgm:spPr/>
      <dgm:t>
        <a:bodyPr/>
        <a:lstStyle/>
        <a:p>
          <a:endParaRPr lang="en-US"/>
        </a:p>
      </dgm:t>
    </dgm:pt>
    <dgm:pt modelId="{B94ECBF9-4FCD-4BD0-B112-D45326A56202}" type="sibTrans" cxnId="{18FE541D-127B-4FA2-A894-E1413F1CA9EF}">
      <dgm:prSet/>
      <dgm:spPr/>
      <dgm:t>
        <a:bodyPr/>
        <a:lstStyle/>
        <a:p>
          <a:endParaRPr lang="en-US"/>
        </a:p>
      </dgm:t>
    </dgm:pt>
    <dgm:pt modelId="{7B1299AB-191B-4C3D-A57D-1CA904DA3AE4}">
      <dgm:prSet phldrT="[Text]"/>
      <dgm:spPr/>
      <dgm:t>
        <a:bodyPr/>
        <a:lstStyle/>
        <a:p>
          <a:r>
            <a:rPr lang="en-US" dirty="0"/>
            <a:t>Carbon Calculator</a:t>
          </a:r>
        </a:p>
      </dgm:t>
    </dgm:pt>
    <dgm:pt modelId="{A7CA6E11-EDDB-43CA-967E-7A1776B5504D}" type="parTrans" cxnId="{4EF641D7-559F-4F50-9C70-B88987CBAA06}">
      <dgm:prSet/>
      <dgm:spPr/>
      <dgm:t>
        <a:bodyPr/>
        <a:lstStyle/>
        <a:p>
          <a:endParaRPr lang="en-US"/>
        </a:p>
      </dgm:t>
    </dgm:pt>
    <dgm:pt modelId="{C77B409D-B2B6-4FF7-9BB0-D1DAF077FCA2}" type="sibTrans" cxnId="{4EF641D7-559F-4F50-9C70-B88987CBAA06}">
      <dgm:prSet/>
      <dgm:spPr/>
      <dgm:t>
        <a:bodyPr/>
        <a:lstStyle/>
        <a:p>
          <a:endParaRPr lang="en-US"/>
        </a:p>
      </dgm:t>
    </dgm:pt>
    <dgm:pt modelId="{1B59CC90-1EF2-4C49-A45C-DDF7736EB69C}">
      <dgm:prSet phldrT="[Text]"/>
      <dgm:spPr/>
      <dgm:t>
        <a:bodyPr/>
        <a:lstStyle/>
        <a:p>
          <a:r>
            <a:rPr lang="en-US" dirty="0"/>
            <a:t>Program Dashboard</a:t>
          </a:r>
        </a:p>
      </dgm:t>
    </dgm:pt>
    <dgm:pt modelId="{3EF9CD8B-3EAD-4863-A8F8-B1F431FBEFD8}" type="parTrans" cxnId="{B262FD07-A714-49E4-96C6-DC2E46D7D466}">
      <dgm:prSet/>
      <dgm:spPr/>
      <dgm:t>
        <a:bodyPr/>
        <a:lstStyle/>
        <a:p>
          <a:endParaRPr lang="en-US"/>
        </a:p>
      </dgm:t>
    </dgm:pt>
    <dgm:pt modelId="{BCD85CAB-355B-48CE-BA5B-DBE8A6D74DF1}" type="sibTrans" cxnId="{B262FD07-A714-49E4-96C6-DC2E46D7D466}">
      <dgm:prSet/>
      <dgm:spPr/>
      <dgm:t>
        <a:bodyPr/>
        <a:lstStyle/>
        <a:p>
          <a:endParaRPr lang="en-US"/>
        </a:p>
      </dgm:t>
    </dgm:pt>
    <dgm:pt modelId="{7F4FFD83-F824-4515-BBD1-5EEDF6A52DC6}">
      <dgm:prSet phldrT="[Text]"/>
      <dgm:spPr/>
      <dgm:t>
        <a:bodyPr/>
        <a:lstStyle/>
        <a:p>
          <a:r>
            <a:rPr lang="en-US" dirty="0"/>
            <a:t>Monthly Tracker</a:t>
          </a:r>
        </a:p>
      </dgm:t>
    </dgm:pt>
    <dgm:pt modelId="{CB27E11F-9B0A-42DD-9D3E-36588D6C5827}" type="parTrans" cxnId="{EAA93A71-63E7-4F8E-A5C2-EAFA83C4319E}">
      <dgm:prSet/>
      <dgm:spPr/>
      <dgm:t>
        <a:bodyPr/>
        <a:lstStyle/>
        <a:p>
          <a:endParaRPr lang="en-US"/>
        </a:p>
      </dgm:t>
    </dgm:pt>
    <dgm:pt modelId="{2B719D4C-D70F-4D25-BB96-602C7C5BA2DF}" type="sibTrans" cxnId="{EAA93A71-63E7-4F8E-A5C2-EAFA83C4319E}">
      <dgm:prSet/>
      <dgm:spPr/>
      <dgm:t>
        <a:bodyPr/>
        <a:lstStyle/>
        <a:p>
          <a:endParaRPr lang="en-US"/>
        </a:p>
      </dgm:t>
    </dgm:pt>
    <dgm:pt modelId="{D436EC58-1A31-484D-AD13-CDC53B31642E}">
      <dgm:prSet phldrT="[Text]"/>
      <dgm:spPr/>
      <dgm:t>
        <a:bodyPr/>
        <a:lstStyle/>
        <a:p>
          <a:r>
            <a:rPr lang="en-US" dirty="0"/>
            <a:t>Case Studies</a:t>
          </a:r>
        </a:p>
      </dgm:t>
    </dgm:pt>
    <dgm:pt modelId="{D8C9CB07-76AE-4A0F-BA1D-5294FE72481F}" type="parTrans" cxnId="{B255F96F-14D4-421C-8ACC-A5E3F2B75B62}">
      <dgm:prSet/>
      <dgm:spPr/>
      <dgm:t>
        <a:bodyPr/>
        <a:lstStyle/>
        <a:p>
          <a:endParaRPr lang="en-US"/>
        </a:p>
      </dgm:t>
    </dgm:pt>
    <dgm:pt modelId="{8A3AD368-03D1-451B-8467-A4490C28505D}" type="sibTrans" cxnId="{B255F96F-14D4-421C-8ACC-A5E3F2B75B62}">
      <dgm:prSet/>
      <dgm:spPr/>
      <dgm:t>
        <a:bodyPr/>
        <a:lstStyle/>
        <a:p>
          <a:endParaRPr lang="en-US"/>
        </a:p>
      </dgm:t>
    </dgm:pt>
    <dgm:pt modelId="{C9DA1C01-1082-4862-AFC6-00D2640A37EC}">
      <dgm:prSet phldrT="[Text]"/>
      <dgm:spPr/>
      <dgm:t>
        <a:bodyPr/>
        <a:lstStyle/>
        <a:p>
          <a:r>
            <a:rPr lang="en-US" dirty="0"/>
            <a:t>Online Resources</a:t>
          </a:r>
        </a:p>
      </dgm:t>
    </dgm:pt>
    <dgm:pt modelId="{5319D135-061F-46BD-B518-46B8688F201D}" type="parTrans" cxnId="{A3F5AE31-AAF2-4073-83CF-EDA20C5F92DC}">
      <dgm:prSet/>
      <dgm:spPr/>
      <dgm:t>
        <a:bodyPr/>
        <a:lstStyle/>
        <a:p>
          <a:endParaRPr lang="en-US"/>
        </a:p>
      </dgm:t>
    </dgm:pt>
    <dgm:pt modelId="{A612E8B6-2921-4D0C-A7B4-A0757858C1E0}" type="sibTrans" cxnId="{A3F5AE31-AAF2-4073-83CF-EDA20C5F92DC}">
      <dgm:prSet/>
      <dgm:spPr/>
      <dgm:t>
        <a:bodyPr/>
        <a:lstStyle/>
        <a:p>
          <a:endParaRPr lang="en-US"/>
        </a:p>
      </dgm:t>
    </dgm:pt>
    <dgm:pt modelId="{3A7AF5DA-0DD0-4B28-91FA-72362C3B76FC}">
      <dgm:prSet phldrT="[Text]"/>
      <dgm:spPr/>
      <dgm:t>
        <a:bodyPr/>
        <a:lstStyle/>
        <a:p>
          <a:r>
            <a:rPr lang="en-US" dirty="0" err="1"/>
            <a:t>S.M.A.R.T</a:t>
          </a:r>
          <a:r>
            <a:rPr lang="en-US" dirty="0"/>
            <a:t>. Goals</a:t>
          </a:r>
        </a:p>
      </dgm:t>
    </dgm:pt>
    <dgm:pt modelId="{1804D9B2-56E8-4512-99E9-612202314F1E}" type="parTrans" cxnId="{1858AE24-3EA2-4AEB-875D-2032AEEFE98F}">
      <dgm:prSet/>
      <dgm:spPr/>
      <dgm:t>
        <a:bodyPr/>
        <a:lstStyle/>
        <a:p>
          <a:endParaRPr lang="en-US"/>
        </a:p>
      </dgm:t>
    </dgm:pt>
    <dgm:pt modelId="{2636AA6C-FD83-4794-84FC-4ECA47C35333}" type="sibTrans" cxnId="{1858AE24-3EA2-4AEB-875D-2032AEEFE98F}">
      <dgm:prSet/>
      <dgm:spPr/>
      <dgm:t>
        <a:bodyPr/>
        <a:lstStyle/>
        <a:p>
          <a:endParaRPr lang="en-US"/>
        </a:p>
      </dgm:t>
    </dgm:pt>
    <dgm:pt modelId="{B3E4A416-CFD8-452F-8591-FC656D8D625D}">
      <dgm:prSet phldrT="[Text]"/>
      <dgm:spPr/>
      <dgm:t>
        <a:bodyPr/>
        <a:lstStyle/>
        <a:p>
          <a:r>
            <a:rPr lang="en-US" dirty="0"/>
            <a:t>Template Action Plan</a:t>
          </a:r>
        </a:p>
      </dgm:t>
    </dgm:pt>
    <dgm:pt modelId="{E076E3C1-540F-4597-8675-C0467861D6E2}" type="parTrans" cxnId="{BD2AFED9-CC0B-420E-B831-0B85B2398CA5}">
      <dgm:prSet/>
      <dgm:spPr/>
      <dgm:t>
        <a:bodyPr/>
        <a:lstStyle/>
        <a:p>
          <a:endParaRPr lang="en-US"/>
        </a:p>
      </dgm:t>
    </dgm:pt>
    <dgm:pt modelId="{C95517B5-508E-4916-914E-653088737067}" type="sibTrans" cxnId="{BD2AFED9-CC0B-420E-B831-0B85B2398CA5}">
      <dgm:prSet/>
      <dgm:spPr/>
      <dgm:t>
        <a:bodyPr/>
        <a:lstStyle/>
        <a:p>
          <a:endParaRPr lang="en-US"/>
        </a:p>
      </dgm:t>
    </dgm:pt>
    <dgm:pt modelId="{DCB9E1E5-0411-44E9-B3A9-08A47C29FBB3}">
      <dgm:prSet phldrT="[Text]"/>
      <dgm:spPr/>
      <dgm:t>
        <a:bodyPr/>
        <a:lstStyle/>
        <a:p>
          <a:r>
            <a:rPr lang="en-US" dirty="0"/>
            <a:t>How to Start a Program</a:t>
          </a:r>
        </a:p>
      </dgm:t>
    </dgm:pt>
    <dgm:pt modelId="{43F4DD25-9FE9-45D4-8EF5-4377A0990473}" type="parTrans" cxnId="{D1E548E1-918F-4320-9821-A6EA5E7911C9}">
      <dgm:prSet/>
      <dgm:spPr/>
      <dgm:t>
        <a:bodyPr/>
        <a:lstStyle/>
        <a:p>
          <a:endParaRPr lang="en-US"/>
        </a:p>
      </dgm:t>
    </dgm:pt>
    <dgm:pt modelId="{5206898B-C7B6-4E16-8608-FB780A86B877}" type="sibTrans" cxnId="{D1E548E1-918F-4320-9821-A6EA5E7911C9}">
      <dgm:prSet/>
      <dgm:spPr/>
      <dgm:t>
        <a:bodyPr/>
        <a:lstStyle/>
        <a:p>
          <a:endParaRPr lang="en-US"/>
        </a:p>
      </dgm:t>
    </dgm:pt>
    <dgm:pt modelId="{8D6502EA-9468-4E57-90B7-2E107A513201}" type="pres">
      <dgm:prSet presAssocID="{15569EDB-C888-49F5-8808-4519AE650633}" presName="hierChild1" presStyleCnt="0">
        <dgm:presLayoutVars>
          <dgm:orgChart val="1"/>
          <dgm:chPref val="1"/>
          <dgm:dir/>
          <dgm:animOne val="branch"/>
          <dgm:animLvl val="lvl"/>
          <dgm:resizeHandles/>
        </dgm:presLayoutVars>
      </dgm:prSet>
      <dgm:spPr/>
    </dgm:pt>
    <dgm:pt modelId="{17682E47-A7C2-454D-A78F-5CD47965DB83}" type="pres">
      <dgm:prSet presAssocID="{01B344C7-E6CF-432D-9FC0-B79F64A5F007}" presName="hierRoot1" presStyleCnt="0">
        <dgm:presLayoutVars>
          <dgm:hierBranch val="init"/>
        </dgm:presLayoutVars>
      </dgm:prSet>
      <dgm:spPr/>
    </dgm:pt>
    <dgm:pt modelId="{B8523DDA-9E9C-4222-B91D-403A15401454}" type="pres">
      <dgm:prSet presAssocID="{01B344C7-E6CF-432D-9FC0-B79F64A5F007}" presName="rootComposite1" presStyleCnt="0"/>
      <dgm:spPr/>
    </dgm:pt>
    <dgm:pt modelId="{37D08529-23AA-4347-A054-2BA8C38DAD30}" type="pres">
      <dgm:prSet presAssocID="{01B344C7-E6CF-432D-9FC0-B79F64A5F007}" presName="rootText1" presStyleLbl="node0" presStyleIdx="0" presStyleCnt="1">
        <dgm:presLayoutVars>
          <dgm:chPref val="3"/>
        </dgm:presLayoutVars>
      </dgm:prSet>
      <dgm:spPr/>
    </dgm:pt>
    <dgm:pt modelId="{E1B3F6D0-D395-40DD-AA37-B5C5823A29E9}" type="pres">
      <dgm:prSet presAssocID="{01B344C7-E6CF-432D-9FC0-B79F64A5F007}" presName="rootConnector1" presStyleLbl="node1" presStyleIdx="0" presStyleCnt="0"/>
      <dgm:spPr/>
    </dgm:pt>
    <dgm:pt modelId="{BF471561-40D9-4B7B-A36C-D7545CBDD825}" type="pres">
      <dgm:prSet presAssocID="{01B344C7-E6CF-432D-9FC0-B79F64A5F007}" presName="hierChild2" presStyleCnt="0"/>
      <dgm:spPr/>
    </dgm:pt>
    <dgm:pt modelId="{964BB57E-A2BB-4585-8A83-3C9DEC3EAD66}" type="pres">
      <dgm:prSet presAssocID="{A47C9F7E-96B3-4739-AA53-8DD9CA03DDC6}" presName="Name37" presStyleLbl="parChTrans1D2" presStyleIdx="0" presStyleCnt="5"/>
      <dgm:spPr/>
    </dgm:pt>
    <dgm:pt modelId="{804BE88C-4850-49FB-8423-9801C53EB59C}" type="pres">
      <dgm:prSet presAssocID="{CA40EA3E-0D74-4B5D-8889-FBBD8F9E6EA2}" presName="hierRoot2" presStyleCnt="0">
        <dgm:presLayoutVars>
          <dgm:hierBranch val="init"/>
        </dgm:presLayoutVars>
      </dgm:prSet>
      <dgm:spPr/>
    </dgm:pt>
    <dgm:pt modelId="{33FCA21B-29A0-4253-8B1D-10124C0AAD00}" type="pres">
      <dgm:prSet presAssocID="{CA40EA3E-0D74-4B5D-8889-FBBD8F9E6EA2}" presName="rootComposite" presStyleCnt="0"/>
      <dgm:spPr/>
    </dgm:pt>
    <dgm:pt modelId="{5095CFCE-4ECE-49BE-B5B8-132A2A21F956}" type="pres">
      <dgm:prSet presAssocID="{CA40EA3E-0D74-4B5D-8889-FBBD8F9E6EA2}" presName="rootText" presStyleLbl="node2" presStyleIdx="0" presStyleCnt="5">
        <dgm:presLayoutVars>
          <dgm:chPref val="3"/>
        </dgm:presLayoutVars>
      </dgm:prSet>
      <dgm:spPr/>
    </dgm:pt>
    <dgm:pt modelId="{6A65E4F3-C126-4E5D-A11C-193507202729}" type="pres">
      <dgm:prSet presAssocID="{CA40EA3E-0D74-4B5D-8889-FBBD8F9E6EA2}" presName="rootConnector" presStyleLbl="node2" presStyleIdx="0" presStyleCnt="5"/>
      <dgm:spPr/>
    </dgm:pt>
    <dgm:pt modelId="{E60ED394-7B08-4610-9E15-B473CA431E60}" type="pres">
      <dgm:prSet presAssocID="{CA40EA3E-0D74-4B5D-8889-FBBD8F9E6EA2}" presName="hierChild4" presStyleCnt="0"/>
      <dgm:spPr/>
    </dgm:pt>
    <dgm:pt modelId="{9832765A-225B-43F6-8BAD-D806E5333F4C}" type="pres">
      <dgm:prSet presAssocID="{5BF70684-093C-4660-AD1E-988F9F5ACD64}" presName="Name37" presStyleLbl="parChTrans1D3" presStyleIdx="0" presStyleCnt="17"/>
      <dgm:spPr/>
    </dgm:pt>
    <dgm:pt modelId="{4654259B-1BAE-4C5F-B4F2-630D989BE5B3}" type="pres">
      <dgm:prSet presAssocID="{F1D7584F-0952-4C16-BCDA-5654A3553724}" presName="hierRoot2" presStyleCnt="0">
        <dgm:presLayoutVars>
          <dgm:hierBranch val="init"/>
        </dgm:presLayoutVars>
      </dgm:prSet>
      <dgm:spPr/>
    </dgm:pt>
    <dgm:pt modelId="{EC43CC9A-2191-49BA-AD57-DE26786BD63E}" type="pres">
      <dgm:prSet presAssocID="{F1D7584F-0952-4C16-BCDA-5654A3553724}" presName="rootComposite" presStyleCnt="0"/>
      <dgm:spPr/>
    </dgm:pt>
    <dgm:pt modelId="{D5BEFF4A-20FA-49CB-A751-2AB209A550D4}" type="pres">
      <dgm:prSet presAssocID="{F1D7584F-0952-4C16-BCDA-5654A3553724}" presName="rootText" presStyleLbl="node3" presStyleIdx="0" presStyleCnt="17">
        <dgm:presLayoutVars>
          <dgm:chPref val="3"/>
        </dgm:presLayoutVars>
      </dgm:prSet>
      <dgm:spPr/>
    </dgm:pt>
    <dgm:pt modelId="{E46D3EE5-0118-420F-9959-09F12CB70A2D}" type="pres">
      <dgm:prSet presAssocID="{F1D7584F-0952-4C16-BCDA-5654A3553724}" presName="rootConnector" presStyleLbl="node3" presStyleIdx="0" presStyleCnt="17"/>
      <dgm:spPr/>
    </dgm:pt>
    <dgm:pt modelId="{50AEDCDF-822F-47AF-A8D5-40D03BD0285F}" type="pres">
      <dgm:prSet presAssocID="{F1D7584F-0952-4C16-BCDA-5654A3553724}" presName="hierChild4" presStyleCnt="0"/>
      <dgm:spPr/>
    </dgm:pt>
    <dgm:pt modelId="{EFB2EC83-55E9-40FE-A8D1-2BEA80CA6F7F}" type="pres">
      <dgm:prSet presAssocID="{F1D7584F-0952-4C16-BCDA-5654A3553724}" presName="hierChild5" presStyleCnt="0"/>
      <dgm:spPr/>
    </dgm:pt>
    <dgm:pt modelId="{713F840F-F496-4624-B3EF-9B73519D2CE0}" type="pres">
      <dgm:prSet presAssocID="{5669B897-C902-40A3-92B8-E840EBDC694F}" presName="Name37" presStyleLbl="parChTrans1D3" presStyleIdx="1" presStyleCnt="17"/>
      <dgm:spPr/>
    </dgm:pt>
    <dgm:pt modelId="{07F415F7-D946-47E8-8C77-35300DBC575F}" type="pres">
      <dgm:prSet presAssocID="{531F1DC3-92D1-4897-992A-E5FE7062CE31}" presName="hierRoot2" presStyleCnt="0">
        <dgm:presLayoutVars>
          <dgm:hierBranch val="init"/>
        </dgm:presLayoutVars>
      </dgm:prSet>
      <dgm:spPr/>
    </dgm:pt>
    <dgm:pt modelId="{DD4781B9-AF94-4E7B-948B-23657A6E7FAF}" type="pres">
      <dgm:prSet presAssocID="{531F1DC3-92D1-4897-992A-E5FE7062CE31}" presName="rootComposite" presStyleCnt="0"/>
      <dgm:spPr/>
    </dgm:pt>
    <dgm:pt modelId="{ECCCFCAC-4713-4D88-BCC7-B341FBD3BBB5}" type="pres">
      <dgm:prSet presAssocID="{531F1DC3-92D1-4897-992A-E5FE7062CE31}" presName="rootText" presStyleLbl="node3" presStyleIdx="1" presStyleCnt="17">
        <dgm:presLayoutVars>
          <dgm:chPref val="3"/>
        </dgm:presLayoutVars>
      </dgm:prSet>
      <dgm:spPr/>
    </dgm:pt>
    <dgm:pt modelId="{52715AA4-DE0D-40A8-BBF0-C69BC99D165F}" type="pres">
      <dgm:prSet presAssocID="{531F1DC3-92D1-4897-992A-E5FE7062CE31}" presName="rootConnector" presStyleLbl="node3" presStyleIdx="1" presStyleCnt="17"/>
      <dgm:spPr/>
    </dgm:pt>
    <dgm:pt modelId="{0AE55C20-DF3F-49D5-9CBC-CD9254D7152F}" type="pres">
      <dgm:prSet presAssocID="{531F1DC3-92D1-4897-992A-E5FE7062CE31}" presName="hierChild4" presStyleCnt="0"/>
      <dgm:spPr/>
    </dgm:pt>
    <dgm:pt modelId="{2904F90A-CDC2-400C-B3E4-8AAAA4D61EB1}" type="pres">
      <dgm:prSet presAssocID="{531F1DC3-92D1-4897-992A-E5FE7062CE31}" presName="hierChild5" presStyleCnt="0"/>
      <dgm:spPr/>
    </dgm:pt>
    <dgm:pt modelId="{91D5627C-7B52-41FC-AFF1-19FC8813BF9C}" type="pres">
      <dgm:prSet presAssocID="{2EF3849B-68B2-40A0-BD76-06604F7B3012}" presName="Name37" presStyleLbl="parChTrans1D3" presStyleIdx="2" presStyleCnt="17"/>
      <dgm:spPr/>
    </dgm:pt>
    <dgm:pt modelId="{296EA095-84AB-4ED5-B5E3-F70B0F2AFBCB}" type="pres">
      <dgm:prSet presAssocID="{D00705F3-276A-40CF-A7A3-FE7FDA394A3B}" presName="hierRoot2" presStyleCnt="0">
        <dgm:presLayoutVars>
          <dgm:hierBranch val="init"/>
        </dgm:presLayoutVars>
      </dgm:prSet>
      <dgm:spPr/>
    </dgm:pt>
    <dgm:pt modelId="{1F12E384-5520-4300-951B-43EE7456D24B}" type="pres">
      <dgm:prSet presAssocID="{D00705F3-276A-40CF-A7A3-FE7FDA394A3B}" presName="rootComposite" presStyleCnt="0"/>
      <dgm:spPr/>
    </dgm:pt>
    <dgm:pt modelId="{FE1E9AB5-ED4A-43FB-958D-14AE7A77731C}" type="pres">
      <dgm:prSet presAssocID="{D00705F3-276A-40CF-A7A3-FE7FDA394A3B}" presName="rootText" presStyleLbl="node3" presStyleIdx="2" presStyleCnt="17">
        <dgm:presLayoutVars>
          <dgm:chPref val="3"/>
        </dgm:presLayoutVars>
      </dgm:prSet>
      <dgm:spPr/>
    </dgm:pt>
    <dgm:pt modelId="{0DAD328C-5A1B-46DE-A03F-59EA02AA8601}" type="pres">
      <dgm:prSet presAssocID="{D00705F3-276A-40CF-A7A3-FE7FDA394A3B}" presName="rootConnector" presStyleLbl="node3" presStyleIdx="2" presStyleCnt="17"/>
      <dgm:spPr/>
    </dgm:pt>
    <dgm:pt modelId="{1B5DFA23-03C0-4532-A298-75F60E09EBBE}" type="pres">
      <dgm:prSet presAssocID="{D00705F3-276A-40CF-A7A3-FE7FDA394A3B}" presName="hierChild4" presStyleCnt="0"/>
      <dgm:spPr/>
    </dgm:pt>
    <dgm:pt modelId="{87DB3EA0-0404-47BB-9042-5EDB3D262C3F}" type="pres">
      <dgm:prSet presAssocID="{D00705F3-276A-40CF-A7A3-FE7FDA394A3B}" presName="hierChild5" presStyleCnt="0"/>
      <dgm:spPr/>
    </dgm:pt>
    <dgm:pt modelId="{E16A17D7-F643-4504-9517-FF63F3E21A0E}" type="pres">
      <dgm:prSet presAssocID="{8C98F6B0-2440-4DAA-9EC5-B295D9C82943}" presName="Name37" presStyleLbl="parChTrans1D3" presStyleIdx="3" presStyleCnt="17"/>
      <dgm:spPr/>
    </dgm:pt>
    <dgm:pt modelId="{B58711C6-238E-4D65-AAC1-E6C0C47B2887}" type="pres">
      <dgm:prSet presAssocID="{EEF32661-24B6-4E92-B410-FB58807929DD}" presName="hierRoot2" presStyleCnt="0">
        <dgm:presLayoutVars>
          <dgm:hierBranch val="init"/>
        </dgm:presLayoutVars>
      </dgm:prSet>
      <dgm:spPr/>
    </dgm:pt>
    <dgm:pt modelId="{F456EED2-D648-43E8-B155-FCEBAEF8B4B3}" type="pres">
      <dgm:prSet presAssocID="{EEF32661-24B6-4E92-B410-FB58807929DD}" presName="rootComposite" presStyleCnt="0"/>
      <dgm:spPr/>
    </dgm:pt>
    <dgm:pt modelId="{89D80571-492D-47DB-BC22-BCAEB7C94EEF}" type="pres">
      <dgm:prSet presAssocID="{EEF32661-24B6-4E92-B410-FB58807929DD}" presName="rootText" presStyleLbl="node3" presStyleIdx="3" presStyleCnt="17">
        <dgm:presLayoutVars>
          <dgm:chPref val="3"/>
        </dgm:presLayoutVars>
      </dgm:prSet>
      <dgm:spPr/>
    </dgm:pt>
    <dgm:pt modelId="{331887D6-94D0-4265-890B-885598708DB1}" type="pres">
      <dgm:prSet presAssocID="{EEF32661-24B6-4E92-B410-FB58807929DD}" presName="rootConnector" presStyleLbl="node3" presStyleIdx="3" presStyleCnt="17"/>
      <dgm:spPr/>
    </dgm:pt>
    <dgm:pt modelId="{B981CCEE-DBDE-45E1-9171-4BDEA3021A47}" type="pres">
      <dgm:prSet presAssocID="{EEF32661-24B6-4E92-B410-FB58807929DD}" presName="hierChild4" presStyleCnt="0"/>
      <dgm:spPr/>
    </dgm:pt>
    <dgm:pt modelId="{CB09FE3A-0DD2-4C7A-A9A8-7CAAEBE169AE}" type="pres">
      <dgm:prSet presAssocID="{EEF32661-24B6-4E92-B410-FB58807929DD}" presName="hierChild5" presStyleCnt="0"/>
      <dgm:spPr/>
    </dgm:pt>
    <dgm:pt modelId="{77B22393-4C3B-44D8-80F7-CF1B02E18131}" type="pres">
      <dgm:prSet presAssocID="{CA40EA3E-0D74-4B5D-8889-FBBD8F9E6EA2}" presName="hierChild5" presStyleCnt="0"/>
      <dgm:spPr/>
    </dgm:pt>
    <dgm:pt modelId="{3C8454BE-4718-4AA1-8263-3F4DCBB8A259}" type="pres">
      <dgm:prSet presAssocID="{D3A1D506-F4AD-4659-81F1-4D2A734AF89C}" presName="Name37" presStyleLbl="parChTrans1D2" presStyleIdx="1" presStyleCnt="5"/>
      <dgm:spPr/>
    </dgm:pt>
    <dgm:pt modelId="{D427A9A7-1127-4E86-AFA2-9D77D35EFEE5}" type="pres">
      <dgm:prSet presAssocID="{8DE11AB5-8C0C-4A93-AF90-B28A1FAC00CA}" presName="hierRoot2" presStyleCnt="0">
        <dgm:presLayoutVars>
          <dgm:hierBranch val="init"/>
        </dgm:presLayoutVars>
      </dgm:prSet>
      <dgm:spPr/>
    </dgm:pt>
    <dgm:pt modelId="{55048EA0-E040-48AA-B161-895F8FD21EAB}" type="pres">
      <dgm:prSet presAssocID="{8DE11AB5-8C0C-4A93-AF90-B28A1FAC00CA}" presName="rootComposite" presStyleCnt="0"/>
      <dgm:spPr/>
    </dgm:pt>
    <dgm:pt modelId="{6320863C-1455-4BCE-826D-245368E80D02}" type="pres">
      <dgm:prSet presAssocID="{8DE11AB5-8C0C-4A93-AF90-B28A1FAC00CA}" presName="rootText" presStyleLbl="node2" presStyleIdx="1" presStyleCnt="5">
        <dgm:presLayoutVars>
          <dgm:chPref val="3"/>
        </dgm:presLayoutVars>
      </dgm:prSet>
      <dgm:spPr/>
    </dgm:pt>
    <dgm:pt modelId="{E80BF98B-22A9-4D89-8DFC-160BB7B90CBD}" type="pres">
      <dgm:prSet presAssocID="{8DE11AB5-8C0C-4A93-AF90-B28A1FAC00CA}" presName="rootConnector" presStyleLbl="node2" presStyleIdx="1" presStyleCnt="5"/>
      <dgm:spPr/>
    </dgm:pt>
    <dgm:pt modelId="{D9ED13AC-9473-4BC9-8FC2-066F672BE56C}" type="pres">
      <dgm:prSet presAssocID="{8DE11AB5-8C0C-4A93-AF90-B28A1FAC00CA}" presName="hierChild4" presStyleCnt="0"/>
      <dgm:spPr/>
    </dgm:pt>
    <dgm:pt modelId="{C642333D-15BA-4C2C-8ED5-E6F1BC5D9EE5}" type="pres">
      <dgm:prSet presAssocID="{FFED0993-DBE7-4D5E-A804-6AF71E499C47}" presName="Name37" presStyleLbl="parChTrans1D3" presStyleIdx="4" presStyleCnt="17"/>
      <dgm:spPr/>
    </dgm:pt>
    <dgm:pt modelId="{9EA6CF9E-63DA-4C4C-B6A8-492E3F9E4EFF}" type="pres">
      <dgm:prSet presAssocID="{584F1F94-2AAD-41C8-B664-47DFEF086687}" presName="hierRoot2" presStyleCnt="0">
        <dgm:presLayoutVars>
          <dgm:hierBranch val="init"/>
        </dgm:presLayoutVars>
      </dgm:prSet>
      <dgm:spPr/>
    </dgm:pt>
    <dgm:pt modelId="{E179B640-D965-4D3D-A7D7-F883538DE59D}" type="pres">
      <dgm:prSet presAssocID="{584F1F94-2AAD-41C8-B664-47DFEF086687}" presName="rootComposite" presStyleCnt="0"/>
      <dgm:spPr/>
    </dgm:pt>
    <dgm:pt modelId="{5CD9BB64-0B96-489A-9BE4-FC6FA12F8051}" type="pres">
      <dgm:prSet presAssocID="{584F1F94-2AAD-41C8-B664-47DFEF086687}" presName="rootText" presStyleLbl="node3" presStyleIdx="4" presStyleCnt="17">
        <dgm:presLayoutVars>
          <dgm:chPref val="3"/>
        </dgm:presLayoutVars>
      </dgm:prSet>
      <dgm:spPr/>
    </dgm:pt>
    <dgm:pt modelId="{29BB7E4A-0A07-4E0B-8540-65E9B9247C3C}" type="pres">
      <dgm:prSet presAssocID="{584F1F94-2AAD-41C8-B664-47DFEF086687}" presName="rootConnector" presStyleLbl="node3" presStyleIdx="4" presStyleCnt="17"/>
      <dgm:spPr/>
    </dgm:pt>
    <dgm:pt modelId="{569CECCC-79C0-4E3D-BAC1-E94E9818E071}" type="pres">
      <dgm:prSet presAssocID="{584F1F94-2AAD-41C8-B664-47DFEF086687}" presName="hierChild4" presStyleCnt="0"/>
      <dgm:spPr/>
    </dgm:pt>
    <dgm:pt modelId="{2B9B1DE5-E6C4-44B4-AB78-9ABE2FD9BAA9}" type="pres">
      <dgm:prSet presAssocID="{584F1F94-2AAD-41C8-B664-47DFEF086687}" presName="hierChild5" presStyleCnt="0"/>
      <dgm:spPr/>
    </dgm:pt>
    <dgm:pt modelId="{860BECAF-D8FF-4EE5-B106-9263DB6DC2D6}" type="pres">
      <dgm:prSet presAssocID="{6A52C33B-3EBE-4781-9810-AA8B293D82AF}" presName="Name37" presStyleLbl="parChTrans1D3" presStyleIdx="5" presStyleCnt="17"/>
      <dgm:spPr/>
    </dgm:pt>
    <dgm:pt modelId="{65989E08-3844-4ADA-8EE2-AB15B0BC80D5}" type="pres">
      <dgm:prSet presAssocID="{A890EBEC-4DCB-46F5-A71A-C3B67DAD6B60}" presName="hierRoot2" presStyleCnt="0">
        <dgm:presLayoutVars>
          <dgm:hierBranch val="init"/>
        </dgm:presLayoutVars>
      </dgm:prSet>
      <dgm:spPr/>
    </dgm:pt>
    <dgm:pt modelId="{C3B98B73-29EB-4D72-93D8-513160C5BA95}" type="pres">
      <dgm:prSet presAssocID="{A890EBEC-4DCB-46F5-A71A-C3B67DAD6B60}" presName="rootComposite" presStyleCnt="0"/>
      <dgm:spPr/>
    </dgm:pt>
    <dgm:pt modelId="{9ADE27D0-2761-4C52-B60E-F7C2BE7CF3DC}" type="pres">
      <dgm:prSet presAssocID="{A890EBEC-4DCB-46F5-A71A-C3B67DAD6B60}" presName="rootText" presStyleLbl="node3" presStyleIdx="5" presStyleCnt="17">
        <dgm:presLayoutVars>
          <dgm:chPref val="3"/>
        </dgm:presLayoutVars>
      </dgm:prSet>
      <dgm:spPr/>
    </dgm:pt>
    <dgm:pt modelId="{E6720D88-FC16-484A-A25E-05BF9667CB59}" type="pres">
      <dgm:prSet presAssocID="{A890EBEC-4DCB-46F5-A71A-C3B67DAD6B60}" presName="rootConnector" presStyleLbl="node3" presStyleIdx="5" presStyleCnt="17"/>
      <dgm:spPr/>
    </dgm:pt>
    <dgm:pt modelId="{EDEAA3E6-7D4C-4C68-9E5C-9710A89D5891}" type="pres">
      <dgm:prSet presAssocID="{A890EBEC-4DCB-46F5-A71A-C3B67DAD6B60}" presName="hierChild4" presStyleCnt="0"/>
      <dgm:spPr/>
    </dgm:pt>
    <dgm:pt modelId="{8AEEA29F-4420-42AC-9429-3A41E5210A97}" type="pres">
      <dgm:prSet presAssocID="{A890EBEC-4DCB-46F5-A71A-C3B67DAD6B60}" presName="hierChild5" presStyleCnt="0"/>
      <dgm:spPr/>
    </dgm:pt>
    <dgm:pt modelId="{C6AAE715-5FBE-4AC1-A6AA-971662B63296}" type="pres">
      <dgm:prSet presAssocID="{28E1B331-BF17-4487-910B-1417CEF3C576}" presName="Name37" presStyleLbl="parChTrans1D3" presStyleIdx="6" presStyleCnt="17"/>
      <dgm:spPr/>
    </dgm:pt>
    <dgm:pt modelId="{C5949A48-8613-4CED-BA12-62DBC3FB473F}" type="pres">
      <dgm:prSet presAssocID="{1D9A6B18-4EE1-465E-AEEA-5B45D418B6F3}" presName="hierRoot2" presStyleCnt="0">
        <dgm:presLayoutVars>
          <dgm:hierBranch val="init"/>
        </dgm:presLayoutVars>
      </dgm:prSet>
      <dgm:spPr/>
    </dgm:pt>
    <dgm:pt modelId="{8432742F-DCE7-480B-9788-982F6121E1B1}" type="pres">
      <dgm:prSet presAssocID="{1D9A6B18-4EE1-465E-AEEA-5B45D418B6F3}" presName="rootComposite" presStyleCnt="0"/>
      <dgm:spPr/>
    </dgm:pt>
    <dgm:pt modelId="{91069D8A-E22E-4C27-AFAA-42C5459BF8EC}" type="pres">
      <dgm:prSet presAssocID="{1D9A6B18-4EE1-465E-AEEA-5B45D418B6F3}" presName="rootText" presStyleLbl="node3" presStyleIdx="6" presStyleCnt="17">
        <dgm:presLayoutVars>
          <dgm:chPref val="3"/>
        </dgm:presLayoutVars>
      </dgm:prSet>
      <dgm:spPr/>
    </dgm:pt>
    <dgm:pt modelId="{17364E73-4112-446E-BD20-2C3662D448D3}" type="pres">
      <dgm:prSet presAssocID="{1D9A6B18-4EE1-465E-AEEA-5B45D418B6F3}" presName="rootConnector" presStyleLbl="node3" presStyleIdx="6" presStyleCnt="17"/>
      <dgm:spPr/>
    </dgm:pt>
    <dgm:pt modelId="{D046BD93-4C7F-4B9F-9015-C666CBE8FEC0}" type="pres">
      <dgm:prSet presAssocID="{1D9A6B18-4EE1-465E-AEEA-5B45D418B6F3}" presName="hierChild4" presStyleCnt="0"/>
      <dgm:spPr/>
    </dgm:pt>
    <dgm:pt modelId="{8AA3324D-EDCB-4AF9-95B3-782548C95CDF}" type="pres">
      <dgm:prSet presAssocID="{1D9A6B18-4EE1-465E-AEEA-5B45D418B6F3}" presName="hierChild5" presStyleCnt="0"/>
      <dgm:spPr/>
    </dgm:pt>
    <dgm:pt modelId="{6C098698-DC68-4EA4-9648-5EC996BEFC9A}" type="pres">
      <dgm:prSet presAssocID="{5FAF258F-90C8-4B4C-A512-4352EDEE571C}" presName="Name37" presStyleLbl="parChTrans1D3" presStyleIdx="7" presStyleCnt="17"/>
      <dgm:spPr/>
    </dgm:pt>
    <dgm:pt modelId="{44DB526F-6998-42BF-9794-D1A777BECFA7}" type="pres">
      <dgm:prSet presAssocID="{401FCD4D-1EA4-4E21-BFE5-51756B0C831A}" presName="hierRoot2" presStyleCnt="0">
        <dgm:presLayoutVars>
          <dgm:hierBranch val="init"/>
        </dgm:presLayoutVars>
      </dgm:prSet>
      <dgm:spPr/>
    </dgm:pt>
    <dgm:pt modelId="{11198531-38BC-4F83-8D8C-DB17DDCB5EF6}" type="pres">
      <dgm:prSet presAssocID="{401FCD4D-1EA4-4E21-BFE5-51756B0C831A}" presName="rootComposite" presStyleCnt="0"/>
      <dgm:spPr/>
    </dgm:pt>
    <dgm:pt modelId="{BE1ED92E-E3E7-4990-9D1E-981B0FA6BB3C}" type="pres">
      <dgm:prSet presAssocID="{401FCD4D-1EA4-4E21-BFE5-51756B0C831A}" presName="rootText" presStyleLbl="node3" presStyleIdx="7" presStyleCnt="17">
        <dgm:presLayoutVars>
          <dgm:chPref val="3"/>
        </dgm:presLayoutVars>
      </dgm:prSet>
      <dgm:spPr/>
    </dgm:pt>
    <dgm:pt modelId="{9B78DF39-05AE-478A-A358-F22252C69F61}" type="pres">
      <dgm:prSet presAssocID="{401FCD4D-1EA4-4E21-BFE5-51756B0C831A}" presName="rootConnector" presStyleLbl="node3" presStyleIdx="7" presStyleCnt="17"/>
      <dgm:spPr/>
    </dgm:pt>
    <dgm:pt modelId="{A3BE8097-76D3-4A72-92B3-CF7AFBC97D13}" type="pres">
      <dgm:prSet presAssocID="{401FCD4D-1EA4-4E21-BFE5-51756B0C831A}" presName="hierChild4" presStyleCnt="0"/>
      <dgm:spPr/>
    </dgm:pt>
    <dgm:pt modelId="{3CFAB7A1-CE8A-4677-9A27-272D40BC1C13}" type="pres">
      <dgm:prSet presAssocID="{401FCD4D-1EA4-4E21-BFE5-51756B0C831A}" presName="hierChild5" presStyleCnt="0"/>
      <dgm:spPr/>
    </dgm:pt>
    <dgm:pt modelId="{56EA0BA7-16A8-465A-BB8F-8C9F44B0588F}" type="pres">
      <dgm:prSet presAssocID="{48C1277B-B5A3-4DD9-B516-4B186B350C24}" presName="Name37" presStyleLbl="parChTrans1D3" presStyleIdx="8" presStyleCnt="17"/>
      <dgm:spPr/>
    </dgm:pt>
    <dgm:pt modelId="{F19CBD96-8AA1-4A64-81CA-D8358C40C9E8}" type="pres">
      <dgm:prSet presAssocID="{3A986F4B-DDF9-4547-9581-158DC4941D71}" presName="hierRoot2" presStyleCnt="0">
        <dgm:presLayoutVars>
          <dgm:hierBranch val="init"/>
        </dgm:presLayoutVars>
      </dgm:prSet>
      <dgm:spPr/>
    </dgm:pt>
    <dgm:pt modelId="{116FA1C6-FD75-4659-BB25-9E3468335CE9}" type="pres">
      <dgm:prSet presAssocID="{3A986F4B-DDF9-4547-9581-158DC4941D71}" presName="rootComposite" presStyleCnt="0"/>
      <dgm:spPr/>
    </dgm:pt>
    <dgm:pt modelId="{0260FB94-ED9E-4814-ACF9-5D8F92452F31}" type="pres">
      <dgm:prSet presAssocID="{3A986F4B-DDF9-4547-9581-158DC4941D71}" presName="rootText" presStyleLbl="node3" presStyleIdx="8" presStyleCnt="17">
        <dgm:presLayoutVars>
          <dgm:chPref val="3"/>
        </dgm:presLayoutVars>
      </dgm:prSet>
      <dgm:spPr/>
    </dgm:pt>
    <dgm:pt modelId="{66E490D6-CD6E-49AE-A234-7464B375C954}" type="pres">
      <dgm:prSet presAssocID="{3A986F4B-DDF9-4547-9581-158DC4941D71}" presName="rootConnector" presStyleLbl="node3" presStyleIdx="8" presStyleCnt="17"/>
      <dgm:spPr/>
    </dgm:pt>
    <dgm:pt modelId="{DB4B811E-72DB-40D3-A869-694230687772}" type="pres">
      <dgm:prSet presAssocID="{3A986F4B-DDF9-4547-9581-158DC4941D71}" presName="hierChild4" presStyleCnt="0"/>
      <dgm:spPr/>
    </dgm:pt>
    <dgm:pt modelId="{B8D7C48F-9016-4378-9DE1-B9FACB311B10}" type="pres">
      <dgm:prSet presAssocID="{3A986F4B-DDF9-4547-9581-158DC4941D71}" presName="hierChild5" presStyleCnt="0"/>
      <dgm:spPr/>
    </dgm:pt>
    <dgm:pt modelId="{06F94DCF-DB69-493F-90C9-8CBA380582B8}" type="pres">
      <dgm:prSet presAssocID="{A7CA6E11-EDDB-43CA-967E-7A1776B5504D}" presName="Name37" presStyleLbl="parChTrans1D3" presStyleIdx="9" presStyleCnt="17"/>
      <dgm:spPr/>
    </dgm:pt>
    <dgm:pt modelId="{EE22E0E5-A69B-440C-B6A2-9756D9D2DCF5}" type="pres">
      <dgm:prSet presAssocID="{7B1299AB-191B-4C3D-A57D-1CA904DA3AE4}" presName="hierRoot2" presStyleCnt="0">
        <dgm:presLayoutVars>
          <dgm:hierBranch val="init"/>
        </dgm:presLayoutVars>
      </dgm:prSet>
      <dgm:spPr/>
    </dgm:pt>
    <dgm:pt modelId="{574F5295-5489-4A59-B84E-78716FE408F1}" type="pres">
      <dgm:prSet presAssocID="{7B1299AB-191B-4C3D-A57D-1CA904DA3AE4}" presName="rootComposite" presStyleCnt="0"/>
      <dgm:spPr/>
    </dgm:pt>
    <dgm:pt modelId="{A9F3D186-2276-4AB5-846C-467350B5BB9E}" type="pres">
      <dgm:prSet presAssocID="{7B1299AB-191B-4C3D-A57D-1CA904DA3AE4}" presName="rootText" presStyleLbl="node3" presStyleIdx="9" presStyleCnt="17">
        <dgm:presLayoutVars>
          <dgm:chPref val="3"/>
        </dgm:presLayoutVars>
      </dgm:prSet>
      <dgm:spPr/>
    </dgm:pt>
    <dgm:pt modelId="{893B02FD-0103-4C94-82F1-660A332C0E59}" type="pres">
      <dgm:prSet presAssocID="{7B1299AB-191B-4C3D-A57D-1CA904DA3AE4}" presName="rootConnector" presStyleLbl="node3" presStyleIdx="9" presStyleCnt="17"/>
      <dgm:spPr/>
    </dgm:pt>
    <dgm:pt modelId="{A98950B3-30F4-4AF9-9944-EE9B1DF11811}" type="pres">
      <dgm:prSet presAssocID="{7B1299AB-191B-4C3D-A57D-1CA904DA3AE4}" presName="hierChild4" presStyleCnt="0"/>
      <dgm:spPr/>
    </dgm:pt>
    <dgm:pt modelId="{5951B259-504C-47F3-BF34-88CA024A6A87}" type="pres">
      <dgm:prSet presAssocID="{7B1299AB-191B-4C3D-A57D-1CA904DA3AE4}" presName="hierChild5" presStyleCnt="0"/>
      <dgm:spPr/>
    </dgm:pt>
    <dgm:pt modelId="{95E8F533-FECE-4252-88BE-23A90D23B7C5}" type="pres">
      <dgm:prSet presAssocID="{8DE11AB5-8C0C-4A93-AF90-B28A1FAC00CA}" presName="hierChild5" presStyleCnt="0"/>
      <dgm:spPr/>
    </dgm:pt>
    <dgm:pt modelId="{AD7DD0B4-FC3F-42A7-B3FA-51753FF557B1}" type="pres">
      <dgm:prSet presAssocID="{CE2A20CE-DE8D-4118-855C-8235D6289053}" presName="Name37" presStyleLbl="parChTrans1D2" presStyleIdx="2" presStyleCnt="5"/>
      <dgm:spPr/>
    </dgm:pt>
    <dgm:pt modelId="{EAAE0414-D50C-401D-8000-93306F5D9016}" type="pres">
      <dgm:prSet presAssocID="{43001946-DECC-4985-BEF9-92F5FBD6609E}" presName="hierRoot2" presStyleCnt="0">
        <dgm:presLayoutVars>
          <dgm:hierBranch val="init"/>
        </dgm:presLayoutVars>
      </dgm:prSet>
      <dgm:spPr/>
    </dgm:pt>
    <dgm:pt modelId="{C325412D-9953-494E-965C-566FBC66F179}" type="pres">
      <dgm:prSet presAssocID="{43001946-DECC-4985-BEF9-92F5FBD6609E}" presName="rootComposite" presStyleCnt="0"/>
      <dgm:spPr/>
    </dgm:pt>
    <dgm:pt modelId="{C9844760-B122-4D18-BEDE-17C3F2B22A7E}" type="pres">
      <dgm:prSet presAssocID="{43001946-DECC-4985-BEF9-92F5FBD6609E}" presName="rootText" presStyleLbl="node2" presStyleIdx="2" presStyleCnt="5">
        <dgm:presLayoutVars>
          <dgm:chPref val="3"/>
        </dgm:presLayoutVars>
      </dgm:prSet>
      <dgm:spPr/>
    </dgm:pt>
    <dgm:pt modelId="{DCE67B66-5BC1-49D1-9AE5-55879602ACE2}" type="pres">
      <dgm:prSet presAssocID="{43001946-DECC-4985-BEF9-92F5FBD6609E}" presName="rootConnector" presStyleLbl="node2" presStyleIdx="2" presStyleCnt="5"/>
      <dgm:spPr/>
    </dgm:pt>
    <dgm:pt modelId="{1A90BCB0-4291-4D93-A644-0539BE6AAEF5}" type="pres">
      <dgm:prSet presAssocID="{43001946-DECC-4985-BEF9-92F5FBD6609E}" presName="hierChild4" presStyleCnt="0"/>
      <dgm:spPr/>
    </dgm:pt>
    <dgm:pt modelId="{294ABF28-C458-4880-9BD9-19505D4C4B01}" type="pres">
      <dgm:prSet presAssocID="{3EF9CD8B-3EAD-4863-A8F8-B1F431FBEFD8}" presName="Name37" presStyleLbl="parChTrans1D3" presStyleIdx="10" presStyleCnt="17"/>
      <dgm:spPr/>
    </dgm:pt>
    <dgm:pt modelId="{F4C46A89-36DF-4B39-8434-4DFA1AE129ED}" type="pres">
      <dgm:prSet presAssocID="{1B59CC90-1EF2-4C49-A45C-DDF7736EB69C}" presName="hierRoot2" presStyleCnt="0">
        <dgm:presLayoutVars>
          <dgm:hierBranch val="init"/>
        </dgm:presLayoutVars>
      </dgm:prSet>
      <dgm:spPr/>
    </dgm:pt>
    <dgm:pt modelId="{78714C66-3BBE-4601-9D53-47F5DE5B3218}" type="pres">
      <dgm:prSet presAssocID="{1B59CC90-1EF2-4C49-A45C-DDF7736EB69C}" presName="rootComposite" presStyleCnt="0"/>
      <dgm:spPr/>
    </dgm:pt>
    <dgm:pt modelId="{CC8ED442-5F2B-435C-9A49-123A978DF41C}" type="pres">
      <dgm:prSet presAssocID="{1B59CC90-1EF2-4C49-A45C-DDF7736EB69C}" presName="rootText" presStyleLbl="node3" presStyleIdx="10" presStyleCnt="17">
        <dgm:presLayoutVars>
          <dgm:chPref val="3"/>
        </dgm:presLayoutVars>
      </dgm:prSet>
      <dgm:spPr/>
    </dgm:pt>
    <dgm:pt modelId="{18A78CF6-9780-4F1F-BDE3-E692D605707D}" type="pres">
      <dgm:prSet presAssocID="{1B59CC90-1EF2-4C49-A45C-DDF7736EB69C}" presName="rootConnector" presStyleLbl="node3" presStyleIdx="10" presStyleCnt="17"/>
      <dgm:spPr/>
    </dgm:pt>
    <dgm:pt modelId="{B2B5414A-3ECC-48F1-A75B-926BD0AF9156}" type="pres">
      <dgm:prSet presAssocID="{1B59CC90-1EF2-4C49-A45C-DDF7736EB69C}" presName="hierChild4" presStyleCnt="0"/>
      <dgm:spPr/>
    </dgm:pt>
    <dgm:pt modelId="{6F18254E-047F-4E6C-B357-E3490A0F28D7}" type="pres">
      <dgm:prSet presAssocID="{1B59CC90-1EF2-4C49-A45C-DDF7736EB69C}" presName="hierChild5" presStyleCnt="0"/>
      <dgm:spPr/>
    </dgm:pt>
    <dgm:pt modelId="{F382A476-71C7-4594-9840-B805CFB76132}" type="pres">
      <dgm:prSet presAssocID="{CB27E11F-9B0A-42DD-9D3E-36588D6C5827}" presName="Name37" presStyleLbl="parChTrans1D3" presStyleIdx="11" presStyleCnt="17"/>
      <dgm:spPr/>
    </dgm:pt>
    <dgm:pt modelId="{AE4A30B1-4359-49DA-88C5-F7720CC05EF2}" type="pres">
      <dgm:prSet presAssocID="{7F4FFD83-F824-4515-BBD1-5EEDF6A52DC6}" presName="hierRoot2" presStyleCnt="0">
        <dgm:presLayoutVars>
          <dgm:hierBranch val="init"/>
        </dgm:presLayoutVars>
      </dgm:prSet>
      <dgm:spPr/>
    </dgm:pt>
    <dgm:pt modelId="{54E8B720-C5D1-44AF-BCA7-668BC523DCA6}" type="pres">
      <dgm:prSet presAssocID="{7F4FFD83-F824-4515-BBD1-5EEDF6A52DC6}" presName="rootComposite" presStyleCnt="0"/>
      <dgm:spPr/>
    </dgm:pt>
    <dgm:pt modelId="{19E5BD61-D180-43F1-8B38-0854E2C5CEAA}" type="pres">
      <dgm:prSet presAssocID="{7F4FFD83-F824-4515-BBD1-5EEDF6A52DC6}" presName="rootText" presStyleLbl="node3" presStyleIdx="11" presStyleCnt="17">
        <dgm:presLayoutVars>
          <dgm:chPref val="3"/>
        </dgm:presLayoutVars>
      </dgm:prSet>
      <dgm:spPr/>
    </dgm:pt>
    <dgm:pt modelId="{6F1EF829-0930-48D9-AB77-220E9BB8769A}" type="pres">
      <dgm:prSet presAssocID="{7F4FFD83-F824-4515-BBD1-5EEDF6A52DC6}" presName="rootConnector" presStyleLbl="node3" presStyleIdx="11" presStyleCnt="17"/>
      <dgm:spPr/>
    </dgm:pt>
    <dgm:pt modelId="{5EF3876A-1E25-4842-AE2D-6C425F00B662}" type="pres">
      <dgm:prSet presAssocID="{7F4FFD83-F824-4515-BBD1-5EEDF6A52DC6}" presName="hierChild4" presStyleCnt="0"/>
      <dgm:spPr/>
    </dgm:pt>
    <dgm:pt modelId="{1B55A440-EC41-4EA8-BED5-70FB37D71689}" type="pres">
      <dgm:prSet presAssocID="{7F4FFD83-F824-4515-BBD1-5EEDF6A52DC6}" presName="hierChild5" presStyleCnt="0"/>
      <dgm:spPr/>
    </dgm:pt>
    <dgm:pt modelId="{C9099359-8110-4CC7-BB63-9E43375B3E5E}" type="pres">
      <dgm:prSet presAssocID="{43001946-DECC-4985-BEF9-92F5FBD6609E}" presName="hierChild5" presStyleCnt="0"/>
      <dgm:spPr/>
    </dgm:pt>
    <dgm:pt modelId="{6C7F5734-72FD-47DD-B059-E31559928648}" type="pres">
      <dgm:prSet presAssocID="{B54EB18A-E7D1-4663-90F1-5E768450B2D6}" presName="Name37" presStyleLbl="parChTrans1D2" presStyleIdx="3" presStyleCnt="5"/>
      <dgm:spPr/>
    </dgm:pt>
    <dgm:pt modelId="{6BF40D1D-B70E-4EE9-9553-3DC9A07FA420}" type="pres">
      <dgm:prSet presAssocID="{36FCC6BA-5C1C-43BA-AEA8-D3589AAE1359}" presName="hierRoot2" presStyleCnt="0">
        <dgm:presLayoutVars>
          <dgm:hierBranch val="init"/>
        </dgm:presLayoutVars>
      </dgm:prSet>
      <dgm:spPr/>
    </dgm:pt>
    <dgm:pt modelId="{D0819F6F-8378-4E7E-8B70-4806FA0DBB39}" type="pres">
      <dgm:prSet presAssocID="{36FCC6BA-5C1C-43BA-AEA8-D3589AAE1359}" presName="rootComposite" presStyleCnt="0"/>
      <dgm:spPr/>
    </dgm:pt>
    <dgm:pt modelId="{04C313F0-1227-476E-82B6-56DBE6FBC64B}" type="pres">
      <dgm:prSet presAssocID="{36FCC6BA-5C1C-43BA-AEA8-D3589AAE1359}" presName="rootText" presStyleLbl="node2" presStyleIdx="3" presStyleCnt="5">
        <dgm:presLayoutVars>
          <dgm:chPref val="3"/>
        </dgm:presLayoutVars>
      </dgm:prSet>
      <dgm:spPr/>
    </dgm:pt>
    <dgm:pt modelId="{6FCE7EE8-65CC-4815-AA17-1FA9C458CC37}" type="pres">
      <dgm:prSet presAssocID="{36FCC6BA-5C1C-43BA-AEA8-D3589AAE1359}" presName="rootConnector" presStyleLbl="node2" presStyleIdx="3" presStyleCnt="5"/>
      <dgm:spPr/>
    </dgm:pt>
    <dgm:pt modelId="{10E9FB97-F15B-40D0-8473-F306087F97A8}" type="pres">
      <dgm:prSet presAssocID="{36FCC6BA-5C1C-43BA-AEA8-D3589AAE1359}" presName="hierChild4" presStyleCnt="0"/>
      <dgm:spPr/>
    </dgm:pt>
    <dgm:pt modelId="{08EF4037-975C-4902-BD02-0DB8C6EF9E76}" type="pres">
      <dgm:prSet presAssocID="{43F4DD25-9FE9-45D4-8EF5-4377A0990473}" presName="Name37" presStyleLbl="parChTrans1D3" presStyleIdx="12" presStyleCnt="17"/>
      <dgm:spPr/>
    </dgm:pt>
    <dgm:pt modelId="{BE541717-BB1A-46EF-B6F3-18018F495BC7}" type="pres">
      <dgm:prSet presAssocID="{DCB9E1E5-0411-44E9-B3A9-08A47C29FBB3}" presName="hierRoot2" presStyleCnt="0">
        <dgm:presLayoutVars>
          <dgm:hierBranch val="init"/>
        </dgm:presLayoutVars>
      </dgm:prSet>
      <dgm:spPr/>
    </dgm:pt>
    <dgm:pt modelId="{F8A182FE-443C-4884-B5DC-ACDCBC32D635}" type="pres">
      <dgm:prSet presAssocID="{DCB9E1E5-0411-44E9-B3A9-08A47C29FBB3}" presName="rootComposite" presStyleCnt="0"/>
      <dgm:spPr/>
    </dgm:pt>
    <dgm:pt modelId="{457B47B2-CD1E-4229-8AC5-DAEC17056EF7}" type="pres">
      <dgm:prSet presAssocID="{DCB9E1E5-0411-44E9-B3A9-08A47C29FBB3}" presName="rootText" presStyleLbl="node3" presStyleIdx="12" presStyleCnt="17">
        <dgm:presLayoutVars>
          <dgm:chPref val="3"/>
        </dgm:presLayoutVars>
      </dgm:prSet>
      <dgm:spPr/>
    </dgm:pt>
    <dgm:pt modelId="{CBAAD394-EF64-4E4E-8944-E87BD10447CD}" type="pres">
      <dgm:prSet presAssocID="{DCB9E1E5-0411-44E9-B3A9-08A47C29FBB3}" presName="rootConnector" presStyleLbl="node3" presStyleIdx="12" presStyleCnt="17"/>
      <dgm:spPr/>
    </dgm:pt>
    <dgm:pt modelId="{D557FD2F-4130-4162-AE7A-8483C12705E3}" type="pres">
      <dgm:prSet presAssocID="{DCB9E1E5-0411-44E9-B3A9-08A47C29FBB3}" presName="hierChild4" presStyleCnt="0"/>
      <dgm:spPr/>
    </dgm:pt>
    <dgm:pt modelId="{09266197-69EF-48F7-A95B-D81471BAC7B3}" type="pres">
      <dgm:prSet presAssocID="{DCB9E1E5-0411-44E9-B3A9-08A47C29FBB3}" presName="hierChild5" presStyleCnt="0"/>
      <dgm:spPr/>
    </dgm:pt>
    <dgm:pt modelId="{B04B8693-2DCD-4B07-80EF-72F9F6CAD2CC}" type="pres">
      <dgm:prSet presAssocID="{1804D9B2-56E8-4512-99E9-612202314F1E}" presName="Name37" presStyleLbl="parChTrans1D3" presStyleIdx="13" presStyleCnt="17"/>
      <dgm:spPr/>
    </dgm:pt>
    <dgm:pt modelId="{DF89BB04-8FE3-4E7C-8BF8-0DE5F2AB4A7B}" type="pres">
      <dgm:prSet presAssocID="{3A7AF5DA-0DD0-4B28-91FA-72362C3B76FC}" presName="hierRoot2" presStyleCnt="0">
        <dgm:presLayoutVars>
          <dgm:hierBranch val="init"/>
        </dgm:presLayoutVars>
      </dgm:prSet>
      <dgm:spPr/>
    </dgm:pt>
    <dgm:pt modelId="{2C5EE98E-94D4-4BB9-A9CB-E6B173648D74}" type="pres">
      <dgm:prSet presAssocID="{3A7AF5DA-0DD0-4B28-91FA-72362C3B76FC}" presName="rootComposite" presStyleCnt="0"/>
      <dgm:spPr/>
    </dgm:pt>
    <dgm:pt modelId="{80581FEA-F8CD-4A86-9B16-A4043DBBCA09}" type="pres">
      <dgm:prSet presAssocID="{3A7AF5DA-0DD0-4B28-91FA-72362C3B76FC}" presName="rootText" presStyleLbl="node3" presStyleIdx="13" presStyleCnt="17">
        <dgm:presLayoutVars>
          <dgm:chPref val="3"/>
        </dgm:presLayoutVars>
      </dgm:prSet>
      <dgm:spPr/>
    </dgm:pt>
    <dgm:pt modelId="{86BA712A-1072-4E4D-A580-80865D97FF66}" type="pres">
      <dgm:prSet presAssocID="{3A7AF5DA-0DD0-4B28-91FA-72362C3B76FC}" presName="rootConnector" presStyleLbl="node3" presStyleIdx="13" presStyleCnt="17"/>
      <dgm:spPr/>
    </dgm:pt>
    <dgm:pt modelId="{1BCC46B4-A242-44AC-8EE9-E0CB6AF9BC57}" type="pres">
      <dgm:prSet presAssocID="{3A7AF5DA-0DD0-4B28-91FA-72362C3B76FC}" presName="hierChild4" presStyleCnt="0"/>
      <dgm:spPr/>
    </dgm:pt>
    <dgm:pt modelId="{81AD6B25-B03A-4D94-80B9-71B438A1BE07}" type="pres">
      <dgm:prSet presAssocID="{3A7AF5DA-0DD0-4B28-91FA-72362C3B76FC}" presName="hierChild5" presStyleCnt="0"/>
      <dgm:spPr/>
    </dgm:pt>
    <dgm:pt modelId="{BC8B647A-5FDC-4531-BB70-7CD023684A91}" type="pres">
      <dgm:prSet presAssocID="{E076E3C1-540F-4597-8675-C0467861D6E2}" presName="Name37" presStyleLbl="parChTrans1D3" presStyleIdx="14" presStyleCnt="17"/>
      <dgm:spPr/>
    </dgm:pt>
    <dgm:pt modelId="{9668696A-5ABA-4710-9EFE-6CCE206275C8}" type="pres">
      <dgm:prSet presAssocID="{B3E4A416-CFD8-452F-8591-FC656D8D625D}" presName="hierRoot2" presStyleCnt="0">
        <dgm:presLayoutVars>
          <dgm:hierBranch val="init"/>
        </dgm:presLayoutVars>
      </dgm:prSet>
      <dgm:spPr/>
    </dgm:pt>
    <dgm:pt modelId="{F163EFB6-95DB-4C4D-BAFA-9DEBFA41D52F}" type="pres">
      <dgm:prSet presAssocID="{B3E4A416-CFD8-452F-8591-FC656D8D625D}" presName="rootComposite" presStyleCnt="0"/>
      <dgm:spPr/>
    </dgm:pt>
    <dgm:pt modelId="{0DDC8D4A-C3B3-419A-AC4D-65613EF2DA67}" type="pres">
      <dgm:prSet presAssocID="{B3E4A416-CFD8-452F-8591-FC656D8D625D}" presName="rootText" presStyleLbl="node3" presStyleIdx="14" presStyleCnt="17">
        <dgm:presLayoutVars>
          <dgm:chPref val="3"/>
        </dgm:presLayoutVars>
      </dgm:prSet>
      <dgm:spPr/>
    </dgm:pt>
    <dgm:pt modelId="{60A822E5-6C22-4DED-B5F9-927AA5726658}" type="pres">
      <dgm:prSet presAssocID="{B3E4A416-CFD8-452F-8591-FC656D8D625D}" presName="rootConnector" presStyleLbl="node3" presStyleIdx="14" presStyleCnt="17"/>
      <dgm:spPr/>
    </dgm:pt>
    <dgm:pt modelId="{7808922E-92AD-4CA0-BFAE-13B420CDD462}" type="pres">
      <dgm:prSet presAssocID="{B3E4A416-CFD8-452F-8591-FC656D8D625D}" presName="hierChild4" presStyleCnt="0"/>
      <dgm:spPr/>
    </dgm:pt>
    <dgm:pt modelId="{3A7F3F6C-40AB-4257-9B76-0A576A9F24B5}" type="pres">
      <dgm:prSet presAssocID="{B3E4A416-CFD8-452F-8591-FC656D8D625D}" presName="hierChild5" presStyleCnt="0"/>
      <dgm:spPr/>
    </dgm:pt>
    <dgm:pt modelId="{999010DA-7701-4967-8DFC-9C34ADE009D1}" type="pres">
      <dgm:prSet presAssocID="{36FCC6BA-5C1C-43BA-AEA8-D3589AAE1359}" presName="hierChild5" presStyleCnt="0"/>
      <dgm:spPr/>
    </dgm:pt>
    <dgm:pt modelId="{CCB70B0B-894D-41FF-A075-46A95BB261AD}" type="pres">
      <dgm:prSet presAssocID="{607E5FAE-6513-4D34-9F28-4225546A7550}" presName="Name37" presStyleLbl="parChTrans1D2" presStyleIdx="4" presStyleCnt="5"/>
      <dgm:spPr/>
    </dgm:pt>
    <dgm:pt modelId="{7770AA14-FA24-4BF5-93D1-7D13AB205963}" type="pres">
      <dgm:prSet presAssocID="{6BBA2480-B995-4A5E-AC78-1BCD9AE1C23E}" presName="hierRoot2" presStyleCnt="0">
        <dgm:presLayoutVars>
          <dgm:hierBranch val="init"/>
        </dgm:presLayoutVars>
      </dgm:prSet>
      <dgm:spPr/>
    </dgm:pt>
    <dgm:pt modelId="{EC84AEA9-B11A-417A-85BB-3EB03CE7BB68}" type="pres">
      <dgm:prSet presAssocID="{6BBA2480-B995-4A5E-AC78-1BCD9AE1C23E}" presName="rootComposite" presStyleCnt="0"/>
      <dgm:spPr/>
    </dgm:pt>
    <dgm:pt modelId="{5A475467-762D-41E3-BE70-A5A15430FCA3}" type="pres">
      <dgm:prSet presAssocID="{6BBA2480-B995-4A5E-AC78-1BCD9AE1C23E}" presName="rootText" presStyleLbl="node2" presStyleIdx="4" presStyleCnt="5">
        <dgm:presLayoutVars>
          <dgm:chPref val="3"/>
        </dgm:presLayoutVars>
      </dgm:prSet>
      <dgm:spPr/>
    </dgm:pt>
    <dgm:pt modelId="{FF67D1E8-8321-491D-BD03-548767C8EE01}" type="pres">
      <dgm:prSet presAssocID="{6BBA2480-B995-4A5E-AC78-1BCD9AE1C23E}" presName="rootConnector" presStyleLbl="node2" presStyleIdx="4" presStyleCnt="5"/>
      <dgm:spPr/>
    </dgm:pt>
    <dgm:pt modelId="{7D9D1E41-9408-446D-8F16-4017567206E5}" type="pres">
      <dgm:prSet presAssocID="{6BBA2480-B995-4A5E-AC78-1BCD9AE1C23E}" presName="hierChild4" presStyleCnt="0"/>
      <dgm:spPr/>
    </dgm:pt>
    <dgm:pt modelId="{E83F464E-2070-4B3A-97CD-56F24BD0854A}" type="pres">
      <dgm:prSet presAssocID="{D8C9CB07-76AE-4A0F-BA1D-5294FE72481F}" presName="Name37" presStyleLbl="parChTrans1D3" presStyleIdx="15" presStyleCnt="17"/>
      <dgm:spPr/>
    </dgm:pt>
    <dgm:pt modelId="{9B8ADA36-3854-4D0A-A79D-10EB5813C192}" type="pres">
      <dgm:prSet presAssocID="{D436EC58-1A31-484D-AD13-CDC53B31642E}" presName="hierRoot2" presStyleCnt="0">
        <dgm:presLayoutVars>
          <dgm:hierBranch val="init"/>
        </dgm:presLayoutVars>
      </dgm:prSet>
      <dgm:spPr/>
    </dgm:pt>
    <dgm:pt modelId="{7EB021FB-397D-41CF-BE5A-B3342733C6B1}" type="pres">
      <dgm:prSet presAssocID="{D436EC58-1A31-484D-AD13-CDC53B31642E}" presName="rootComposite" presStyleCnt="0"/>
      <dgm:spPr/>
    </dgm:pt>
    <dgm:pt modelId="{BBCA570E-9357-4CA4-BDD5-59747312C9C4}" type="pres">
      <dgm:prSet presAssocID="{D436EC58-1A31-484D-AD13-CDC53B31642E}" presName="rootText" presStyleLbl="node3" presStyleIdx="15" presStyleCnt="17">
        <dgm:presLayoutVars>
          <dgm:chPref val="3"/>
        </dgm:presLayoutVars>
      </dgm:prSet>
      <dgm:spPr/>
    </dgm:pt>
    <dgm:pt modelId="{8FD96BF7-755E-406E-B44E-FCA7985C3712}" type="pres">
      <dgm:prSet presAssocID="{D436EC58-1A31-484D-AD13-CDC53B31642E}" presName="rootConnector" presStyleLbl="node3" presStyleIdx="15" presStyleCnt="17"/>
      <dgm:spPr/>
    </dgm:pt>
    <dgm:pt modelId="{FDE2A18F-C755-4860-8C87-027323081FFE}" type="pres">
      <dgm:prSet presAssocID="{D436EC58-1A31-484D-AD13-CDC53B31642E}" presName="hierChild4" presStyleCnt="0"/>
      <dgm:spPr/>
    </dgm:pt>
    <dgm:pt modelId="{8B60D783-52BF-4561-8B63-6BF6400FEF95}" type="pres">
      <dgm:prSet presAssocID="{D436EC58-1A31-484D-AD13-CDC53B31642E}" presName="hierChild5" presStyleCnt="0"/>
      <dgm:spPr/>
    </dgm:pt>
    <dgm:pt modelId="{A80E50AC-07E5-4A73-A1AF-0B991D9BE118}" type="pres">
      <dgm:prSet presAssocID="{5319D135-061F-46BD-B518-46B8688F201D}" presName="Name37" presStyleLbl="parChTrans1D3" presStyleIdx="16" presStyleCnt="17"/>
      <dgm:spPr/>
    </dgm:pt>
    <dgm:pt modelId="{1B1564BA-9BFE-4624-943E-2F86903CC9C4}" type="pres">
      <dgm:prSet presAssocID="{C9DA1C01-1082-4862-AFC6-00D2640A37EC}" presName="hierRoot2" presStyleCnt="0">
        <dgm:presLayoutVars>
          <dgm:hierBranch val="init"/>
        </dgm:presLayoutVars>
      </dgm:prSet>
      <dgm:spPr/>
    </dgm:pt>
    <dgm:pt modelId="{B9C29D4E-D717-4EB3-B81E-C250F8AAC15F}" type="pres">
      <dgm:prSet presAssocID="{C9DA1C01-1082-4862-AFC6-00D2640A37EC}" presName="rootComposite" presStyleCnt="0"/>
      <dgm:spPr/>
    </dgm:pt>
    <dgm:pt modelId="{98132576-FA7B-44CC-AB92-A57E374ED2DF}" type="pres">
      <dgm:prSet presAssocID="{C9DA1C01-1082-4862-AFC6-00D2640A37EC}" presName="rootText" presStyleLbl="node3" presStyleIdx="16" presStyleCnt="17">
        <dgm:presLayoutVars>
          <dgm:chPref val="3"/>
        </dgm:presLayoutVars>
      </dgm:prSet>
      <dgm:spPr/>
    </dgm:pt>
    <dgm:pt modelId="{6291A767-DE77-4592-9FE3-012322644C64}" type="pres">
      <dgm:prSet presAssocID="{C9DA1C01-1082-4862-AFC6-00D2640A37EC}" presName="rootConnector" presStyleLbl="node3" presStyleIdx="16" presStyleCnt="17"/>
      <dgm:spPr/>
    </dgm:pt>
    <dgm:pt modelId="{6AD0751D-170C-48CF-9522-E317DC2BCCD0}" type="pres">
      <dgm:prSet presAssocID="{C9DA1C01-1082-4862-AFC6-00D2640A37EC}" presName="hierChild4" presStyleCnt="0"/>
      <dgm:spPr/>
    </dgm:pt>
    <dgm:pt modelId="{A8CA75D5-1B10-4919-948E-6BE57353F3A0}" type="pres">
      <dgm:prSet presAssocID="{C9DA1C01-1082-4862-AFC6-00D2640A37EC}" presName="hierChild5" presStyleCnt="0"/>
      <dgm:spPr/>
    </dgm:pt>
    <dgm:pt modelId="{26F8D3D6-18A2-4E73-BC78-37F627DB0778}" type="pres">
      <dgm:prSet presAssocID="{6BBA2480-B995-4A5E-AC78-1BCD9AE1C23E}" presName="hierChild5" presStyleCnt="0"/>
      <dgm:spPr/>
    </dgm:pt>
    <dgm:pt modelId="{2F9BC119-A007-4629-889A-735C5107D921}" type="pres">
      <dgm:prSet presAssocID="{01B344C7-E6CF-432D-9FC0-B79F64A5F007}" presName="hierChild3" presStyleCnt="0"/>
      <dgm:spPr/>
    </dgm:pt>
  </dgm:ptLst>
  <dgm:cxnLst>
    <dgm:cxn modelId="{B262FD07-A714-49E4-96C6-DC2E46D7D466}" srcId="{43001946-DECC-4985-BEF9-92F5FBD6609E}" destId="{1B59CC90-1EF2-4C49-A45C-DDF7736EB69C}" srcOrd="0" destOrd="0" parTransId="{3EF9CD8B-3EAD-4863-A8F8-B1F431FBEFD8}" sibTransId="{BCD85CAB-355B-48CE-BA5B-DBE8A6D74DF1}"/>
    <dgm:cxn modelId="{6D54360E-E426-4371-B266-AC3CDA4535A5}" type="presOf" srcId="{5BF70684-093C-4660-AD1E-988F9F5ACD64}" destId="{9832765A-225B-43F6-8BAD-D806E5333F4C}" srcOrd="0" destOrd="0" presId="urn:microsoft.com/office/officeart/2005/8/layout/orgChart1"/>
    <dgm:cxn modelId="{75189F0F-E682-423E-96CC-52FC793CB2F7}" srcId="{15569EDB-C888-49F5-8808-4519AE650633}" destId="{01B344C7-E6CF-432D-9FC0-B79F64A5F007}" srcOrd="0" destOrd="0" parTransId="{C50E2A2C-D659-4E47-A662-FD38BE559DA2}" sibTransId="{33629F0A-CCBA-479E-8EA6-BD5B7C2ED426}"/>
    <dgm:cxn modelId="{6C468011-2363-46D2-AB0C-09322165342D}" type="presOf" srcId="{531F1DC3-92D1-4897-992A-E5FE7062CE31}" destId="{ECCCFCAC-4713-4D88-BCC7-B341FBD3BBB5}" srcOrd="0" destOrd="0" presId="urn:microsoft.com/office/officeart/2005/8/layout/orgChart1"/>
    <dgm:cxn modelId="{F429C811-E8FC-426A-91E5-BA7AD1DF4E23}" type="presOf" srcId="{6BBA2480-B995-4A5E-AC78-1BCD9AE1C23E}" destId="{5A475467-762D-41E3-BE70-A5A15430FCA3}" srcOrd="0" destOrd="0" presId="urn:microsoft.com/office/officeart/2005/8/layout/orgChart1"/>
    <dgm:cxn modelId="{0576CF12-4308-45CD-A4D2-181638DD61D8}" type="presOf" srcId="{1D9A6B18-4EE1-465E-AEEA-5B45D418B6F3}" destId="{17364E73-4112-446E-BD20-2C3662D448D3}" srcOrd="1" destOrd="0" presId="urn:microsoft.com/office/officeart/2005/8/layout/orgChart1"/>
    <dgm:cxn modelId="{CADF6514-0026-4CD3-923E-B8732017A90E}" type="presOf" srcId="{8DE11AB5-8C0C-4A93-AF90-B28A1FAC00CA}" destId="{6320863C-1455-4BCE-826D-245368E80D02}" srcOrd="0" destOrd="0" presId="urn:microsoft.com/office/officeart/2005/8/layout/orgChart1"/>
    <dgm:cxn modelId="{F6449814-FD8C-44A9-BF80-7029361505DA}" type="presOf" srcId="{607E5FAE-6513-4D34-9F28-4225546A7550}" destId="{CCB70B0B-894D-41FF-A075-46A95BB261AD}" srcOrd="0" destOrd="0" presId="urn:microsoft.com/office/officeart/2005/8/layout/orgChart1"/>
    <dgm:cxn modelId="{95A41F16-FE0C-42AB-A043-2A68959AD07D}" type="presOf" srcId="{F1D7584F-0952-4C16-BCDA-5654A3553724}" destId="{E46D3EE5-0118-420F-9959-09F12CB70A2D}" srcOrd="1" destOrd="0" presId="urn:microsoft.com/office/officeart/2005/8/layout/orgChart1"/>
    <dgm:cxn modelId="{1A2DC917-FC01-4326-9243-EE8191FC68EB}" type="presOf" srcId="{1804D9B2-56E8-4512-99E9-612202314F1E}" destId="{B04B8693-2DCD-4B07-80EF-72F9F6CAD2CC}" srcOrd="0" destOrd="0" presId="urn:microsoft.com/office/officeart/2005/8/layout/orgChart1"/>
    <dgm:cxn modelId="{0A26CD1A-CB60-4130-9CA7-222672504A23}" type="presOf" srcId="{28E1B331-BF17-4487-910B-1417CEF3C576}" destId="{C6AAE715-5FBE-4AC1-A6AA-971662B63296}" srcOrd="0" destOrd="0" presId="urn:microsoft.com/office/officeart/2005/8/layout/orgChart1"/>
    <dgm:cxn modelId="{C83AE21A-96B2-4400-8C10-938E7AB5499A}" type="presOf" srcId="{EEF32661-24B6-4E92-B410-FB58807929DD}" destId="{331887D6-94D0-4265-890B-885598708DB1}" srcOrd="1" destOrd="0" presId="urn:microsoft.com/office/officeart/2005/8/layout/orgChart1"/>
    <dgm:cxn modelId="{18FE541D-127B-4FA2-A894-E1413F1CA9EF}" srcId="{8DE11AB5-8C0C-4A93-AF90-B28A1FAC00CA}" destId="{3A986F4B-DDF9-4547-9581-158DC4941D71}" srcOrd="4" destOrd="0" parTransId="{48C1277B-B5A3-4DD9-B516-4B186B350C24}" sibTransId="{B94ECBF9-4FCD-4BD0-B112-D45326A56202}"/>
    <dgm:cxn modelId="{A5C6D61F-5284-476D-85C9-31EDADD2F95B}" type="presOf" srcId="{D00705F3-276A-40CF-A7A3-FE7FDA394A3B}" destId="{FE1E9AB5-ED4A-43FB-958D-14AE7A77731C}" srcOrd="0" destOrd="0" presId="urn:microsoft.com/office/officeart/2005/8/layout/orgChart1"/>
    <dgm:cxn modelId="{33B19F24-7431-40E1-B780-F732BE418877}" type="presOf" srcId="{A7CA6E11-EDDB-43CA-967E-7A1776B5504D}" destId="{06F94DCF-DB69-493F-90C9-8CBA380582B8}" srcOrd="0" destOrd="0" presId="urn:microsoft.com/office/officeart/2005/8/layout/orgChart1"/>
    <dgm:cxn modelId="{1858AE24-3EA2-4AEB-875D-2032AEEFE98F}" srcId="{36FCC6BA-5C1C-43BA-AEA8-D3589AAE1359}" destId="{3A7AF5DA-0DD0-4B28-91FA-72362C3B76FC}" srcOrd="1" destOrd="0" parTransId="{1804D9B2-56E8-4512-99E9-612202314F1E}" sibTransId="{2636AA6C-FD83-4794-84FC-4ECA47C35333}"/>
    <dgm:cxn modelId="{3B100425-AA9D-48B3-80E4-5465E2F19E70}" type="presOf" srcId="{DCB9E1E5-0411-44E9-B3A9-08A47C29FBB3}" destId="{CBAAD394-EF64-4E4E-8944-E87BD10447CD}" srcOrd="1" destOrd="0" presId="urn:microsoft.com/office/officeart/2005/8/layout/orgChart1"/>
    <dgm:cxn modelId="{9B4A5425-A6E9-4639-87FA-45B0DFD412A5}" type="presOf" srcId="{3EF9CD8B-3EAD-4863-A8F8-B1F431FBEFD8}" destId="{294ABF28-C458-4880-9BD9-19505D4C4B01}" srcOrd="0" destOrd="0" presId="urn:microsoft.com/office/officeart/2005/8/layout/orgChart1"/>
    <dgm:cxn modelId="{94378825-F803-4F94-B297-FBC6AF5A944D}" type="presOf" srcId="{584F1F94-2AAD-41C8-B664-47DFEF086687}" destId="{5CD9BB64-0B96-489A-9BE4-FC6FA12F8051}" srcOrd="0" destOrd="0" presId="urn:microsoft.com/office/officeart/2005/8/layout/orgChart1"/>
    <dgm:cxn modelId="{37283929-2566-403E-A181-913E015EB4E7}" type="presOf" srcId="{D436EC58-1A31-484D-AD13-CDC53B31642E}" destId="{BBCA570E-9357-4CA4-BDD5-59747312C9C4}" srcOrd="0" destOrd="0" presId="urn:microsoft.com/office/officeart/2005/8/layout/orgChart1"/>
    <dgm:cxn modelId="{C064EB29-9F7C-4A25-ACAA-82E1BA624500}" type="presOf" srcId="{7F4FFD83-F824-4515-BBD1-5EEDF6A52DC6}" destId="{6F1EF829-0930-48D9-AB77-220E9BB8769A}" srcOrd="1" destOrd="0" presId="urn:microsoft.com/office/officeart/2005/8/layout/orgChart1"/>
    <dgm:cxn modelId="{4526F230-F031-4BEE-9281-5E0659E8F561}" type="presOf" srcId="{CA40EA3E-0D74-4B5D-8889-FBBD8F9E6EA2}" destId="{5095CFCE-4ECE-49BE-B5B8-132A2A21F956}" srcOrd="0" destOrd="0" presId="urn:microsoft.com/office/officeart/2005/8/layout/orgChart1"/>
    <dgm:cxn modelId="{A3F5AE31-AAF2-4073-83CF-EDA20C5F92DC}" srcId="{6BBA2480-B995-4A5E-AC78-1BCD9AE1C23E}" destId="{C9DA1C01-1082-4862-AFC6-00D2640A37EC}" srcOrd="1" destOrd="0" parTransId="{5319D135-061F-46BD-B518-46B8688F201D}" sibTransId="{A612E8B6-2921-4D0C-A7B4-A0757858C1E0}"/>
    <dgm:cxn modelId="{B0832732-FFA8-419D-816E-26B116FEEFBD}" type="presOf" srcId="{D00705F3-276A-40CF-A7A3-FE7FDA394A3B}" destId="{0DAD328C-5A1B-46DE-A03F-59EA02AA8601}" srcOrd="1" destOrd="0" presId="urn:microsoft.com/office/officeart/2005/8/layout/orgChart1"/>
    <dgm:cxn modelId="{22F93833-B269-4750-A9F7-DE8ABB8C9150}" srcId="{8DE11AB5-8C0C-4A93-AF90-B28A1FAC00CA}" destId="{A890EBEC-4DCB-46F5-A71A-C3B67DAD6B60}" srcOrd="1" destOrd="0" parTransId="{6A52C33B-3EBE-4781-9810-AA8B293D82AF}" sibTransId="{52B1D281-4D32-4E60-BB3B-98FC04A99237}"/>
    <dgm:cxn modelId="{828D2135-DA7D-40C9-8875-BD8D123B2F4D}" type="presOf" srcId="{EEF32661-24B6-4E92-B410-FB58807929DD}" destId="{89D80571-492D-47DB-BC22-BCAEB7C94EEF}" srcOrd="0" destOrd="0" presId="urn:microsoft.com/office/officeart/2005/8/layout/orgChart1"/>
    <dgm:cxn modelId="{16C61338-F4AE-4E61-BC48-61DEB8A95851}" type="presOf" srcId="{3A986F4B-DDF9-4547-9581-158DC4941D71}" destId="{66E490D6-CD6E-49AE-A234-7464B375C954}" srcOrd="1" destOrd="0" presId="urn:microsoft.com/office/officeart/2005/8/layout/orgChart1"/>
    <dgm:cxn modelId="{7592FC3C-710E-4ACF-9BD9-9FF432D0B347}" srcId="{CA40EA3E-0D74-4B5D-8889-FBBD8F9E6EA2}" destId="{D00705F3-276A-40CF-A7A3-FE7FDA394A3B}" srcOrd="2" destOrd="0" parTransId="{2EF3849B-68B2-40A0-BD76-06604F7B3012}" sibTransId="{1273B43F-5E47-43FE-828A-6912E304252B}"/>
    <dgm:cxn modelId="{8774FC40-CF1E-435C-85AF-AB2F83BA7C98}" type="presOf" srcId="{01B344C7-E6CF-432D-9FC0-B79F64A5F007}" destId="{37D08529-23AA-4347-A054-2BA8C38DAD30}" srcOrd="0" destOrd="0" presId="urn:microsoft.com/office/officeart/2005/8/layout/orgChart1"/>
    <dgm:cxn modelId="{6F81515C-CA5C-4E3F-8473-7FBF0367E76C}" type="presOf" srcId="{2EF3849B-68B2-40A0-BD76-06604F7B3012}" destId="{91D5627C-7B52-41FC-AFF1-19FC8813BF9C}" srcOrd="0" destOrd="0" presId="urn:microsoft.com/office/officeart/2005/8/layout/orgChart1"/>
    <dgm:cxn modelId="{F83B5642-50E1-4BA8-A766-8E0712F8FC9A}" type="presOf" srcId="{B54EB18A-E7D1-4663-90F1-5E768450B2D6}" destId="{6C7F5734-72FD-47DD-B059-E31559928648}" srcOrd="0" destOrd="0" presId="urn:microsoft.com/office/officeart/2005/8/layout/orgChart1"/>
    <dgm:cxn modelId="{B7436343-079E-4E35-B7CE-5D14195F5DC9}" srcId="{01B344C7-E6CF-432D-9FC0-B79F64A5F007}" destId="{6BBA2480-B995-4A5E-AC78-1BCD9AE1C23E}" srcOrd="4" destOrd="0" parTransId="{607E5FAE-6513-4D34-9F28-4225546A7550}" sibTransId="{24E17693-72F6-4AAD-8D66-74E929843872}"/>
    <dgm:cxn modelId="{70195866-FA4A-4598-99C8-8578941EA819}" type="presOf" srcId="{7B1299AB-191B-4C3D-A57D-1CA904DA3AE4}" destId="{A9F3D186-2276-4AB5-846C-467350B5BB9E}" srcOrd="0" destOrd="0" presId="urn:microsoft.com/office/officeart/2005/8/layout/orgChart1"/>
    <dgm:cxn modelId="{EFF2A066-0126-4E15-B429-3960F3ED5E1C}" type="presOf" srcId="{43001946-DECC-4985-BEF9-92F5FBD6609E}" destId="{DCE67B66-5BC1-49D1-9AE5-55879602ACE2}" srcOrd="1" destOrd="0" presId="urn:microsoft.com/office/officeart/2005/8/layout/orgChart1"/>
    <dgm:cxn modelId="{866CC566-3547-4A77-AFEE-F4264EF0380E}" srcId="{8DE11AB5-8C0C-4A93-AF90-B28A1FAC00CA}" destId="{1D9A6B18-4EE1-465E-AEEA-5B45D418B6F3}" srcOrd="2" destOrd="0" parTransId="{28E1B331-BF17-4487-910B-1417CEF3C576}" sibTransId="{1B6BA9C2-3F4B-49B9-A9CD-C5547D5262D1}"/>
    <dgm:cxn modelId="{EB80D547-E43F-4F79-8BF6-7DD9BA2465C0}" srcId="{CA40EA3E-0D74-4B5D-8889-FBBD8F9E6EA2}" destId="{531F1DC3-92D1-4897-992A-E5FE7062CE31}" srcOrd="1" destOrd="0" parTransId="{5669B897-C902-40A3-92B8-E840EBDC694F}" sibTransId="{AD32BE51-8D68-4A1D-86FF-78D1155952B5}"/>
    <dgm:cxn modelId="{106BC048-9A8D-4556-8833-5832BDD58762}" type="presOf" srcId="{36FCC6BA-5C1C-43BA-AEA8-D3589AAE1359}" destId="{6FCE7EE8-65CC-4815-AA17-1FA9C458CC37}" srcOrd="1" destOrd="0" presId="urn:microsoft.com/office/officeart/2005/8/layout/orgChart1"/>
    <dgm:cxn modelId="{16895E69-ED73-4495-BC13-BA2CAFB8E160}" type="presOf" srcId="{1B59CC90-1EF2-4C49-A45C-DDF7736EB69C}" destId="{CC8ED442-5F2B-435C-9A49-123A978DF41C}" srcOrd="0" destOrd="0" presId="urn:microsoft.com/office/officeart/2005/8/layout/orgChart1"/>
    <dgm:cxn modelId="{8D010F6A-EA0D-47B6-A9F4-92D71641D67B}" srcId="{01B344C7-E6CF-432D-9FC0-B79F64A5F007}" destId="{CA40EA3E-0D74-4B5D-8889-FBBD8F9E6EA2}" srcOrd="0" destOrd="0" parTransId="{A47C9F7E-96B3-4739-AA53-8DD9CA03DDC6}" sibTransId="{059F8902-5BAF-43F2-B645-471169F519E0}"/>
    <dgm:cxn modelId="{45040F6A-3081-45A9-9D26-834292861273}" type="presOf" srcId="{F1D7584F-0952-4C16-BCDA-5654A3553724}" destId="{D5BEFF4A-20FA-49CB-A751-2AB209A550D4}" srcOrd="0" destOrd="0" presId="urn:microsoft.com/office/officeart/2005/8/layout/orgChart1"/>
    <dgm:cxn modelId="{15041E4B-5668-49E0-85F6-6C0A7679731D}" type="presOf" srcId="{584F1F94-2AAD-41C8-B664-47DFEF086687}" destId="{29BB7E4A-0A07-4E0B-8540-65E9B9247C3C}" srcOrd="1" destOrd="0" presId="urn:microsoft.com/office/officeart/2005/8/layout/orgChart1"/>
    <dgm:cxn modelId="{BD12B46C-DC5B-4664-B0C7-31AF5894CB6D}" type="presOf" srcId="{8DE11AB5-8C0C-4A93-AF90-B28A1FAC00CA}" destId="{E80BF98B-22A9-4D89-8DFC-160BB7B90CBD}" srcOrd="1" destOrd="0" presId="urn:microsoft.com/office/officeart/2005/8/layout/orgChart1"/>
    <dgm:cxn modelId="{048EC56D-08E4-4AEE-A6EA-128BD458BFC8}" type="presOf" srcId="{401FCD4D-1EA4-4E21-BFE5-51756B0C831A}" destId="{BE1ED92E-E3E7-4990-9D1E-981B0FA6BB3C}" srcOrd="0" destOrd="0" presId="urn:microsoft.com/office/officeart/2005/8/layout/orgChart1"/>
    <dgm:cxn modelId="{5AC9A76F-E961-4E64-B570-3E26BD773426}" type="presOf" srcId="{B3E4A416-CFD8-452F-8591-FC656D8D625D}" destId="{60A822E5-6C22-4DED-B5F9-927AA5726658}" srcOrd="1" destOrd="0" presId="urn:microsoft.com/office/officeart/2005/8/layout/orgChart1"/>
    <dgm:cxn modelId="{B255F96F-14D4-421C-8ACC-A5E3F2B75B62}" srcId="{6BBA2480-B995-4A5E-AC78-1BCD9AE1C23E}" destId="{D436EC58-1A31-484D-AD13-CDC53B31642E}" srcOrd="0" destOrd="0" parTransId="{D8C9CB07-76AE-4A0F-BA1D-5294FE72481F}" sibTransId="{8A3AD368-03D1-451B-8467-A4490C28505D}"/>
    <dgm:cxn modelId="{EAA93A71-63E7-4F8E-A5C2-EAFA83C4319E}" srcId="{43001946-DECC-4985-BEF9-92F5FBD6609E}" destId="{7F4FFD83-F824-4515-BBD1-5EEDF6A52DC6}" srcOrd="1" destOrd="0" parTransId="{CB27E11F-9B0A-42DD-9D3E-36588D6C5827}" sibTransId="{2B719D4C-D70F-4D25-BB96-602C7C5BA2DF}"/>
    <dgm:cxn modelId="{F786B952-C3CA-46D0-9DA2-4795DB7B4C7C}" type="presOf" srcId="{CB27E11F-9B0A-42DD-9D3E-36588D6C5827}" destId="{F382A476-71C7-4594-9840-B805CFB76132}" srcOrd="0" destOrd="0" presId="urn:microsoft.com/office/officeart/2005/8/layout/orgChart1"/>
    <dgm:cxn modelId="{0C492B73-E9AB-49F5-AE70-0E7067B5859D}" srcId="{01B344C7-E6CF-432D-9FC0-B79F64A5F007}" destId="{8DE11AB5-8C0C-4A93-AF90-B28A1FAC00CA}" srcOrd="1" destOrd="0" parTransId="{D3A1D506-F4AD-4659-81F1-4D2A734AF89C}" sibTransId="{60F2554C-33F4-46D3-9645-5BEE2EE04541}"/>
    <dgm:cxn modelId="{86D06074-29BB-4FE4-B53B-4E2028C58425}" srcId="{01B344C7-E6CF-432D-9FC0-B79F64A5F007}" destId="{43001946-DECC-4985-BEF9-92F5FBD6609E}" srcOrd="2" destOrd="0" parTransId="{CE2A20CE-DE8D-4118-855C-8235D6289053}" sibTransId="{AA3BD525-FFDC-4BB2-8576-9D60D29E5CE3}"/>
    <dgm:cxn modelId="{55B0BC74-0C03-45D3-80A7-D7ECC4AA641C}" type="presOf" srcId="{DCB9E1E5-0411-44E9-B3A9-08A47C29FBB3}" destId="{457B47B2-CD1E-4229-8AC5-DAEC17056EF7}" srcOrd="0" destOrd="0" presId="urn:microsoft.com/office/officeart/2005/8/layout/orgChart1"/>
    <dgm:cxn modelId="{2D9E9E75-8AC5-4D2D-B319-7392F03EDA9A}" type="presOf" srcId="{D3A1D506-F4AD-4659-81F1-4D2A734AF89C}" destId="{3C8454BE-4718-4AA1-8263-3F4DCBB8A259}" srcOrd="0" destOrd="0" presId="urn:microsoft.com/office/officeart/2005/8/layout/orgChart1"/>
    <dgm:cxn modelId="{2C9F4058-35D0-469E-9085-70F08CCDC141}" type="presOf" srcId="{7F4FFD83-F824-4515-BBD1-5EEDF6A52DC6}" destId="{19E5BD61-D180-43F1-8B38-0854E2C5CEAA}" srcOrd="0" destOrd="0" presId="urn:microsoft.com/office/officeart/2005/8/layout/orgChart1"/>
    <dgm:cxn modelId="{FCF2F07C-2AA8-4BAC-834F-B45C15F12AC8}" type="presOf" srcId="{48C1277B-B5A3-4DD9-B516-4B186B350C24}" destId="{56EA0BA7-16A8-465A-BB8F-8C9F44B0588F}" srcOrd="0" destOrd="0" presId="urn:microsoft.com/office/officeart/2005/8/layout/orgChart1"/>
    <dgm:cxn modelId="{4D21E080-EF16-4535-B3D2-8DDCD8EFE0B9}" type="presOf" srcId="{E076E3C1-540F-4597-8675-C0467861D6E2}" destId="{BC8B647A-5FDC-4531-BB70-7CD023684A91}" srcOrd="0" destOrd="0" presId="urn:microsoft.com/office/officeart/2005/8/layout/orgChart1"/>
    <dgm:cxn modelId="{089ABE86-FFEF-4749-A058-7295FBFAAD83}" type="presOf" srcId="{D8C9CB07-76AE-4A0F-BA1D-5294FE72481F}" destId="{E83F464E-2070-4B3A-97CD-56F24BD0854A}" srcOrd="0" destOrd="0" presId="urn:microsoft.com/office/officeart/2005/8/layout/orgChart1"/>
    <dgm:cxn modelId="{EEAF2C87-430C-42CC-84FE-3D202B1FBF68}" type="presOf" srcId="{3A7AF5DA-0DD0-4B28-91FA-72362C3B76FC}" destId="{80581FEA-F8CD-4A86-9B16-A4043DBBCA09}" srcOrd="0" destOrd="0" presId="urn:microsoft.com/office/officeart/2005/8/layout/orgChart1"/>
    <dgm:cxn modelId="{3F29088A-0EF0-4F58-9FAB-EDB4EA85374A}" srcId="{8DE11AB5-8C0C-4A93-AF90-B28A1FAC00CA}" destId="{401FCD4D-1EA4-4E21-BFE5-51756B0C831A}" srcOrd="3" destOrd="0" parTransId="{5FAF258F-90C8-4B4C-A512-4352EDEE571C}" sibTransId="{4D3E8422-7C12-4C59-B1BC-8D6AEFD4C38F}"/>
    <dgm:cxn modelId="{F561668E-6963-4812-8377-9B9CF61E9E05}" srcId="{CA40EA3E-0D74-4B5D-8889-FBBD8F9E6EA2}" destId="{EEF32661-24B6-4E92-B410-FB58807929DD}" srcOrd="3" destOrd="0" parTransId="{8C98F6B0-2440-4DAA-9EC5-B295D9C82943}" sibTransId="{BD33B308-BB91-452E-93FF-A1B3F7FDA263}"/>
    <dgm:cxn modelId="{6B824C8F-32C9-479F-97CB-744049215B1B}" type="presOf" srcId="{43F4DD25-9FE9-45D4-8EF5-4377A0990473}" destId="{08EF4037-975C-4902-BD02-0DB8C6EF9E76}" srcOrd="0" destOrd="0" presId="urn:microsoft.com/office/officeart/2005/8/layout/orgChart1"/>
    <dgm:cxn modelId="{A2CD3B97-C152-4992-B38D-BA0A2988A5C2}" type="presOf" srcId="{3A7AF5DA-0DD0-4B28-91FA-72362C3B76FC}" destId="{86BA712A-1072-4E4D-A580-80865D97FF66}" srcOrd="1" destOrd="0" presId="urn:microsoft.com/office/officeart/2005/8/layout/orgChart1"/>
    <dgm:cxn modelId="{816EC497-FD1D-4F06-BCB1-9AA43E641A89}" type="presOf" srcId="{1D9A6B18-4EE1-465E-AEEA-5B45D418B6F3}" destId="{91069D8A-E22E-4C27-AFAA-42C5459BF8EC}" srcOrd="0" destOrd="0" presId="urn:microsoft.com/office/officeart/2005/8/layout/orgChart1"/>
    <dgm:cxn modelId="{91B4729B-0F32-4B02-9676-7A9FFE70EEF6}" type="presOf" srcId="{8C98F6B0-2440-4DAA-9EC5-B295D9C82943}" destId="{E16A17D7-F643-4504-9517-FF63F3E21A0E}" srcOrd="0" destOrd="0" presId="urn:microsoft.com/office/officeart/2005/8/layout/orgChart1"/>
    <dgm:cxn modelId="{9F06219C-23DB-4D18-A47D-60B9D8DA6A54}" type="presOf" srcId="{43001946-DECC-4985-BEF9-92F5FBD6609E}" destId="{C9844760-B122-4D18-BEDE-17C3F2B22A7E}" srcOrd="0" destOrd="0" presId="urn:microsoft.com/office/officeart/2005/8/layout/orgChart1"/>
    <dgm:cxn modelId="{74E7DF9D-865E-4ABC-812A-9415C685CC13}" type="presOf" srcId="{36FCC6BA-5C1C-43BA-AEA8-D3589AAE1359}" destId="{04C313F0-1227-476E-82B6-56DBE6FBC64B}" srcOrd="0" destOrd="0" presId="urn:microsoft.com/office/officeart/2005/8/layout/orgChart1"/>
    <dgm:cxn modelId="{B17144A2-CA9C-44D1-9CA7-21CE4C20C10F}" type="presOf" srcId="{B3E4A416-CFD8-452F-8591-FC656D8D625D}" destId="{0DDC8D4A-C3B3-419A-AC4D-65613EF2DA67}" srcOrd="0" destOrd="0" presId="urn:microsoft.com/office/officeart/2005/8/layout/orgChart1"/>
    <dgm:cxn modelId="{C27B5AA2-C918-4EB1-854C-E64AE1C1A2CB}" srcId="{8DE11AB5-8C0C-4A93-AF90-B28A1FAC00CA}" destId="{584F1F94-2AAD-41C8-B664-47DFEF086687}" srcOrd="0" destOrd="0" parTransId="{FFED0993-DBE7-4D5E-A804-6AF71E499C47}" sibTransId="{63C40335-E65E-48DF-8FFA-78DAEC58E451}"/>
    <dgm:cxn modelId="{F8439DA8-B27F-4F1F-B838-B6172A001EC2}" type="presOf" srcId="{5FAF258F-90C8-4B4C-A512-4352EDEE571C}" destId="{6C098698-DC68-4EA4-9648-5EC996BEFC9A}" srcOrd="0" destOrd="0" presId="urn:microsoft.com/office/officeart/2005/8/layout/orgChart1"/>
    <dgm:cxn modelId="{E0F326AA-857F-4C46-9335-89C5D1AE7753}" type="presOf" srcId="{CA40EA3E-0D74-4B5D-8889-FBBD8F9E6EA2}" destId="{6A65E4F3-C126-4E5D-A11C-193507202729}" srcOrd="1" destOrd="0" presId="urn:microsoft.com/office/officeart/2005/8/layout/orgChart1"/>
    <dgm:cxn modelId="{20C58AAA-4486-49E2-A20A-15D315A0E80E}" srcId="{CA40EA3E-0D74-4B5D-8889-FBBD8F9E6EA2}" destId="{F1D7584F-0952-4C16-BCDA-5654A3553724}" srcOrd="0" destOrd="0" parTransId="{5BF70684-093C-4660-AD1E-988F9F5ACD64}" sibTransId="{8A00B2FD-0990-40FE-B928-9927A7D3229A}"/>
    <dgm:cxn modelId="{91ADF9AB-FC22-4104-B110-0ED2EBD01D37}" type="presOf" srcId="{15569EDB-C888-49F5-8808-4519AE650633}" destId="{8D6502EA-9468-4E57-90B7-2E107A513201}" srcOrd="0" destOrd="0" presId="urn:microsoft.com/office/officeart/2005/8/layout/orgChart1"/>
    <dgm:cxn modelId="{3D6CECAF-6699-47E9-98B0-695C7648FB8B}" type="presOf" srcId="{A47C9F7E-96B3-4739-AA53-8DD9CA03DDC6}" destId="{964BB57E-A2BB-4585-8A83-3C9DEC3EAD66}" srcOrd="0" destOrd="0" presId="urn:microsoft.com/office/officeart/2005/8/layout/orgChart1"/>
    <dgm:cxn modelId="{96D517B4-7F2B-4163-93EB-89A324E1F1BE}" type="presOf" srcId="{7B1299AB-191B-4C3D-A57D-1CA904DA3AE4}" destId="{893B02FD-0103-4C94-82F1-660A332C0E59}" srcOrd="1" destOrd="0" presId="urn:microsoft.com/office/officeart/2005/8/layout/orgChart1"/>
    <dgm:cxn modelId="{26CBCBB6-88FC-4B56-9FB4-B8BC4441584E}" type="presOf" srcId="{3A986F4B-DDF9-4547-9581-158DC4941D71}" destId="{0260FB94-ED9E-4814-ACF9-5D8F92452F31}" srcOrd="0" destOrd="0" presId="urn:microsoft.com/office/officeart/2005/8/layout/orgChart1"/>
    <dgm:cxn modelId="{465252C9-6CCB-449A-9A1E-D842936A80D9}" type="presOf" srcId="{01B344C7-E6CF-432D-9FC0-B79F64A5F007}" destId="{E1B3F6D0-D395-40DD-AA37-B5C5823A29E9}" srcOrd="1" destOrd="0" presId="urn:microsoft.com/office/officeart/2005/8/layout/orgChart1"/>
    <dgm:cxn modelId="{B801E8CA-9153-4E45-87A0-8A90BA2BE26F}" type="presOf" srcId="{401FCD4D-1EA4-4E21-BFE5-51756B0C831A}" destId="{9B78DF39-05AE-478A-A358-F22252C69F61}" srcOrd="1" destOrd="0" presId="urn:microsoft.com/office/officeart/2005/8/layout/orgChart1"/>
    <dgm:cxn modelId="{2268E2CB-F849-476A-9F2E-4E649418D35A}" type="presOf" srcId="{C9DA1C01-1082-4862-AFC6-00D2640A37EC}" destId="{6291A767-DE77-4592-9FE3-012322644C64}" srcOrd="1" destOrd="0" presId="urn:microsoft.com/office/officeart/2005/8/layout/orgChart1"/>
    <dgm:cxn modelId="{AD14A9CE-7700-4C5A-8B2C-F95D189FC3E3}" type="presOf" srcId="{6BBA2480-B995-4A5E-AC78-1BCD9AE1C23E}" destId="{FF67D1E8-8321-491D-BD03-548767C8EE01}" srcOrd="1" destOrd="0" presId="urn:microsoft.com/office/officeart/2005/8/layout/orgChart1"/>
    <dgm:cxn modelId="{E40EB2D2-6487-43F9-B099-0F6CEA7ACDF7}" type="presOf" srcId="{1B59CC90-1EF2-4C49-A45C-DDF7736EB69C}" destId="{18A78CF6-9780-4F1F-BDE3-E692D605707D}" srcOrd="1" destOrd="0" presId="urn:microsoft.com/office/officeart/2005/8/layout/orgChart1"/>
    <dgm:cxn modelId="{4EF641D7-559F-4F50-9C70-B88987CBAA06}" srcId="{8DE11AB5-8C0C-4A93-AF90-B28A1FAC00CA}" destId="{7B1299AB-191B-4C3D-A57D-1CA904DA3AE4}" srcOrd="5" destOrd="0" parTransId="{A7CA6E11-EDDB-43CA-967E-7A1776B5504D}" sibTransId="{C77B409D-B2B6-4FF7-9BB0-D1DAF077FCA2}"/>
    <dgm:cxn modelId="{AED12CD9-9013-4EF0-96AE-0CDE9869724E}" type="presOf" srcId="{FFED0993-DBE7-4D5E-A804-6AF71E499C47}" destId="{C642333D-15BA-4C2C-8ED5-E6F1BC5D9EE5}" srcOrd="0" destOrd="0" presId="urn:microsoft.com/office/officeart/2005/8/layout/orgChart1"/>
    <dgm:cxn modelId="{BD2AFED9-CC0B-420E-B831-0B85B2398CA5}" srcId="{36FCC6BA-5C1C-43BA-AEA8-D3589AAE1359}" destId="{B3E4A416-CFD8-452F-8591-FC656D8D625D}" srcOrd="2" destOrd="0" parTransId="{E076E3C1-540F-4597-8675-C0467861D6E2}" sibTransId="{C95517B5-508E-4916-914E-653088737067}"/>
    <dgm:cxn modelId="{67B55DDB-70E1-41E6-A412-016FA48F74D7}" type="presOf" srcId="{A890EBEC-4DCB-46F5-A71A-C3B67DAD6B60}" destId="{9ADE27D0-2761-4C52-B60E-F7C2BE7CF3DC}" srcOrd="0" destOrd="0" presId="urn:microsoft.com/office/officeart/2005/8/layout/orgChart1"/>
    <dgm:cxn modelId="{4D5AE5DB-7D32-4729-8017-C86DA61B973F}" type="presOf" srcId="{C9DA1C01-1082-4862-AFC6-00D2640A37EC}" destId="{98132576-FA7B-44CC-AB92-A57E374ED2DF}" srcOrd="0" destOrd="0" presId="urn:microsoft.com/office/officeart/2005/8/layout/orgChart1"/>
    <dgm:cxn modelId="{08EFBEDD-9A0A-4339-A3D4-340518736E06}" type="presOf" srcId="{5319D135-061F-46BD-B518-46B8688F201D}" destId="{A80E50AC-07E5-4A73-A1AF-0B991D9BE118}" srcOrd="0" destOrd="0" presId="urn:microsoft.com/office/officeart/2005/8/layout/orgChart1"/>
    <dgm:cxn modelId="{D1E548E1-918F-4320-9821-A6EA5E7911C9}" srcId="{36FCC6BA-5C1C-43BA-AEA8-D3589AAE1359}" destId="{DCB9E1E5-0411-44E9-B3A9-08A47C29FBB3}" srcOrd="0" destOrd="0" parTransId="{43F4DD25-9FE9-45D4-8EF5-4377A0990473}" sibTransId="{5206898B-C7B6-4E16-8608-FB780A86B877}"/>
    <dgm:cxn modelId="{D65B2EE4-C372-45BA-A498-263DE61F8A26}" type="presOf" srcId="{531F1DC3-92D1-4897-992A-E5FE7062CE31}" destId="{52715AA4-DE0D-40A8-BBF0-C69BC99D165F}" srcOrd="1" destOrd="0" presId="urn:microsoft.com/office/officeart/2005/8/layout/orgChart1"/>
    <dgm:cxn modelId="{7B79B3F0-C049-4EB1-BC9E-C3792B5BBD30}" srcId="{01B344C7-E6CF-432D-9FC0-B79F64A5F007}" destId="{36FCC6BA-5C1C-43BA-AEA8-D3589AAE1359}" srcOrd="3" destOrd="0" parTransId="{B54EB18A-E7D1-4663-90F1-5E768450B2D6}" sibTransId="{EC81E40A-FB9E-4052-955F-3F6A25D0B949}"/>
    <dgm:cxn modelId="{A1114DF2-3DD5-45D6-A4D4-819D4C4B0D77}" type="presOf" srcId="{A890EBEC-4DCB-46F5-A71A-C3B67DAD6B60}" destId="{E6720D88-FC16-484A-A25E-05BF9667CB59}" srcOrd="1" destOrd="0" presId="urn:microsoft.com/office/officeart/2005/8/layout/orgChart1"/>
    <dgm:cxn modelId="{9B1EB1F6-A41A-4A4A-A706-38A6BC4A1A63}" type="presOf" srcId="{CE2A20CE-DE8D-4118-855C-8235D6289053}" destId="{AD7DD0B4-FC3F-42A7-B3FA-51753FF557B1}" srcOrd="0" destOrd="0" presId="urn:microsoft.com/office/officeart/2005/8/layout/orgChart1"/>
    <dgm:cxn modelId="{713864F7-268B-43FE-AB98-3F0E732A7E7F}" type="presOf" srcId="{5669B897-C902-40A3-92B8-E840EBDC694F}" destId="{713F840F-F496-4624-B3EF-9B73519D2CE0}" srcOrd="0" destOrd="0" presId="urn:microsoft.com/office/officeart/2005/8/layout/orgChart1"/>
    <dgm:cxn modelId="{F4985AF9-82CC-46CA-A3B8-958E58991385}" type="presOf" srcId="{D436EC58-1A31-484D-AD13-CDC53B31642E}" destId="{8FD96BF7-755E-406E-B44E-FCA7985C3712}" srcOrd="1" destOrd="0" presId="urn:microsoft.com/office/officeart/2005/8/layout/orgChart1"/>
    <dgm:cxn modelId="{2D18B8FF-D702-4378-A124-A8F122DD3DA2}" type="presOf" srcId="{6A52C33B-3EBE-4781-9810-AA8B293D82AF}" destId="{860BECAF-D8FF-4EE5-B106-9263DB6DC2D6}" srcOrd="0" destOrd="0" presId="urn:microsoft.com/office/officeart/2005/8/layout/orgChart1"/>
    <dgm:cxn modelId="{0CD3471A-EBFB-4835-B948-627F8300B2EB}" type="presParOf" srcId="{8D6502EA-9468-4E57-90B7-2E107A513201}" destId="{17682E47-A7C2-454D-A78F-5CD47965DB83}" srcOrd="0" destOrd="0" presId="urn:microsoft.com/office/officeart/2005/8/layout/orgChart1"/>
    <dgm:cxn modelId="{78AF47B6-6694-45C9-988F-FEF0EADCED16}" type="presParOf" srcId="{17682E47-A7C2-454D-A78F-5CD47965DB83}" destId="{B8523DDA-9E9C-4222-B91D-403A15401454}" srcOrd="0" destOrd="0" presId="urn:microsoft.com/office/officeart/2005/8/layout/orgChart1"/>
    <dgm:cxn modelId="{B1D16E82-CD7B-4206-A6AA-7726F6C610EC}" type="presParOf" srcId="{B8523DDA-9E9C-4222-B91D-403A15401454}" destId="{37D08529-23AA-4347-A054-2BA8C38DAD30}" srcOrd="0" destOrd="0" presId="urn:microsoft.com/office/officeart/2005/8/layout/orgChart1"/>
    <dgm:cxn modelId="{37213448-5096-47CD-88F3-ABE87D3D6A8D}" type="presParOf" srcId="{B8523DDA-9E9C-4222-B91D-403A15401454}" destId="{E1B3F6D0-D395-40DD-AA37-B5C5823A29E9}" srcOrd="1" destOrd="0" presId="urn:microsoft.com/office/officeart/2005/8/layout/orgChart1"/>
    <dgm:cxn modelId="{E63B760B-F23A-4EF0-9587-892A93298906}" type="presParOf" srcId="{17682E47-A7C2-454D-A78F-5CD47965DB83}" destId="{BF471561-40D9-4B7B-A36C-D7545CBDD825}" srcOrd="1" destOrd="0" presId="urn:microsoft.com/office/officeart/2005/8/layout/orgChart1"/>
    <dgm:cxn modelId="{DC2CAC9C-20C8-45FC-8317-A8115B38A6E3}" type="presParOf" srcId="{BF471561-40D9-4B7B-A36C-D7545CBDD825}" destId="{964BB57E-A2BB-4585-8A83-3C9DEC3EAD66}" srcOrd="0" destOrd="0" presId="urn:microsoft.com/office/officeart/2005/8/layout/orgChart1"/>
    <dgm:cxn modelId="{3AF88FF4-7BBA-4DCD-B1BC-80DF49D9A5B3}" type="presParOf" srcId="{BF471561-40D9-4B7B-A36C-D7545CBDD825}" destId="{804BE88C-4850-49FB-8423-9801C53EB59C}" srcOrd="1" destOrd="0" presId="urn:microsoft.com/office/officeart/2005/8/layout/orgChart1"/>
    <dgm:cxn modelId="{2FCDCE32-DC60-4490-A26B-63024C8EB4CA}" type="presParOf" srcId="{804BE88C-4850-49FB-8423-9801C53EB59C}" destId="{33FCA21B-29A0-4253-8B1D-10124C0AAD00}" srcOrd="0" destOrd="0" presId="urn:microsoft.com/office/officeart/2005/8/layout/orgChart1"/>
    <dgm:cxn modelId="{6317F14D-D57A-42DE-B22A-2C7F64AA4CEB}" type="presParOf" srcId="{33FCA21B-29A0-4253-8B1D-10124C0AAD00}" destId="{5095CFCE-4ECE-49BE-B5B8-132A2A21F956}" srcOrd="0" destOrd="0" presId="urn:microsoft.com/office/officeart/2005/8/layout/orgChart1"/>
    <dgm:cxn modelId="{B5CB1EA3-6A6F-4970-834A-0829F1B44143}" type="presParOf" srcId="{33FCA21B-29A0-4253-8B1D-10124C0AAD00}" destId="{6A65E4F3-C126-4E5D-A11C-193507202729}" srcOrd="1" destOrd="0" presId="urn:microsoft.com/office/officeart/2005/8/layout/orgChart1"/>
    <dgm:cxn modelId="{A28F4477-EEB5-45B4-88F9-9EE60F3E783D}" type="presParOf" srcId="{804BE88C-4850-49FB-8423-9801C53EB59C}" destId="{E60ED394-7B08-4610-9E15-B473CA431E60}" srcOrd="1" destOrd="0" presId="urn:microsoft.com/office/officeart/2005/8/layout/orgChart1"/>
    <dgm:cxn modelId="{03ADB991-A444-438C-A426-51A6E5EC1FB6}" type="presParOf" srcId="{E60ED394-7B08-4610-9E15-B473CA431E60}" destId="{9832765A-225B-43F6-8BAD-D806E5333F4C}" srcOrd="0" destOrd="0" presId="urn:microsoft.com/office/officeart/2005/8/layout/orgChart1"/>
    <dgm:cxn modelId="{67A2A977-3522-4BA4-8989-366B78FE4182}" type="presParOf" srcId="{E60ED394-7B08-4610-9E15-B473CA431E60}" destId="{4654259B-1BAE-4C5F-B4F2-630D989BE5B3}" srcOrd="1" destOrd="0" presId="urn:microsoft.com/office/officeart/2005/8/layout/orgChart1"/>
    <dgm:cxn modelId="{25D51F53-41B5-417B-80D7-EAD1711263FD}" type="presParOf" srcId="{4654259B-1BAE-4C5F-B4F2-630D989BE5B3}" destId="{EC43CC9A-2191-49BA-AD57-DE26786BD63E}" srcOrd="0" destOrd="0" presId="urn:microsoft.com/office/officeart/2005/8/layout/orgChart1"/>
    <dgm:cxn modelId="{43D8055E-61CD-4047-8BD5-59B04DC5D2C4}" type="presParOf" srcId="{EC43CC9A-2191-49BA-AD57-DE26786BD63E}" destId="{D5BEFF4A-20FA-49CB-A751-2AB209A550D4}" srcOrd="0" destOrd="0" presId="urn:microsoft.com/office/officeart/2005/8/layout/orgChart1"/>
    <dgm:cxn modelId="{9F62A8CB-3E57-4E2E-9774-E0FC9A0A715D}" type="presParOf" srcId="{EC43CC9A-2191-49BA-AD57-DE26786BD63E}" destId="{E46D3EE5-0118-420F-9959-09F12CB70A2D}" srcOrd="1" destOrd="0" presId="urn:microsoft.com/office/officeart/2005/8/layout/orgChart1"/>
    <dgm:cxn modelId="{07BF3141-53B5-4653-BDB6-E8DE3D8317C1}" type="presParOf" srcId="{4654259B-1BAE-4C5F-B4F2-630D989BE5B3}" destId="{50AEDCDF-822F-47AF-A8D5-40D03BD0285F}" srcOrd="1" destOrd="0" presId="urn:microsoft.com/office/officeart/2005/8/layout/orgChart1"/>
    <dgm:cxn modelId="{77BC77AA-1458-40C5-9511-CA1F84C8C7B6}" type="presParOf" srcId="{4654259B-1BAE-4C5F-B4F2-630D989BE5B3}" destId="{EFB2EC83-55E9-40FE-A8D1-2BEA80CA6F7F}" srcOrd="2" destOrd="0" presId="urn:microsoft.com/office/officeart/2005/8/layout/orgChart1"/>
    <dgm:cxn modelId="{AA93960E-3AE4-4418-8FAE-05A655B4172B}" type="presParOf" srcId="{E60ED394-7B08-4610-9E15-B473CA431E60}" destId="{713F840F-F496-4624-B3EF-9B73519D2CE0}" srcOrd="2" destOrd="0" presId="urn:microsoft.com/office/officeart/2005/8/layout/orgChart1"/>
    <dgm:cxn modelId="{B4F7E8ED-1EDB-489A-B72A-FEE24AEE3EAD}" type="presParOf" srcId="{E60ED394-7B08-4610-9E15-B473CA431E60}" destId="{07F415F7-D946-47E8-8C77-35300DBC575F}" srcOrd="3" destOrd="0" presId="urn:microsoft.com/office/officeart/2005/8/layout/orgChart1"/>
    <dgm:cxn modelId="{84613963-B231-45D6-B543-F7C4CA957C7D}" type="presParOf" srcId="{07F415F7-D946-47E8-8C77-35300DBC575F}" destId="{DD4781B9-AF94-4E7B-948B-23657A6E7FAF}" srcOrd="0" destOrd="0" presId="urn:microsoft.com/office/officeart/2005/8/layout/orgChart1"/>
    <dgm:cxn modelId="{53FCFBD8-C2E6-48E1-B59B-96279C15E7B9}" type="presParOf" srcId="{DD4781B9-AF94-4E7B-948B-23657A6E7FAF}" destId="{ECCCFCAC-4713-4D88-BCC7-B341FBD3BBB5}" srcOrd="0" destOrd="0" presId="urn:microsoft.com/office/officeart/2005/8/layout/orgChart1"/>
    <dgm:cxn modelId="{E934E90D-E59B-4622-944F-579340F66562}" type="presParOf" srcId="{DD4781B9-AF94-4E7B-948B-23657A6E7FAF}" destId="{52715AA4-DE0D-40A8-BBF0-C69BC99D165F}" srcOrd="1" destOrd="0" presId="urn:microsoft.com/office/officeart/2005/8/layout/orgChart1"/>
    <dgm:cxn modelId="{6D82D780-912D-4293-9F17-C0BDA0F62055}" type="presParOf" srcId="{07F415F7-D946-47E8-8C77-35300DBC575F}" destId="{0AE55C20-DF3F-49D5-9CBC-CD9254D7152F}" srcOrd="1" destOrd="0" presId="urn:microsoft.com/office/officeart/2005/8/layout/orgChart1"/>
    <dgm:cxn modelId="{4615832A-500B-4CC2-8F41-11CB90439B24}" type="presParOf" srcId="{07F415F7-D946-47E8-8C77-35300DBC575F}" destId="{2904F90A-CDC2-400C-B3E4-8AAAA4D61EB1}" srcOrd="2" destOrd="0" presId="urn:microsoft.com/office/officeart/2005/8/layout/orgChart1"/>
    <dgm:cxn modelId="{FD9FD7CF-911A-44F9-9D22-3D7E258E843B}" type="presParOf" srcId="{E60ED394-7B08-4610-9E15-B473CA431E60}" destId="{91D5627C-7B52-41FC-AFF1-19FC8813BF9C}" srcOrd="4" destOrd="0" presId="urn:microsoft.com/office/officeart/2005/8/layout/orgChart1"/>
    <dgm:cxn modelId="{4DD99194-0771-4B70-8B62-1DF84C2D4768}" type="presParOf" srcId="{E60ED394-7B08-4610-9E15-B473CA431E60}" destId="{296EA095-84AB-4ED5-B5E3-F70B0F2AFBCB}" srcOrd="5" destOrd="0" presId="urn:microsoft.com/office/officeart/2005/8/layout/orgChart1"/>
    <dgm:cxn modelId="{9B02B764-113C-4C07-93B8-1C0CD1922403}" type="presParOf" srcId="{296EA095-84AB-4ED5-B5E3-F70B0F2AFBCB}" destId="{1F12E384-5520-4300-951B-43EE7456D24B}" srcOrd="0" destOrd="0" presId="urn:microsoft.com/office/officeart/2005/8/layout/orgChart1"/>
    <dgm:cxn modelId="{40333D29-D19F-4813-ACDA-24A5EEC80410}" type="presParOf" srcId="{1F12E384-5520-4300-951B-43EE7456D24B}" destId="{FE1E9AB5-ED4A-43FB-958D-14AE7A77731C}" srcOrd="0" destOrd="0" presId="urn:microsoft.com/office/officeart/2005/8/layout/orgChart1"/>
    <dgm:cxn modelId="{11AD2DB7-25D8-40D9-A823-0B7BA84F4A12}" type="presParOf" srcId="{1F12E384-5520-4300-951B-43EE7456D24B}" destId="{0DAD328C-5A1B-46DE-A03F-59EA02AA8601}" srcOrd="1" destOrd="0" presId="urn:microsoft.com/office/officeart/2005/8/layout/orgChart1"/>
    <dgm:cxn modelId="{E3A9051A-377F-44CF-B605-27392339C4D3}" type="presParOf" srcId="{296EA095-84AB-4ED5-B5E3-F70B0F2AFBCB}" destId="{1B5DFA23-03C0-4532-A298-75F60E09EBBE}" srcOrd="1" destOrd="0" presId="urn:microsoft.com/office/officeart/2005/8/layout/orgChart1"/>
    <dgm:cxn modelId="{BADAFAAC-348F-4C8A-89F4-6C595D8E4B81}" type="presParOf" srcId="{296EA095-84AB-4ED5-B5E3-F70B0F2AFBCB}" destId="{87DB3EA0-0404-47BB-9042-5EDB3D262C3F}" srcOrd="2" destOrd="0" presId="urn:microsoft.com/office/officeart/2005/8/layout/orgChart1"/>
    <dgm:cxn modelId="{D4544F47-B206-4EE9-9F4C-C3035C49D598}" type="presParOf" srcId="{E60ED394-7B08-4610-9E15-B473CA431E60}" destId="{E16A17D7-F643-4504-9517-FF63F3E21A0E}" srcOrd="6" destOrd="0" presId="urn:microsoft.com/office/officeart/2005/8/layout/orgChart1"/>
    <dgm:cxn modelId="{5E4844C6-AAC6-4970-9368-8C68990920B9}" type="presParOf" srcId="{E60ED394-7B08-4610-9E15-B473CA431E60}" destId="{B58711C6-238E-4D65-AAC1-E6C0C47B2887}" srcOrd="7" destOrd="0" presId="urn:microsoft.com/office/officeart/2005/8/layout/orgChart1"/>
    <dgm:cxn modelId="{9892FB66-F96B-4805-A150-FE211B3C3282}" type="presParOf" srcId="{B58711C6-238E-4D65-AAC1-E6C0C47B2887}" destId="{F456EED2-D648-43E8-B155-FCEBAEF8B4B3}" srcOrd="0" destOrd="0" presId="urn:microsoft.com/office/officeart/2005/8/layout/orgChart1"/>
    <dgm:cxn modelId="{B3F8E1AC-B924-48A0-AC65-F92B4B1FBCD8}" type="presParOf" srcId="{F456EED2-D648-43E8-B155-FCEBAEF8B4B3}" destId="{89D80571-492D-47DB-BC22-BCAEB7C94EEF}" srcOrd="0" destOrd="0" presId="urn:microsoft.com/office/officeart/2005/8/layout/orgChart1"/>
    <dgm:cxn modelId="{6D6CB5DE-8E3C-466D-95A0-091AD85FE0A0}" type="presParOf" srcId="{F456EED2-D648-43E8-B155-FCEBAEF8B4B3}" destId="{331887D6-94D0-4265-890B-885598708DB1}" srcOrd="1" destOrd="0" presId="urn:microsoft.com/office/officeart/2005/8/layout/orgChart1"/>
    <dgm:cxn modelId="{2A478D7A-253E-4295-A5FF-6B6BEE0521B0}" type="presParOf" srcId="{B58711C6-238E-4D65-AAC1-E6C0C47B2887}" destId="{B981CCEE-DBDE-45E1-9171-4BDEA3021A47}" srcOrd="1" destOrd="0" presId="urn:microsoft.com/office/officeart/2005/8/layout/orgChart1"/>
    <dgm:cxn modelId="{01CBE579-B300-4782-ABB5-5F83E0C24239}" type="presParOf" srcId="{B58711C6-238E-4D65-AAC1-E6C0C47B2887}" destId="{CB09FE3A-0DD2-4C7A-A9A8-7CAAEBE169AE}" srcOrd="2" destOrd="0" presId="urn:microsoft.com/office/officeart/2005/8/layout/orgChart1"/>
    <dgm:cxn modelId="{FA0F5C2A-E84A-4FFF-B77A-E7ED5B028051}" type="presParOf" srcId="{804BE88C-4850-49FB-8423-9801C53EB59C}" destId="{77B22393-4C3B-44D8-80F7-CF1B02E18131}" srcOrd="2" destOrd="0" presId="urn:microsoft.com/office/officeart/2005/8/layout/orgChart1"/>
    <dgm:cxn modelId="{7EEF17BF-47D5-48D9-AD88-80A78046FEA2}" type="presParOf" srcId="{BF471561-40D9-4B7B-A36C-D7545CBDD825}" destId="{3C8454BE-4718-4AA1-8263-3F4DCBB8A259}" srcOrd="2" destOrd="0" presId="urn:microsoft.com/office/officeart/2005/8/layout/orgChart1"/>
    <dgm:cxn modelId="{E9E80E42-3F2F-4E0A-837B-CAD6A882B6B1}" type="presParOf" srcId="{BF471561-40D9-4B7B-A36C-D7545CBDD825}" destId="{D427A9A7-1127-4E86-AFA2-9D77D35EFEE5}" srcOrd="3" destOrd="0" presId="urn:microsoft.com/office/officeart/2005/8/layout/orgChart1"/>
    <dgm:cxn modelId="{782F21F6-F6C8-4D6D-ADA0-7C24C16D86FA}" type="presParOf" srcId="{D427A9A7-1127-4E86-AFA2-9D77D35EFEE5}" destId="{55048EA0-E040-48AA-B161-895F8FD21EAB}" srcOrd="0" destOrd="0" presId="urn:microsoft.com/office/officeart/2005/8/layout/orgChart1"/>
    <dgm:cxn modelId="{AC1CB628-2EF2-4198-8C59-DE66EEBB8ED7}" type="presParOf" srcId="{55048EA0-E040-48AA-B161-895F8FD21EAB}" destId="{6320863C-1455-4BCE-826D-245368E80D02}" srcOrd="0" destOrd="0" presId="urn:microsoft.com/office/officeart/2005/8/layout/orgChart1"/>
    <dgm:cxn modelId="{1D22B196-1261-4E31-8636-E0C3C6D47E19}" type="presParOf" srcId="{55048EA0-E040-48AA-B161-895F8FD21EAB}" destId="{E80BF98B-22A9-4D89-8DFC-160BB7B90CBD}" srcOrd="1" destOrd="0" presId="urn:microsoft.com/office/officeart/2005/8/layout/orgChart1"/>
    <dgm:cxn modelId="{2BCF2C33-6D2A-4DEC-8E5D-3E2E6E8BD904}" type="presParOf" srcId="{D427A9A7-1127-4E86-AFA2-9D77D35EFEE5}" destId="{D9ED13AC-9473-4BC9-8FC2-066F672BE56C}" srcOrd="1" destOrd="0" presId="urn:microsoft.com/office/officeart/2005/8/layout/orgChart1"/>
    <dgm:cxn modelId="{D3FECB63-5A74-402C-A4EE-EAACC9E6DF3F}" type="presParOf" srcId="{D9ED13AC-9473-4BC9-8FC2-066F672BE56C}" destId="{C642333D-15BA-4C2C-8ED5-E6F1BC5D9EE5}" srcOrd="0" destOrd="0" presId="urn:microsoft.com/office/officeart/2005/8/layout/orgChart1"/>
    <dgm:cxn modelId="{924A121D-9F75-42C1-8E49-DB4C18906522}" type="presParOf" srcId="{D9ED13AC-9473-4BC9-8FC2-066F672BE56C}" destId="{9EA6CF9E-63DA-4C4C-B6A8-492E3F9E4EFF}" srcOrd="1" destOrd="0" presId="urn:microsoft.com/office/officeart/2005/8/layout/orgChart1"/>
    <dgm:cxn modelId="{0FC680C3-F6F4-4074-BE40-09826DEC124D}" type="presParOf" srcId="{9EA6CF9E-63DA-4C4C-B6A8-492E3F9E4EFF}" destId="{E179B640-D965-4D3D-A7D7-F883538DE59D}" srcOrd="0" destOrd="0" presId="urn:microsoft.com/office/officeart/2005/8/layout/orgChart1"/>
    <dgm:cxn modelId="{FBF78407-8CDF-45C7-888E-E4CE7EC69863}" type="presParOf" srcId="{E179B640-D965-4D3D-A7D7-F883538DE59D}" destId="{5CD9BB64-0B96-489A-9BE4-FC6FA12F8051}" srcOrd="0" destOrd="0" presId="urn:microsoft.com/office/officeart/2005/8/layout/orgChart1"/>
    <dgm:cxn modelId="{4F40F043-32C9-41C7-8609-1519C64DE147}" type="presParOf" srcId="{E179B640-D965-4D3D-A7D7-F883538DE59D}" destId="{29BB7E4A-0A07-4E0B-8540-65E9B9247C3C}" srcOrd="1" destOrd="0" presId="urn:microsoft.com/office/officeart/2005/8/layout/orgChart1"/>
    <dgm:cxn modelId="{7B6AC5E8-4BA2-4051-8340-25C5C8954D55}" type="presParOf" srcId="{9EA6CF9E-63DA-4C4C-B6A8-492E3F9E4EFF}" destId="{569CECCC-79C0-4E3D-BAC1-E94E9818E071}" srcOrd="1" destOrd="0" presId="urn:microsoft.com/office/officeart/2005/8/layout/orgChart1"/>
    <dgm:cxn modelId="{47E60DEF-72B0-4E1E-BDA1-1F785E9D85B3}" type="presParOf" srcId="{9EA6CF9E-63DA-4C4C-B6A8-492E3F9E4EFF}" destId="{2B9B1DE5-E6C4-44B4-AB78-9ABE2FD9BAA9}" srcOrd="2" destOrd="0" presId="urn:microsoft.com/office/officeart/2005/8/layout/orgChart1"/>
    <dgm:cxn modelId="{7C7B583A-4596-42A1-B967-68E5DC2E9C8C}" type="presParOf" srcId="{D9ED13AC-9473-4BC9-8FC2-066F672BE56C}" destId="{860BECAF-D8FF-4EE5-B106-9263DB6DC2D6}" srcOrd="2" destOrd="0" presId="urn:microsoft.com/office/officeart/2005/8/layout/orgChart1"/>
    <dgm:cxn modelId="{08801C8A-774F-499C-99AD-772FED809DF9}" type="presParOf" srcId="{D9ED13AC-9473-4BC9-8FC2-066F672BE56C}" destId="{65989E08-3844-4ADA-8EE2-AB15B0BC80D5}" srcOrd="3" destOrd="0" presId="urn:microsoft.com/office/officeart/2005/8/layout/orgChart1"/>
    <dgm:cxn modelId="{4CAA4DF1-F7C2-445B-B748-B9D4BD902267}" type="presParOf" srcId="{65989E08-3844-4ADA-8EE2-AB15B0BC80D5}" destId="{C3B98B73-29EB-4D72-93D8-513160C5BA95}" srcOrd="0" destOrd="0" presId="urn:microsoft.com/office/officeart/2005/8/layout/orgChart1"/>
    <dgm:cxn modelId="{F0EC9A6A-0FF3-417E-8594-0B5AA064512A}" type="presParOf" srcId="{C3B98B73-29EB-4D72-93D8-513160C5BA95}" destId="{9ADE27D0-2761-4C52-B60E-F7C2BE7CF3DC}" srcOrd="0" destOrd="0" presId="urn:microsoft.com/office/officeart/2005/8/layout/orgChart1"/>
    <dgm:cxn modelId="{05727E67-0945-4020-AEB2-F0116F281864}" type="presParOf" srcId="{C3B98B73-29EB-4D72-93D8-513160C5BA95}" destId="{E6720D88-FC16-484A-A25E-05BF9667CB59}" srcOrd="1" destOrd="0" presId="urn:microsoft.com/office/officeart/2005/8/layout/orgChart1"/>
    <dgm:cxn modelId="{53C1E611-037C-445A-AA44-AF6B9415A12F}" type="presParOf" srcId="{65989E08-3844-4ADA-8EE2-AB15B0BC80D5}" destId="{EDEAA3E6-7D4C-4C68-9E5C-9710A89D5891}" srcOrd="1" destOrd="0" presId="urn:microsoft.com/office/officeart/2005/8/layout/orgChart1"/>
    <dgm:cxn modelId="{542236BB-8ADA-4A30-AFD4-7C980F1499BF}" type="presParOf" srcId="{65989E08-3844-4ADA-8EE2-AB15B0BC80D5}" destId="{8AEEA29F-4420-42AC-9429-3A41E5210A97}" srcOrd="2" destOrd="0" presId="urn:microsoft.com/office/officeart/2005/8/layout/orgChart1"/>
    <dgm:cxn modelId="{3B393EC9-BA1D-469E-8BF1-D2344A539436}" type="presParOf" srcId="{D9ED13AC-9473-4BC9-8FC2-066F672BE56C}" destId="{C6AAE715-5FBE-4AC1-A6AA-971662B63296}" srcOrd="4" destOrd="0" presId="urn:microsoft.com/office/officeart/2005/8/layout/orgChart1"/>
    <dgm:cxn modelId="{ED168BB2-4B54-417E-B19E-DB008BDF29F4}" type="presParOf" srcId="{D9ED13AC-9473-4BC9-8FC2-066F672BE56C}" destId="{C5949A48-8613-4CED-BA12-62DBC3FB473F}" srcOrd="5" destOrd="0" presId="urn:microsoft.com/office/officeart/2005/8/layout/orgChart1"/>
    <dgm:cxn modelId="{86853EF2-B023-48B2-B6B3-6A70E5DFF09F}" type="presParOf" srcId="{C5949A48-8613-4CED-BA12-62DBC3FB473F}" destId="{8432742F-DCE7-480B-9788-982F6121E1B1}" srcOrd="0" destOrd="0" presId="urn:microsoft.com/office/officeart/2005/8/layout/orgChart1"/>
    <dgm:cxn modelId="{D05079FD-C667-40E5-A15F-CA1019F3CED8}" type="presParOf" srcId="{8432742F-DCE7-480B-9788-982F6121E1B1}" destId="{91069D8A-E22E-4C27-AFAA-42C5459BF8EC}" srcOrd="0" destOrd="0" presId="urn:microsoft.com/office/officeart/2005/8/layout/orgChart1"/>
    <dgm:cxn modelId="{9E0E11CF-57B6-4421-B3BD-3B64D46D235F}" type="presParOf" srcId="{8432742F-DCE7-480B-9788-982F6121E1B1}" destId="{17364E73-4112-446E-BD20-2C3662D448D3}" srcOrd="1" destOrd="0" presId="urn:microsoft.com/office/officeart/2005/8/layout/orgChart1"/>
    <dgm:cxn modelId="{394F7378-B059-4B6D-9B99-28EB96CFEAB6}" type="presParOf" srcId="{C5949A48-8613-4CED-BA12-62DBC3FB473F}" destId="{D046BD93-4C7F-4B9F-9015-C666CBE8FEC0}" srcOrd="1" destOrd="0" presId="urn:microsoft.com/office/officeart/2005/8/layout/orgChart1"/>
    <dgm:cxn modelId="{0F521170-D92A-4A40-AC81-2199985C7C8D}" type="presParOf" srcId="{C5949A48-8613-4CED-BA12-62DBC3FB473F}" destId="{8AA3324D-EDCB-4AF9-95B3-782548C95CDF}" srcOrd="2" destOrd="0" presId="urn:microsoft.com/office/officeart/2005/8/layout/orgChart1"/>
    <dgm:cxn modelId="{BFAC1169-D913-4162-88C2-9A2561E11A31}" type="presParOf" srcId="{D9ED13AC-9473-4BC9-8FC2-066F672BE56C}" destId="{6C098698-DC68-4EA4-9648-5EC996BEFC9A}" srcOrd="6" destOrd="0" presId="urn:microsoft.com/office/officeart/2005/8/layout/orgChart1"/>
    <dgm:cxn modelId="{FDFB3ACA-C797-449E-82A4-75EF3AF86C31}" type="presParOf" srcId="{D9ED13AC-9473-4BC9-8FC2-066F672BE56C}" destId="{44DB526F-6998-42BF-9794-D1A777BECFA7}" srcOrd="7" destOrd="0" presId="urn:microsoft.com/office/officeart/2005/8/layout/orgChart1"/>
    <dgm:cxn modelId="{6CFA3B51-8A15-4F19-876D-C4F00073B96A}" type="presParOf" srcId="{44DB526F-6998-42BF-9794-D1A777BECFA7}" destId="{11198531-38BC-4F83-8D8C-DB17DDCB5EF6}" srcOrd="0" destOrd="0" presId="urn:microsoft.com/office/officeart/2005/8/layout/orgChart1"/>
    <dgm:cxn modelId="{7BF94AFC-75D1-461D-A534-1737F647CCEB}" type="presParOf" srcId="{11198531-38BC-4F83-8D8C-DB17DDCB5EF6}" destId="{BE1ED92E-E3E7-4990-9D1E-981B0FA6BB3C}" srcOrd="0" destOrd="0" presId="urn:microsoft.com/office/officeart/2005/8/layout/orgChart1"/>
    <dgm:cxn modelId="{15DDCE14-60A8-4071-9643-6641E6CDF5CC}" type="presParOf" srcId="{11198531-38BC-4F83-8D8C-DB17DDCB5EF6}" destId="{9B78DF39-05AE-478A-A358-F22252C69F61}" srcOrd="1" destOrd="0" presId="urn:microsoft.com/office/officeart/2005/8/layout/orgChart1"/>
    <dgm:cxn modelId="{23B0C500-9504-49DC-A7FF-935F3AD4E587}" type="presParOf" srcId="{44DB526F-6998-42BF-9794-D1A777BECFA7}" destId="{A3BE8097-76D3-4A72-92B3-CF7AFBC97D13}" srcOrd="1" destOrd="0" presId="urn:microsoft.com/office/officeart/2005/8/layout/orgChart1"/>
    <dgm:cxn modelId="{E8C7BF5B-546E-4980-ADCD-6CE9C9D0A665}" type="presParOf" srcId="{44DB526F-6998-42BF-9794-D1A777BECFA7}" destId="{3CFAB7A1-CE8A-4677-9A27-272D40BC1C13}" srcOrd="2" destOrd="0" presId="urn:microsoft.com/office/officeart/2005/8/layout/orgChart1"/>
    <dgm:cxn modelId="{8ED28C5D-C56A-419C-89B0-B5AC47DF8A4F}" type="presParOf" srcId="{D9ED13AC-9473-4BC9-8FC2-066F672BE56C}" destId="{56EA0BA7-16A8-465A-BB8F-8C9F44B0588F}" srcOrd="8" destOrd="0" presId="urn:microsoft.com/office/officeart/2005/8/layout/orgChart1"/>
    <dgm:cxn modelId="{B29D84A0-0123-4883-BEAE-452DA319AE77}" type="presParOf" srcId="{D9ED13AC-9473-4BC9-8FC2-066F672BE56C}" destId="{F19CBD96-8AA1-4A64-81CA-D8358C40C9E8}" srcOrd="9" destOrd="0" presId="urn:microsoft.com/office/officeart/2005/8/layout/orgChart1"/>
    <dgm:cxn modelId="{01FB3316-42BA-4AA4-A1AB-799EFDC2A7CC}" type="presParOf" srcId="{F19CBD96-8AA1-4A64-81CA-D8358C40C9E8}" destId="{116FA1C6-FD75-4659-BB25-9E3468335CE9}" srcOrd="0" destOrd="0" presId="urn:microsoft.com/office/officeart/2005/8/layout/orgChart1"/>
    <dgm:cxn modelId="{8868378C-0375-4FD9-A0A5-EF6C04913B0E}" type="presParOf" srcId="{116FA1C6-FD75-4659-BB25-9E3468335CE9}" destId="{0260FB94-ED9E-4814-ACF9-5D8F92452F31}" srcOrd="0" destOrd="0" presId="urn:microsoft.com/office/officeart/2005/8/layout/orgChart1"/>
    <dgm:cxn modelId="{224A1C70-0F6D-40D9-B7AA-D40981BFA539}" type="presParOf" srcId="{116FA1C6-FD75-4659-BB25-9E3468335CE9}" destId="{66E490D6-CD6E-49AE-A234-7464B375C954}" srcOrd="1" destOrd="0" presId="urn:microsoft.com/office/officeart/2005/8/layout/orgChart1"/>
    <dgm:cxn modelId="{A47FACAC-F93E-485E-943B-0A7A747CAF10}" type="presParOf" srcId="{F19CBD96-8AA1-4A64-81CA-D8358C40C9E8}" destId="{DB4B811E-72DB-40D3-A869-694230687772}" srcOrd="1" destOrd="0" presId="urn:microsoft.com/office/officeart/2005/8/layout/orgChart1"/>
    <dgm:cxn modelId="{EBAFA388-7940-451A-8D12-67491AE88DC1}" type="presParOf" srcId="{F19CBD96-8AA1-4A64-81CA-D8358C40C9E8}" destId="{B8D7C48F-9016-4378-9DE1-B9FACB311B10}" srcOrd="2" destOrd="0" presId="urn:microsoft.com/office/officeart/2005/8/layout/orgChart1"/>
    <dgm:cxn modelId="{58F492E2-4BA5-42C7-94A4-1EF083FE4C2F}" type="presParOf" srcId="{D9ED13AC-9473-4BC9-8FC2-066F672BE56C}" destId="{06F94DCF-DB69-493F-90C9-8CBA380582B8}" srcOrd="10" destOrd="0" presId="urn:microsoft.com/office/officeart/2005/8/layout/orgChart1"/>
    <dgm:cxn modelId="{B16050B3-3DFB-4ABE-9A4B-D9EF0C8ED2DF}" type="presParOf" srcId="{D9ED13AC-9473-4BC9-8FC2-066F672BE56C}" destId="{EE22E0E5-A69B-440C-B6A2-9756D9D2DCF5}" srcOrd="11" destOrd="0" presId="urn:microsoft.com/office/officeart/2005/8/layout/orgChart1"/>
    <dgm:cxn modelId="{3B3D7D9E-6066-4A60-AAB4-18EB2C157994}" type="presParOf" srcId="{EE22E0E5-A69B-440C-B6A2-9756D9D2DCF5}" destId="{574F5295-5489-4A59-B84E-78716FE408F1}" srcOrd="0" destOrd="0" presId="urn:microsoft.com/office/officeart/2005/8/layout/orgChart1"/>
    <dgm:cxn modelId="{FBC1B510-0439-4774-860D-59EF45BC877A}" type="presParOf" srcId="{574F5295-5489-4A59-B84E-78716FE408F1}" destId="{A9F3D186-2276-4AB5-846C-467350B5BB9E}" srcOrd="0" destOrd="0" presId="urn:microsoft.com/office/officeart/2005/8/layout/orgChart1"/>
    <dgm:cxn modelId="{2303772A-AAD7-457D-88C8-B316E374E118}" type="presParOf" srcId="{574F5295-5489-4A59-B84E-78716FE408F1}" destId="{893B02FD-0103-4C94-82F1-660A332C0E59}" srcOrd="1" destOrd="0" presId="urn:microsoft.com/office/officeart/2005/8/layout/orgChart1"/>
    <dgm:cxn modelId="{80BA3ED3-3593-47A2-B606-3868A2FA02F5}" type="presParOf" srcId="{EE22E0E5-A69B-440C-B6A2-9756D9D2DCF5}" destId="{A98950B3-30F4-4AF9-9944-EE9B1DF11811}" srcOrd="1" destOrd="0" presId="urn:microsoft.com/office/officeart/2005/8/layout/orgChart1"/>
    <dgm:cxn modelId="{BD937303-4CB7-4824-B566-33EE5B9CDBEA}" type="presParOf" srcId="{EE22E0E5-A69B-440C-B6A2-9756D9D2DCF5}" destId="{5951B259-504C-47F3-BF34-88CA024A6A87}" srcOrd="2" destOrd="0" presId="urn:microsoft.com/office/officeart/2005/8/layout/orgChart1"/>
    <dgm:cxn modelId="{9F18332E-BDD9-4189-B0B2-A1C70BE68C85}" type="presParOf" srcId="{D427A9A7-1127-4E86-AFA2-9D77D35EFEE5}" destId="{95E8F533-FECE-4252-88BE-23A90D23B7C5}" srcOrd="2" destOrd="0" presId="urn:microsoft.com/office/officeart/2005/8/layout/orgChart1"/>
    <dgm:cxn modelId="{FFF24757-550B-4657-96A1-A38816146377}" type="presParOf" srcId="{BF471561-40D9-4B7B-A36C-D7545CBDD825}" destId="{AD7DD0B4-FC3F-42A7-B3FA-51753FF557B1}" srcOrd="4" destOrd="0" presId="urn:microsoft.com/office/officeart/2005/8/layout/orgChart1"/>
    <dgm:cxn modelId="{5C1DDF82-A5C0-4290-BBBA-A84B8825E82F}" type="presParOf" srcId="{BF471561-40D9-4B7B-A36C-D7545CBDD825}" destId="{EAAE0414-D50C-401D-8000-93306F5D9016}" srcOrd="5" destOrd="0" presId="urn:microsoft.com/office/officeart/2005/8/layout/orgChart1"/>
    <dgm:cxn modelId="{22F91D20-9BDE-403B-B244-D8C68A521D3B}" type="presParOf" srcId="{EAAE0414-D50C-401D-8000-93306F5D9016}" destId="{C325412D-9953-494E-965C-566FBC66F179}" srcOrd="0" destOrd="0" presId="urn:microsoft.com/office/officeart/2005/8/layout/orgChart1"/>
    <dgm:cxn modelId="{3428F43D-4531-45AD-93DE-8799A90C3DAB}" type="presParOf" srcId="{C325412D-9953-494E-965C-566FBC66F179}" destId="{C9844760-B122-4D18-BEDE-17C3F2B22A7E}" srcOrd="0" destOrd="0" presId="urn:microsoft.com/office/officeart/2005/8/layout/orgChart1"/>
    <dgm:cxn modelId="{391E7A23-FEEC-43ED-BDE6-B2A7F226DE0A}" type="presParOf" srcId="{C325412D-9953-494E-965C-566FBC66F179}" destId="{DCE67B66-5BC1-49D1-9AE5-55879602ACE2}" srcOrd="1" destOrd="0" presId="urn:microsoft.com/office/officeart/2005/8/layout/orgChart1"/>
    <dgm:cxn modelId="{909F4EBC-7492-44EF-A04B-CF286A6345DA}" type="presParOf" srcId="{EAAE0414-D50C-401D-8000-93306F5D9016}" destId="{1A90BCB0-4291-4D93-A644-0539BE6AAEF5}" srcOrd="1" destOrd="0" presId="urn:microsoft.com/office/officeart/2005/8/layout/orgChart1"/>
    <dgm:cxn modelId="{E2DD5CBF-13D5-40EA-974E-DAD8FC829295}" type="presParOf" srcId="{1A90BCB0-4291-4D93-A644-0539BE6AAEF5}" destId="{294ABF28-C458-4880-9BD9-19505D4C4B01}" srcOrd="0" destOrd="0" presId="urn:microsoft.com/office/officeart/2005/8/layout/orgChart1"/>
    <dgm:cxn modelId="{8356DBB2-70EC-4281-A765-590535FC6A1A}" type="presParOf" srcId="{1A90BCB0-4291-4D93-A644-0539BE6AAEF5}" destId="{F4C46A89-36DF-4B39-8434-4DFA1AE129ED}" srcOrd="1" destOrd="0" presId="urn:microsoft.com/office/officeart/2005/8/layout/orgChart1"/>
    <dgm:cxn modelId="{44024E5C-E2A5-440E-AB2B-B70E6B04DD41}" type="presParOf" srcId="{F4C46A89-36DF-4B39-8434-4DFA1AE129ED}" destId="{78714C66-3BBE-4601-9D53-47F5DE5B3218}" srcOrd="0" destOrd="0" presId="urn:microsoft.com/office/officeart/2005/8/layout/orgChart1"/>
    <dgm:cxn modelId="{E8217175-3735-4316-8F03-AAA821BC3F08}" type="presParOf" srcId="{78714C66-3BBE-4601-9D53-47F5DE5B3218}" destId="{CC8ED442-5F2B-435C-9A49-123A978DF41C}" srcOrd="0" destOrd="0" presId="urn:microsoft.com/office/officeart/2005/8/layout/orgChart1"/>
    <dgm:cxn modelId="{4B3B7B6A-7750-484D-A2C2-D7278C3DB838}" type="presParOf" srcId="{78714C66-3BBE-4601-9D53-47F5DE5B3218}" destId="{18A78CF6-9780-4F1F-BDE3-E692D605707D}" srcOrd="1" destOrd="0" presId="urn:microsoft.com/office/officeart/2005/8/layout/orgChart1"/>
    <dgm:cxn modelId="{847CD2BB-A8AD-49A5-94DB-488DE87BECAA}" type="presParOf" srcId="{F4C46A89-36DF-4B39-8434-4DFA1AE129ED}" destId="{B2B5414A-3ECC-48F1-A75B-926BD0AF9156}" srcOrd="1" destOrd="0" presId="urn:microsoft.com/office/officeart/2005/8/layout/orgChart1"/>
    <dgm:cxn modelId="{C5AE326D-BA5F-4411-9694-4BFAFCB444B0}" type="presParOf" srcId="{F4C46A89-36DF-4B39-8434-4DFA1AE129ED}" destId="{6F18254E-047F-4E6C-B357-E3490A0F28D7}" srcOrd="2" destOrd="0" presId="urn:microsoft.com/office/officeart/2005/8/layout/orgChart1"/>
    <dgm:cxn modelId="{C9D37BFE-A26E-4928-A98A-D1FD6A3EF27D}" type="presParOf" srcId="{1A90BCB0-4291-4D93-A644-0539BE6AAEF5}" destId="{F382A476-71C7-4594-9840-B805CFB76132}" srcOrd="2" destOrd="0" presId="urn:microsoft.com/office/officeart/2005/8/layout/orgChart1"/>
    <dgm:cxn modelId="{4E410073-FE58-421F-B7F1-B4F64F8B17E6}" type="presParOf" srcId="{1A90BCB0-4291-4D93-A644-0539BE6AAEF5}" destId="{AE4A30B1-4359-49DA-88C5-F7720CC05EF2}" srcOrd="3" destOrd="0" presId="urn:microsoft.com/office/officeart/2005/8/layout/orgChart1"/>
    <dgm:cxn modelId="{D1ED84FC-29A4-431B-80C2-C977943EC496}" type="presParOf" srcId="{AE4A30B1-4359-49DA-88C5-F7720CC05EF2}" destId="{54E8B720-C5D1-44AF-BCA7-668BC523DCA6}" srcOrd="0" destOrd="0" presId="urn:microsoft.com/office/officeart/2005/8/layout/orgChart1"/>
    <dgm:cxn modelId="{96BD66B4-12FA-4EC5-8DCF-B8E3786AAF2D}" type="presParOf" srcId="{54E8B720-C5D1-44AF-BCA7-668BC523DCA6}" destId="{19E5BD61-D180-43F1-8B38-0854E2C5CEAA}" srcOrd="0" destOrd="0" presId="urn:microsoft.com/office/officeart/2005/8/layout/orgChart1"/>
    <dgm:cxn modelId="{AE1B3303-6106-4DBF-9F17-B0C3C29F3186}" type="presParOf" srcId="{54E8B720-C5D1-44AF-BCA7-668BC523DCA6}" destId="{6F1EF829-0930-48D9-AB77-220E9BB8769A}" srcOrd="1" destOrd="0" presId="urn:microsoft.com/office/officeart/2005/8/layout/orgChart1"/>
    <dgm:cxn modelId="{DD64D9D3-B76E-4256-A311-34EED3B37696}" type="presParOf" srcId="{AE4A30B1-4359-49DA-88C5-F7720CC05EF2}" destId="{5EF3876A-1E25-4842-AE2D-6C425F00B662}" srcOrd="1" destOrd="0" presId="urn:microsoft.com/office/officeart/2005/8/layout/orgChart1"/>
    <dgm:cxn modelId="{39FAB52B-F5C3-4880-B464-8EA6D4EE67F3}" type="presParOf" srcId="{AE4A30B1-4359-49DA-88C5-F7720CC05EF2}" destId="{1B55A440-EC41-4EA8-BED5-70FB37D71689}" srcOrd="2" destOrd="0" presId="urn:microsoft.com/office/officeart/2005/8/layout/orgChart1"/>
    <dgm:cxn modelId="{88976D48-EEF8-4333-BD0A-658A6FA04949}" type="presParOf" srcId="{EAAE0414-D50C-401D-8000-93306F5D9016}" destId="{C9099359-8110-4CC7-BB63-9E43375B3E5E}" srcOrd="2" destOrd="0" presId="urn:microsoft.com/office/officeart/2005/8/layout/orgChart1"/>
    <dgm:cxn modelId="{A912AAC2-0127-432E-99CC-E3E0CF9D410B}" type="presParOf" srcId="{BF471561-40D9-4B7B-A36C-D7545CBDD825}" destId="{6C7F5734-72FD-47DD-B059-E31559928648}" srcOrd="6" destOrd="0" presId="urn:microsoft.com/office/officeart/2005/8/layout/orgChart1"/>
    <dgm:cxn modelId="{CFAC8044-F05F-4B66-A7EE-36A379CA3BA7}" type="presParOf" srcId="{BF471561-40D9-4B7B-A36C-D7545CBDD825}" destId="{6BF40D1D-B70E-4EE9-9553-3DC9A07FA420}" srcOrd="7" destOrd="0" presId="urn:microsoft.com/office/officeart/2005/8/layout/orgChart1"/>
    <dgm:cxn modelId="{175913EB-772C-4BD3-A84B-CF28A03EF7B8}" type="presParOf" srcId="{6BF40D1D-B70E-4EE9-9553-3DC9A07FA420}" destId="{D0819F6F-8378-4E7E-8B70-4806FA0DBB39}" srcOrd="0" destOrd="0" presId="urn:microsoft.com/office/officeart/2005/8/layout/orgChart1"/>
    <dgm:cxn modelId="{8F8BE39B-2BDC-4EC0-80F2-43D691C4A37D}" type="presParOf" srcId="{D0819F6F-8378-4E7E-8B70-4806FA0DBB39}" destId="{04C313F0-1227-476E-82B6-56DBE6FBC64B}" srcOrd="0" destOrd="0" presId="urn:microsoft.com/office/officeart/2005/8/layout/orgChart1"/>
    <dgm:cxn modelId="{BFD9403E-815B-4026-969A-484227B2C6DF}" type="presParOf" srcId="{D0819F6F-8378-4E7E-8B70-4806FA0DBB39}" destId="{6FCE7EE8-65CC-4815-AA17-1FA9C458CC37}" srcOrd="1" destOrd="0" presId="urn:microsoft.com/office/officeart/2005/8/layout/orgChart1"/>
    <dgm:cxn modelId="{DB229222-0AF7-48A8-9F30-B64F1D258D8E}" type="presParOf" srcId="{6BF40D1D-B70E-4EE9-9553-3DC9A07FA420}" destId="{10E9FB97-F15B-40D0-8473-F306087F97A8}" srcOrd="1" destOrd="0" presId="urn:microsoft.com/office/officeart/2005/8/layout/orgChart1"/>
    <dgm:cxn modelId="{A6C7DBB5-B20D-40C2-A3A3-A59082F2D255}" type="presParOf" srcId="{10E9FB97-F15B-40D0-8473-F306087F97A8}" destId="{08EF4037-975C-4902-BD02-0DB8C6EF9E76}" srcOrd="0" destOrd="0" presId="urn:microsoft.com/office/officeart/2005/8/layout/orgChart1"/>
    <dgm:cxn modelId="{F29A9D1D-42A3-45E5-9E2F-3A9DBA9D6FDC}" type="presParOf" srcId="{10E9FB97-F15B-40D0-8473-F306087F97A8}" destId="{BE541717-BB1A-46EF-B6F3-18018F495BC7}" srcOrd="1" destOrd="0" presId="urn:microsoft.com/office/officeart/2005/8/layout/orgChart1"/>
    <dgm:cxn modelId="{1EDD0CB6-EC26-4E85-8134-CDE02165D078}" type="presParOf" srcId="{BE541717-BB1A-46EF-B6F3-18018F495BC7}" destId="{F8A182FE-443C-4884-B5DC-ACDCBC32D635}" srcOrd="0" destOrd="0" presId="urn:microsoft.com/office/officeart/2005/8/layout/orgChart1"/>
    <dgm:cxn modelId="{DFC5FC67-7B46-42F3-9CEE-B0E3E00F1777}" type="presParOf" srcId="{F8A182FE-443C-4884-B5DC-ACDCBC32D635}" destId="{457B47B2-CD1E-4229-8AC5-DAEC17056EF7}" srcOrd="0" destOrd="0" presId="urn:microsoft.com/office/officeart/2005/8/layout/orgChart1"/>
    <dgm:cxn modelId="{F93295B1-A6C3-428A-9B59-87ED668057DC}" type="presParOf" srcId="{F8A182FE-443C-4884-B5DC-ACDCBC32D635}" destId="{CBAAD394-EF64-4E4E-8944-E87BD10447CD}" srcOrd="1" destOrd="0" presId="urn:microsoft.com/office/officeart/2005/8/layout/orgChart1"/>
    <dgm:cxn modelId="{4CB83CB9-D6FF-4776-AEB9-1AF6CDA617B0}" type="presParOf" srcId="{BE541717-BB1A-46EF-B6F3-18018F495BC7}" destId="{D557FD2F-4130-4162-AE7A-8483C12705E3}" srcOrd="1" destOrd="0" presId="urn:microsoft.com/office/officeart/2005/8/layout/orgChart1"/>
    <dgm:cxn modelId="{41B79C6B-F561-47C5-BA8A-42A2CC8424EB}" type="presParOf" srcId="{BE541717-BB1A-46EF-B6F3-18018F495BC7}" destId="{09266197-69EF-48F7-A95B-D81471BAC7B3}" srcOrd="2" destOrd="0" presId="urn:microsoft.com/office/officeart/2005/8/layout/orgChart1"/>
    <dgm:cxn modelId="{194DE7D1-42FD-4569-A9F0-1309060BFDFD}" type="presParOf" srcId="{10E9FB97-F15B-40D0-8473-F306087F97A8}" destId="{B04B8693-2DCD-4B07-80EF-72F9F6CAD2CC}" srcOrd="2" destOrd="0" presId="urn:microsoft.com/office/officeart/2005/8/layout/orgChart1"/>
    <dgm:cxn modelId="{8253A63F-B44B-4CBB-8A5D-6F77BBA68F21}" type="presParOf" srcId="{10E9FB97-F15B-40D0-8473-F306087F97A8}" destId="{DF89BB04-8FE3-4E7C-8BF8-0DE5F2AB4A7B}" srcOrd="3" destOrd="0" presId="urn:microsoft.com/office/officeart/2005/8/layout/orgChart1"/>
    <dgm:cxn modelId="{C4BDAE18-DECF-4C90-8A29-B79ECF72A43A}" type="presParOf" srcId="{DF89BB04-8FE3-4E7C-8BF8-0DE5F2AB4A7B}" destId="{2C5EE98E-94D4-4BB9-A9CB-E6B173648D74}" srcOrd="0" destOrd="0" presId="urn:microsoft.com/office/officeart/2005/8/layout/orgChart1"/>
    <dgm:cxn modelId="{8F73DE3F-6D32-49DB-B813-028633222C2F}" type="presParOf" srcId="{2C5EE98E-94D4-4BB9-A9CB-E6B173648D74}" destId="{80581FEA-F8CD-4A86-9B16-A4043DBBCA09}" srcOrd="0" destOrd="0" presId="urn:microsoft.com/office/officeart/2005/8/layout/orgChart1"/>
    <dgm:cxn modelId="{C79CCF60-0711-4320-A47E-38A77B94B357}" type="presParOf" srcId="{2C5EE98E-94D4-4BB9-A9CB-E6B173648D74}" destId="{86BA712A-1072-4E4D-A580-80865D97FF66}" srcOrd="1" destOrd="0" presId="urn:microsoft.com/office/officeart/2005/8/layout/orgChart1"/>
    <dgm:cxn modelId="{FAD46FC8-A763-4B81-B99C-871CE6FA1B5E}" type="presParOf" srcId="{DF89BB04-8FE3-4E7C-8BF8-0DE5F2AB4A7B}" destId="{1BCC46B4-A242-44AC-8EE9-E0CB6AF9BC57}" srcOrd="1" destOrd="0" presId="urn:microsoft.com/office/officeart/2005/8/layout/orgChart1"/>
    <dgm:cxn modelId="{AAF568F8-707E-46F5-B11E-E8D8CC559A1C}" type="presParOf" srcId="{DF89BB04-8FE3-4E7C-8BF8-0DE5F2AB4A7B}" destId="{81AD6B25-B03A-4D94-80B9-71B438A1BE07}" srcOrd="2" destOrd="0" presId="urn:microsoft.com/office/officeart/2005/8/layout/orgChart1"/>
    <dgm:cxn modelId="{69E75253-CD0B-4F66-81CA-AB890422F1A8}" type="presParOf" srcId="{10E9FB97-F15B-40D0-8473-F306087F97A8}" destId="{BC8B647A-5FDC-4531-BB70-7CD023684A91}" srcOrd="4" destOrd="0" presId="urn:microsoft.com/office/officeart/2005/8/layout/orgChart1"/>
    <dgm:cxn modelId="{F7A2CF0F-3FAB-46B9-A019-F0C909370CCF}" type="presParOf" srcId="{10E9FB97-F15B-40D0-8473-F306087F97A8}" destId="{9668696A-5ABA-4710-9EFE-6CCE206275C8}" srcOrd="5" destOrd="0" presId="urn:microsoft.com/office/officeart/2005/8/layout/orgChart1"/>
    <dgm:cxn modelId="{FE4E4B76-D3BC-4DC8-B8A5-6A6B2B722066}" type="presParOf" srcId="{9668696A-5ABA-4710-9EFE-6CCE206275C8}" destId="{F163EFB6-95DB-4C4D-BAFA-9DEBFA41D52F}" srcOrd="0" destOrd="0" presId="urn:microsoft.com/office/officeart/2005/8/layout/orgChart1"/>
    <dgm:cxn modelId="{5358378B-395B-48B0-9FB5-C9B56613FDC3}" type="presParOf" srcId="{F163EFB6-95DB-4C4D-BAFA-9DEBFA41D52F}" destId="{0DDC8D4A-C3B3-419A-AC4D-65613EF2DA67}" srcOrd="0" destOrd="0" presId="urn:microsoft.com/office/officeart/2005/8/layout/orgChart1"/>
    <dgm:cxn modelId="{5DAA85B7-A5CD-40FB-BCB9-C34EACB14F69}" type="presParOf" srcId="{F163EFB6-95DB-4C4D-BAFA-9DEBFA41D52F}" destId="{60A822E5-6C22-4DED-B5F9-927AA5726658}" srcOrd="1" destOrd="0" presId="urn:microsoft.com/office/officeart/2005/8/layout/orgChart1"/>
    <dgm:cxn modelId="{10F48A8D-79DC-4E08-910E-A1840239DAAE}" type="presParOf" srcId="{9668696A-5ABA-4710-9EFE-6CCE206275C8}" destId="{7808922E-92AD-4CA0-BFAE-13B420CDD462}" srcOrd="1" destOrd="0" presId="urn:microsoft.com/office/officeart/2005/8/layout/orgChart1"/>
    <dgm:cxn modelId="{704FC50C-A693-4460-8455-1FE8541C1871}" type="presParOf" srcId="{9668696A-5ABA-4710-9EFE-6CCE206275C8}" destId="{3A7F3F6C-40AB-4257-9B76-0A576A9F24B5}" srcOrd="2" destOrd="0" presId="urn:microsoft.com/office/officeart/2005/8/layout/orgChart1"/>
    <dgm:cxn modelId="{E50AA4EB-2C62-4EA7-96D1-E886059D53C6}" type="presParOf" srcId="{6BF40D1D-B70E-4EE9-9553-3DC9A07FA420}" destId="{999010DA-7701-4967-8DFC-9C34ADE009D1}" srcOrd="2" destOrd="0" presId="urn:microsoft.com/office/officeart/2005/8/layout/orgChart1"/>
    <dgm:cxn modelId="{26D40780-A6E7-4E0D-9AF2-783AA5AFB04B}" type="presParOf" srcId="{BF471561-40D9-4B7B-A36C-D7545CBDD825}" destId="{CCB70B0B-894D-41FF-A075-46A95BB261AD}" srcOrd="8" destOrd="0" presId="urn:microsoft.com/office/officeart/2005/8/layout/orgChart1"/>
    <dgm:cxn modelId="{B7243EF7-D059-4215-B404-3E9FCC3528B4}" type="presParOf" srcId="{BF471561-40D9-4B7B-A36C-D7545CBDD825}" destId="{7770AA14-FA24-4BF5-93D1-7D13AB205963}" srcOrd="9" destOrd="0" presId="urn:microsoft.com/office/officeart/2005/8/layout/orgChart1"/>
    <dgm:cxn modelId="{FC315C19-C72C-45BD-BB6F-A2744BC26E0D}" type="presParOf" srcId="{7770AA14-FA24-4BF5-93D1-7D13AB205963}" destId="{EC84AEA9-B11A-417A-85BB-3EB03CE7BB68}" srcOrd="0" destOrd="0" presId="urn:microsoft.com/office/officeart/2005/8/layout/orgChart1"/>
    <dgm:cxn modelId="{3A6BC443-96CA-4DE0-AC51-45C9995919EF}" type="presParOf" srcId="{EC84AEA9-B11A-417A-85BB-3EB03CE7BB68}" destId="{5A475467-762D-41E3-BE70-A5A15430FCA3}" srcOrd="0" destOrd="0" presId="urn:microsoft.com/office/officeart/2005/8/layout/orgChart1"/>
    <dgm:cxn modelId="{30826B22-D85E-47E7-AD17-09EE39C4B294}" type="presParOf" srcId="{EC84AEA9-B11A-417A-85BB-3EB03CE7BB68}" destId="{FF67D1E8-8321-491D-BD03-548767C8EE01}" srcOrd="1" destOrd="0" presId="urn:microsoft.com/office/officeart/2005/8/layout/orgChart1"/>
    <dgm:cxn modelId="{B15067BA-1103-4A72-8BC3-F7C51EEA82D9}" type="presParOf" srcId="{7770AA14-FA24-4BF5-93D1-7D13AB205963}" destId="{7D9D1E41-9408-446D-8F16-4017567206E5}" srcOrd="1" destOrd="0" presId="urn:microsoft.com/office/officeart/2005/8/layout/orgChart1"/>
    <dgm:cxn modelId="{EDBCBD69-96C7-4CED-BA81-2F21D89D709D}" type="presParOf" srcId="{7D9D1E41-9408-446D-8F16-4017567206E5}" destId="{E83F464E-2070-4B3A-97CD-56F24BD0854A}" srcOrd="0" destOrd="0" presId="urn:microsoft.com/office/officeart/2005/8/layout/orgChart1"/>
    <dgm:cxn modelId="{E2FE8FED-8A53-49D5-A136-4AD311E98901}" type="presParOf" srcId="{7D9D1E41-9408-446D-8F16-4017567206E5}" destId="{9B8ADA36-3854-4D0A-A79D-10EB5813C192}" srcOrd="1" destOrd="0" presId="urn:microsoft.com/office/officeart/2005/8/layout/orgChart1"/>
    <dgm:cxn modelId="{648260F4-08C0-41D9-8AB9-488306735FD9}" type="presParOf" srcId="{9B8ADA36-3854-4D0A-A79D-10EB5813C192}" destId="{7EB021FB-397D-41CF-BE5A-B3342733C6B1}" srcOrd="0" destOrd="0" presId="urn:microsoft.com/office/officeart/2005/8/layout/orgChart1"/>
    <dgm:cxn modelId="{7520CE3E-4A31-4797-A37B-AB7F231758FE}" type="presParOf" srcId="{7EB021FB-397D-41CF-BE5A-B3342733C6B1}" destId="{BBCA570E-9357-4CA4-BDD5-59747312C9C4}" srcOrd="0" destOrd="0" presId="urn:microsoft.com/office/officeart/2005/8/layout/orgChart1"/>
    <dgm:cxn modelId="{9293137C-7CCF-4B3F-A868-3563BFDF6AD2}" type="presParOf" srcId="{7EB021FB-397D-41CF-BE5A-B3342733C6B1}" destId="{8FD96BF7-755E-406E-B44E-FCA7985C3712}" srcOrd="1" destOrd="0" presId="urn:microsoft.com/office/officeart/2005/8/layout/orgChart1"/>
    <dgm:cxn modelId="{F907D135-1C03-4A41-AD9F-51417C39943E}" type="presParOf" srcId="{9B8ADA36-3854-4D0A-A79D-10EB5813C192}" destId="{FDE2A18F-C755-4860-8C87-027323081FFE}" srcOrd="1" destOrd="0" presId="urn:microsoft.com/office/officeart/2005/8/layout/orgChart1"/>
    <dgm:cxn modelId="{CEEC6392-C072-4056-B1D2-05C936B0C158}" type="presParOf" srcId="{9B8ADA36-3854-4D0A-A79D-10EB5813C192}" destId="{8B60D783-52BF-4561-8B63-6BF6400FEF95}" srcOrd="2" destOrd="0" presId="urn:microsoft.com/office/officeart/2005/8/layout/orgChart1"/>
    <dgm:cxn modelId="{707D2760-123D-4FAA-BE4F-BA5264F0EA2F}" type="presParOf" srcId="{7D9D1E41-9408-446D-8F16-4017567206E5}" destId="{A80E50AC-07E5-4A73-A1AF-0B991D9BE118}" srcOrd="2" destOrd="0" presId="urn:microsoft.com/office/officeart/2005/8/layout/orgChart1"/>
    <dgm:cxn modelId="{288F68C2-9EB0-4289-9543-64AB864C7FC6}" type="presParOf" srcId="{7D9D1E41-9408-446D-8F16-4017567206E5}" destId="{1B1564BA-9BFE-4624-943E-2F86903CC9C4}" srcOrd="3" destOrd="0" presId="urn:microsoft.com/office/officeart/2005/8/layout/orgChart1"/>
    <dgm:cxn modelId="{88D3344B-0F39-4813-BEB3-04D65463E3AD}" type="presParOf" srcId="{1B1564BA-9BFE-4624-943E-2F86903CC9C4}" destId="{B9C29D4E-D717-4EB3-B81E-C250F8AAC15F}" srcOrd="0" destOrd="0" presId="urn:microsoft.com/office/officeart/2005/8/layout/orgChart1"/>
    <dgm:cxn modelId="{04482857-E358-43C4-84B8-90BB8503CE4B}" type="presParOf" srcId="{B9C29D4E-D717-4EB3-B81E-C250F8AAC15F}" destId="{98132576-FA7B-44CC-AB92-A57E374ED2DF}" srcOrd="0" destOrd="0" presId="urn:microsoft.com/office/officeart/2005/8/layout/orgChart1"/>
    <dgm:cxn modelId="{8AD42FE2-468C-48BF-B0DA-4A749493CBAB}" type="presParOf" srcId="{B9C29D4E-D717-4EB3-B81E-C250F8AAC15F}" destId="{6291A767-DE77-4592-9FE3-012322644C64}" srcOrd="1" destOrd="0" presId="urn:microsoft.com/office/officeart/2005/8/layout/orgChart1"/>
    <dgm:cxn modelId="{C1F03556-C2A7-4161-83B9-65C4AF2DFB9C}" type="presParOf" srcId="{1B1564BA-9BFE-4624-943E-2F86903CC9C4}" destId="{6AD0751D-170C-48CF-9522-E317DC2BCCD0}" srcOrd="1" destOrd="0" presId="urn:microsoft.com/office/officeart/2005/8/layout/orgChart1"/>
    <dgm:cxn modelId="{AEA534C4-00E0-4F3C-BD55-37804CE22E29}" type="presParOf" srcId="{1B1564BA-9BFE-4624-943E-2F86903CC9C4}" destId="{A8CA75D5-1B10-4919-948E-6BE57353F3A0}" srcOrd="2" destOrd="0" presId="urn:microsoft.com/office/officeart/2005/8/layout/orgChart1"/>
    <dgm:cxn modelId="{42A89939-FCD6-450E-B1C3-442031D2AC38}" type="presParOf" srcId="{7770AA14-FA24-4BF5-93D1-7D13AB205963}" destId="{26F8D3D6-18A2-4E73-BC78-37F627DB0778}" srcOrd="2" destOrd="0" presId="urn:microsoft.com/office/officeart/2005/8/layout/orgChart1"/>
    <dgm:cxn modelId="{CE3B2895-AB98-4C10-8443-1AE9FE55D179}" type="presParOf" srcId="{17682E47-A7C2-454D-A78F-5CD47965DB83}" destId="{2F9BC119-A007-4629-889A-735C5107D921}" srcOrd="2" destOrd="0" presId="urn:microsoft.com/office/officeart/2005/8/layout/orgChart1"/>
  </dgm:cxnLst>
  <dgm:bg/>
  <dgm:whole/>
  <dgm:extLst>
    <a:ext uri="http://schemas.microsoft.com/office/drawing/2008/diagram">
      <dsp:dataModelExt xmlns:dsp="http://schemas.microsoft.com/office/drawing/2008/diagram" relId="rId10"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7700356E-6C48-49C2-850C-A3EAE3CB4401}">
      <dsp:nvSpPr>
        <dsp:cNvPr id="0" name=""/>
        <dsp:cNvSpPr/>
      </dsp:nvSpPr>
      <dsp:spPr>
        <a:xfrm>
          <a:off x="3918" y="836845"/>
          <a:ext cx="1141492" cy="570746"/>
        </a:xfrm>
        <a:prstGeom prst="roundRect">
          <a:avLst>
            <a:gd name="adj" fmla="val 10000"/>
          </a:avLst>
        </a:prstGeom>
        <a:solidFill>
          <a:srgbClr val="00B050"/>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marL="0" lvl="0" indent="0" algn="ctr" defTabSz="533400">
            <a:lnSpc>
              <a:spcPct val="90000"/>
            </a:lnSpc>
            <a:spcBef>
              <a:spcPct val="0"/>
            </a:spcBef>
            <a:spcAft>
              <a:spcPct val="35000"/>
            </a:spcAft>
            <a:buNone/>
          </a:pPr>
          <a:r>
            <a:rPr lang="en-US" sz="1200" kern="1200" dirty="0"/>
            <a:t>Green Business Program</a:t>
          </a:r>
        </a:p>
      </dsp:txBody>
      <dsp:txXfrm>
        <a:off x="20635" y="853562"/>
        <a:ext cx="1108058" cy="537312"/>
      </dsp:txXfrm>
    </dsp:sp>
    <dsp:sp modelId="{59A01059-E60B-4D85-9CE4-45F1CEF8FD08}">
      <dsp:nvSpPr>
        <dsp:cNvPr id="0" name=""/>
        <dsp:cNvSpPr/>
      </dsp:nvSpPr>
      <dsp:spPr>
        <a:xfrm rot="17945813">
          <a:off x="904238" y="696086"/>
          <a:ext cx="938943" cy="31816"/>
        </a:xfrm>
        <a:custGeom>
          <a:avLst/>
          <a:gdLst/>
          <a:ahLst/>
          <a:cxnLst/>
          <a:rect l="0" t="0" r="0" b="0"/>
          <a:pathLst>
            <a:path>
              <a:moveTo>
                <a:pt x="0" y="15908"/>
              </a:moveTo>
              <a:lnTo>
                <a:pt x="938943" y="15908"/>
              </a:lnTo>
            </a:path>
          </a:pathLst>
        </a:custGeom>
        <a:noFill/>
        <a:ln w="19050" cap="flat" cmpd="sng" algn="ctr">
          <a:solidFill>
            <a:schemeClr val="accent1">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22250">
            <a:lnSpc>
              <a:spcPct val="90000"/>
            </a:lnSpc>
            <a:spcBef>
              <a:spcPct val="0"/>
            </a:spcBef>
            <a:spcAft>
              <a:spcPct val="35000"/>
            </a:spcAft>
            <a:buNone/>
          </a:pPr>
          <a:endParaRPr lang="en-US" sz="500" kern="1200"/>
        </a:p>
      </dsp:txBody>
      <dsp:txXfrm>
        <a:off x="1350236" y="688520"/>
        <a:ext cx="46947" cy="46947"/>
      </dsp:txXfrm>
    </dsp:sp>
    <dsp:sp modelId="{6564D30B-8B27-4C4B-A279-545B2EF000AF}">
      <dsp:nvSpPr>
        <dsp:cNvPr id="0" name=""/>
        <dsp:cNvSpPr/>
      </dsp:nvSpPr>
      <dsp:spPr>
        <a:xfrm>
          <a:off x="1602008" y="16397"/>
          <a:ext cx="1141492" cy="570746"/>
        </a:xfrm>
        <a:prstGeom prst="roundRect">
          <a:avLst>
            <a:gd name="adj" fmla="val 10000"/>
          </a:avLst>
        </a:prstGeom>
        <a:solidFill>
          <a:srgbClr val="00B050"/>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marL="0" lvl="0" indent="0" algn="ctr" defTabSz="533400">
            <a:lnSpc>
              <a:spcPct val="90000"/>
            </a:lnSpc>
            <a:spcBef>
              <a:spcPct val="0"/>
            </a:spcBef>
            <a:spcAft>
              <a:spcPct val="35000"/>
            </a:spcAft>
            <a:buNone/>
          </a:pPr>
          <a:r>
            <a:rPr lang="en-US" sz="1200" kern="1200" dirty="0"/>
            <a:t>How to Start a Program</a:t>
          </a:r>
        </a:p>
      </dsp:txBody>
      <dsp:txXfrm>
        <a:off x="1618725" y="33114"/>
        <a:ext cx="1108058" cy="537312"/>
      </dsp:txXfrm>
    </dsp:sp>
    <dsp:sp modelId="{1C8820C8-D48F-48A2-923B-223412C8B4A0}">
      <dsp:nvSpPr>
        <dsp:cNvPr id="0" name=""/>
        <dsp:cNvSpPr/>
      </dsp:nvSpPr>
      <dsp:spPr>
        <a:xfrm>
          <a:off x="2743501" y="285862"/>
          <a:ext cx="456597" cy="31816"/>
        </a:xfrm>
        <a:custGeom>
          <a:avLst/>
          <a:gdLst/>
          <a:ahLst/>
          <a:cxnLst/>
          <a:rect l="0" t="0" r="0" b="0"/>
          <a:pathLst>
            <a:path>
              <a:moveTo>
                <a:pt x="0" y="15908"/>
              </a:moveTo>
              <a:lnTo>
                <a:pt x="456597" y="15908"/>
              </a:lnTo>
            </a:path>
          </a:pathLst>
        </a:custGeom>
        <a:noFill/>
        <a:ln w="1905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22250">
            <a:lnSpc>
              <a:spcPct val="90000"/>
            </a:lnSpc>
            <a:spcBef>
              <a:spcPct val="0"/>
            </a:spcBef>
            <a:spcAft>
              <a:spcPct val="35000"/>
            </a:spcAft>
            <a:buNone/>
          </a:pPr>
          <a:endParaRPr lang="en-US" sz="500" kern="1200"/>
        </a:p>
      </dsp:txBody>
      <dsp:txXfrm>
        <a:off x="2960385" y="290355"/>
        <a:ext cx="22829" cy="22829"/>
      </dsp:txXfrm>
    </dsp:sp>
    <dsp:sp modelId="{09156CF9-B156-40F0-ABD7-405AD20EDCC8}">
      <dsp:nvSpPr>
        <dsp:cNvPr id="0" name=""/>
        <dsp:cNvSpPr/>
      </dsp:nvSpPr>
      <dsp:spPr>
        <a:xfrm>
          <a:off x="3200098" y="16397"/>
          <a:ext cx="1141492" cy="570746"/>
        </a:xfrm>
        <a:prstGeom prst="roundRect">
          <a:avLst>
            <a:gd name="adj" fmla="val 10000"/>
          </a:avLst>
        </a:prstGeom>
        <a:solidFill>
          <a:srgbClr val="00B050"/>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marL="0" lvl="0" indent="0" algn="ctr" defTabSz="533400">
            <a:lnSpc>
              <a:spcPct val="90000"/>
            </a:lnSpc>
            <a:spcBef>
              <a:spcPct val="0"/>
            </a:spcBef>
            <a:spcAft>
              <a:spcPct val="35000"/>
            </a:spcAft>
            <a:buNone/>
          </a:pPr>
          <a:r>
            <a:rPr lang="en-US" sz="1200" kern="1200" dirty="0"/>
            <a:t>Waste Evaluation Toolkit</a:t>
          </a:r>
        </a:p>
      </dsp:txBody>
      <dsp:txXfrm>
        <a:off x="3216815" y="33114"/>
        <a:ext cx="1108058" cy="537312"/>
      </dsp:txXfrm>
    </dsp:sp>
    <dsp:sp modelId="{0CE4C36F-4739-4356-AEE3-E96422DA5C1E}">
      <dsp:nvSpPr>
        <dsp:cNvPr id="0" name=""/>
        <dsp:cNvSpPr/>
      </dsp:nvSpPr>
      <dsp:spPr>
        <a:xfrm>
          <a:off x="4341591" y="285862"/>
          <a:ext cx="456597" cy="31816"/>
        </a:xfrm>
        <a:custGeom>
          <a:avLst/>
          <a:gdLst/>
          <a:ahLst/>
          <a:cxnLst/>
          <a:rect l="0" t="0" r="0" b="0"/>
          <a:pathLst>
            <a:path>
              <a:moveTo>
                <a:pt x="0" y="15908"/>
              </a:moveTo>
              <a:lnTo>
                <a:pt x="456597" y="15908"/>
              </a:lnTo>
            </a:path>
          </a:pathLst>
        </a:custGeom>
        <a:noFill/>
        <a:ln w="1905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22250">
            <a:lnSpc>
              <a:spcPct val="90000"/>
            </a:lnSpc>
            <a:spcBef>
              <a:spcPct val="0"/>
            </a:spcBef>
            <a:spcAft>
              <a:spcPct val="35000"/>
            </a:spcAft>
            <a:buNone/>
          </a:pPr>
          <a:endParaRPr lang="en-US" sz="500" kern="1200"/>
        </a:p>
      </dsp:txBody>
      <dsp:txXfrm>
        <a:off x="4558474" y="290355"/>
        <a:ext cx="22829" cy="22829"/>
      </dsp:txXfrm>
    </dsp:sp>
    <dsp:sp modelId="{9A9B883B-A515-4EEE-BC78-1FD31C7A48EC}">
      <dsp:nvSpPr>
        <dsp:cNvPr id="0" name=""/>
        <dsp:cNvSpPr/>
      </dsp:nvSpPr>
      <dsp:spPr>
        <a:xfrm>
          <a:off x="4798188" y="16397"/>
          <a:ext cx="1141492" cy="570746"/>
        </a:xfrm>
        <a:prstGeom prst="roundRect">
          <a:avLst>
            <a:gd name="adj" fmla="val 10000"/>
          </a:avLst>
        </a:prstGeom>
        <a:solidFill>
          <a:srgbClr val="00B050"/>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marL="0" lvl="0" indent="0" algn="ctr" defTabSz="533400">
            <a:lnSpc>
              <a:spcPct val="90000"/>
            </a:lnSpc>
            <a:spcBef>
              <a:spcPct val="0"/>
            </a:spcBef>
            <a:spcAft>
              <a:spcPct val="35000"/>
            </a:spcAft>
            <a:buNone/>
          </a:pPr>
          <a:r>
            <a:rPr lang="en-US" sz="1200" kern="1200" dirty="0"/>
            <a:t>Green Business Award</a:t>
          </a:r>
        </a:p>
      </dsp:txBody>
      <dsp:txXfrm>
        <a:off x="4814905" y="33114"/>
        <a:ext cx="1108058" cy="537312"/>
      </dsp:txXfrm>
    </dsp:sp>
    <dsp:sp modelId="{282718F7-B7BD-41A8-B12F-51727C212FCD}">
      <dsp:nvSpPr>
        <dsp:cNvPr id="0" name=""/>
        <dsp:cNvSpPr/>
      </dsp:nvSpPr>
      <dsp:spPr>
        <a:xfrm rot="3654187">
          <a:off x="904238" y="1516534"/>
          <a:ext cx="938943" cy="31816"/>
        </a:xfrm>
        <a:custGeom>
          <a:avLst/>
          <a:gdLst/>
          <a:ahLst/>
          <a:cxnLst/>
          <a:rect l="0" t="0" r="0" b="0"/>
          <a:pathLst>
            <a:path>
              <a:moveTo>
                <a:pt x="0" y="15908"/>
              </a:moveTo>
              <a:lnTo>
                <a:pt x="938943" y="15908"/>
              </a:lnTo>
            </a:path>
          </a:pathLst>
        </a:custGeom>
        <a:noFill/>
        <a:ln w="19050" cap="flat" cmpd="sng" algn="ctr">
          <a:solidFill>
            <a:schemeClr val="accent1">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22250">
            <a:lnSpc>
              <a:spcPct val="90000"/>
            </a:lnSpc>
            <a:spcBef>
              <a:spcPct val="0"/>
            </a:spcBef>
            <a:spcAft>
              <a:spcPct val="35000"/>
            </a:spcAft>
            <a:buNone/>
          </a:pPr>
          <a:endParaRPr lang="en-US" sz="500" kern="1200"/>
        </a:p>
      </dsp:txBody>
      <dsp:txXfrm>
        <a:off x="1350236" y="1508968"/>
        <a:ext cx="46947" cy="46947"/>
      </dsp:txXfrm>
    </dsp:sp>
    <dsp:sp modelId="{6C9C8255-B5A5-40F7-86AC-AAE20E809764}">
      <dsp:nvSpPr>
        <dsp:cNvPr id="0" name=""/>
        <dsp:cNvSpPr/>
      </dsp:nvSpPr>
      <dsp:spPr>
        <a:xfrm>
          <a:off x="1602008" y="1657292"/>
          <a:ext cx="1141492" cy="570746"/>
        </a:xfrm>
        <a:prstGeom prst="roundRect">
          <a:avLst>
            <a:gd name="adj" fmla="val 10000"/>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marL="0" lvl="0" indent="0" algn="ctr" defTabSz="533400">
            <a:lnSpc>
              <a:spcPct val="90000"/>
            </a:lnSpc>
            <a:spcBef>
              <a:spcPct val="0"/>
            </a:spcBef>
            <a:spcAft>
              <a:spcPct val="35000"/>
            </a:spcAft>
            <a:buNone/>
          </a:pPr>
          <a:r>
            <a:rPr lang="en-US" sz="1200" kern="1200" dirty="0"/>
            <a:t>Additional Toolkits</a:t>
          </a:r>
        </a:p>
      </dsp:txBody>
      <dsp:txXfrm>
        <a:off x="1618725" y="1674009"/>
        <a:ext cx="1108058" cy="537312"/>
      </dsp:txXfrm>
    </dsp:sp>
    <dsp:sp modelId="{7B00FCBE-BC0D-47C2-8D9E-044A8DD2315F}">
      <dsp:nvSpPr>
        <dsp:cNvPr id="0" name=""/>
        <dsp:cNvSpPr/>
      </dsp:nvSpPr>
      <dsp:spPr>
        <a:xfrm rot="17692822">
          <a:off x="2429168" y="1434489"/>
          <a:ext cx="1085262" cy="31816"/>
        </a:xfrm>
        <a:custGeom>
          <a:avLst/>
          <a:gdLst/>
          <a:ahLst/>
          <a:cxnLst/>
          <a:rect l="0" t="0" r="0" b="0"/>
          <a:pathLst>
            <a:path>
              <a:moveTo>
                <a:pt x="0" y="15908"/>
              </a:moveTo>
              <a:lnTo>
                <a:pt x="1085262" y="15908"/>
              </a:lnTo>
            </a:path>
          </a:pathLst>
        </a:custGeom>
        <a:noFill/>
        <a:ln w="1905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22250">
            <a:lnSpc>
              <a:spcPct val="90000"/>
            </a:lnSpc>
            <a:spcBef>
              <a:spcPct val="0"/>
            </a:spcBef>
            <a:spcAft>
              <a:spcPct val="35000"/>
            </a:spcAft>
            <a:buNone/>
          </a:pPr>
          <a:endParaRPr lang="en-US" sz="500" kern="1200"/>
        </a:p>
      </dsp:txBody>
      <dsp:txXfrm>
        <a:off x="2944668" y="1423265"/>
        <a:ext cx="54263" cy="54263"/>
      </dsp:txXfrm>
    </dsp:sp>
    <dsp:sp modelId="{D73ACAB9-8C75-440A-95C3-1A0BB570B4A3}">
      <dsp:nvSpPr>
        <dsp:cNvPr id="0" name=""/>
        <dsp:cNvSpPr/>
      </dsp:nvSpPr>
      <dsp:spPr>
        <a:xfrm>
          <a:off x="3200098" y="672755"/>
          <a:ext cx="1141492" cy="570746"/>
        </a:xfrm>
        <a:prstGeom prst="roundRect">
          <a:avLst>
            <a:gd name="adj" fmla="val 10000"/>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marL="0" lvl="0" indent="0" algn="ctr" defTabSz="533400">
            <a:lnSpc>
              <a:spcPct val="90000"/>
            </a:lnSpc>
            <a:spcBef>
              <a:spcPct val="0"/>
            </a:spcBef>
            <a:spcAft>
              <a:spcPct val="35000"/>
            </a:spcAft>
            <a:buNone/>
          </a:pPr>
          <a:r>
            <a:rPr lang="en-US" sz="1200" kern="1200" dirty="0"/>
            <a:t>Cost Evaluation Toolkit</a:t>
          </a:r>
        </a:p>
      </dsp:txBody>
      <dsp:txXfrm>
        <a:off x="3216815" y="689472"/>
        <a:ext cx="1108058" cy="537312"/>
      </dsp:txXfrm>
    </dsp:sp>
    <dsp:sp modelId="{2802ECD4-4AD3-49BE-A28C-BE2012512E96}">
      <dsp:nvSpPr>
        <dsp:cNvPr id="0" name=""/>
        <dsp:cNvSpPr/>
      </dsp:nvSpPr>
      <dsp:spPr>
        <a:xfrm rot="19457599">
          <a:off x="2690649" y="1762668"/>
          <a:ext cx="562301" cy="31816"/>
        </a:xfrm>
        <a:custGeom>
          <a:avLst/>
          <a:gdLst/>
          <a:ahLst/>
          <a:cxnLst/>
          <a:rect l="0" t="0" r="0" b="0"/>
          <a:pathLst>
            <a:path>
              <a:moveTo>
                <a:pt x="0" y="15908"/>
              </a:moveTo>
              <a:lnTo>
                <a:pt x="562301" y="15908"/>
              </a:lnTo>
            </a:path>
          </a:pathLst>
        </a:custGeom>
        <a:noFill/>
        <a:ln w="1905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22250">
            <a:lnSpc>
              <a:spcPct val="90000"/>
            </a:lnSpc>
            <a:spcBef>
              <a:spcPct val="0"/>
            </a:spcBef>
            <a:spcAft>
              <a:spcPct val="35000"/>
            </a:spcAft>
            <a:buNone/>
          </a:pPr>
          <a:endParaRPr lang="en-US" sz="500" kern="1200"/>
        </a:p>
      </dsp:txBody>
      <dsp:txXfrm>
        <a:off x="2957742" y="1764519"/>
        <a:ext cx="28115" cy="28115"/>
      </dsp:txXfrm>
    </dsp:sp>
    <dsp:sp modelId="{382C766B-41D9-4F9F-B873-057CE92AE591}">
      <dsp:nvSpPr>
        <dsp:cNvPr id="0" name=""/>
        <dsp:cNvSpPr/>
      </dsp:nvSpPr>
      <dsp:spPr>
        <a:xfrm>
          <a:off x="3200098" y="1329113"/>
          <a:ext cx="1141492" cy="570746"/>
        </a:xfrm>
        <a:prstGeom prst="roundRect">
          <a:avLst>
            <a:gd name="adj" fmla="val 10000"/>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marL="0" lvl="0" indent="0" algn="ctr" defTabSz="533400">
            <a:lnSpc>
              <a:spcPct val="90000"/>
            </a:lnSpc>
            <a:spcBef>
              <a:spcPct val="0"/>
            </a:spcBef>
            <a:spcAft>
              <a:spcPct val="35000"/>
            </a:spcAft>
            <a:buNone/>
          </a:pPr>
          <a:r>
            <a:rPr lang="en-US" sz="1200" kern="1200" dirty="0"/>
            <a:t>Waste Management Tracking Toolkit</a:t>
          </a:r>
        </a:p>
      </dsp:txBody>
      <dsp:txXfrm>
        <a:off x="3216815" y="1345830"/>
        <a:ext cx="1108058" cy="537312"/>
      </dsp:txXfrm>
    </dsp:sp>
    <dsp:sp modelId="{6528BE30-A77F-49B8-9141-0EE524682CC0}">
      <dsp:nvSpPr>
        <dsp:cNvPr id="0" name=""/>
        <dsp:cNvSpPr/>
      </dsp:nvSpPr>
      <dsp:spPr>
        <a:xfrm rot="2142401">
          <a:off x="2690649" y="2090847"/>
          <a:ext cx="562301" cy="31816"/>
        </a:xfrm>
        <a:custGeom>
          <a:avLst/>
          <a:gdLst/>
          <a:ahLst/>
          <a:cxnLst/>
          <a:rect l="0" t="0" r="0" b="0"/>
          <a:pathLst>
            <a:path>
              <a:moveTo>
                <a:pt x="0" y="15908"/>
              </a:moveTo>
              <a:lnTo>
                <a:pt x="562301" y="15908"/>
              </a:lnTo>
            </a:path>
          </a:pathLst>
        </a:custGeom>
        <a:noFill/>
        <a:ln w="1905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22250">
            <a:lnSpc>
              <a:spcPct val="90000"/>
            </a:lnSpc>
            <a:spcBef>
              <a:spcPct val="0"/>
            </a:spcBef>
            <a:spcAft>
              <a:spcPct val="35000"/>
            </a:spcAft>
            <a:buNone/>
          </a:pPr>
          <a:endParaRPr lang="en-US" sz="500" kern="1200"/>
        </a:p>
      </dsp:txBody>
      <dsp:txXfrm>
        <a:off x="2957742" y="2092698"/>
        <a:ext cx="28115" cy="28115"/>
      </dsp:txXfrm>
    </dsp:sp>
    <dsp:sp modelId="{2E695357-033A-4371-8B11-848415D129E2}">
      <dsp:nvSpPr>
        <dsp:cNvPr id="0" name=""/>
        <dsp:cNvSpPr/>
      </dsp:nvSpPr>
      <dsp:spPr>
        <a:xfrm>
          <a:off x="3200098" y="1985472"/>
          <a:ext cx="1141492" cy="570746"/>
        </a:xfrm>
        <a:prstGeom prst="roundRect">
          <a:avLst>
            <a:gd name="adj" fmla="val 10000"/>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marL="0" lvl="0" indent="0" algn="ctr" defTabSz="533400">
            <a:lnSpc>
              <a:spcPct val="90000"/>
            </a:lnSpc>
            <a:spcBef>
              <a:spcPct val="0"/>
            </a:spcBef>
            <a:spcAft>
              <a:spcPct val="35000"/>
            </a:spcAft>
            <a:buNone/>
          </a:pPr>
          <a:r>
            <a:rPr lang="en-US" sz="1200" kern="1200" dirty="0"/>
            <a:t>Program Startup Toolkit</a:t>
          </a:r>
        </a:p>
      </dsp:txBody>
      <dsp:txXfrm>
        <a:off x="3216815" y="2002189"/>
        <a:ext cx="1108058" cy="537312"/>
      </dsp:txXfrm>
    </dsp:sp>
    <dsp:sp modelId="{83FBDBED-E713-4470-B651-116504975855}">
      <dsp:nvSpPr>
        <dsp:cNvPr id="0" name=""/>
        <dsp:cNvSpPr/>
      </dsp:nvSpPr>
      <dsp:spPr>
        <a:xfrm rot="3907178">
          <a:off x="2429168" y="2419026"/>
          <a:ext cx="1085262" cy="31816"/>
        </a:xfrm>
        <a:custGeom>
          <a:avLst/>
          <a:gdLst/>
          <a:ahLst/>
          <a:cxnLst/>
          <a:rect l="0" t="0" r="0" b="0"/>
          <a:pathLst>
            <a:path>
              <a:moveTo>
                <a:pt x="0" y="15908"/>
              </a:moveTo>
              <a:lnTo>
                <a:pt x="1085262" y="15908"/>
              </a:lnTo>
            </a:path>
          </a:pathLst>
        </a:custGeom>
        <a:noFill/>
        <a:ln w="1905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22250">
            <a:lnSpc>
              <a:spcPct val="90000"/>
            </a:lnSpc>
            <a:spcBef>
              <a:spcPct val="0"/>
            </a:spcBef>
            <a:spcAft>
              <a:spcPct val="35000"/>
            </a:spcAft>
            <a:buNone/>
          </a:pPr>
          <a:endParaRPr lang="en-US" sz="500" kern="1200"/>
        </a:p>
      </dsp:txBody>
      <dsp:txXfrm>
        <a:off x="2944668" y="2407803"/>
        <a:ext cx="54263" cy="54263"/>
      </dsp:txXfrm>
    </dsp:sp>
    <dsp:sp modelId="{2576217B-AA7C-4783-833A-361DE257DCF4}">
      <dsp:nvSpPr>
        <dsp:cNvPr id="0" name=""/>
        <dsp:cNvSpPr/>
      </dsp:nvSpPr>
      <dsp:spPr>
        <a:xfrm>
          <a:off x="3200098" y="2641830"/>
          <a:ext cx="1141492" cy="570746"/>
        </a:xfrm>
        <a:prstGeom prst="roundRect">
          <a:avLst>
            <a:gd name="adj" fmla="val 10000"/>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7620" tIns="7620" rIns="7620" bIns="7620" numCol="1" spcCol="1270" anchor="ctr" anchorCtr="0">
          <a:noAutofit/>
        </a:bodyPr>
        <a:lstStyle/>
        <a:p>
          <a:pPr marL="0" lvl="0" indent="0" algn="ctr" defTabSz="533400">
            <a:lnSpc>
              <a:spcPct val="90000"/>
            </a:lnSpc>
            <a:spcBef>
              <a:spcPct val="0"/>
            </a:spcBef>
            <a:spcAft>
              <a:spcPct val="35000"/>
            </a:spcAft>
            <a:buNone/>
          </a:pPr>
          <a:r>
            <a:rPr lang="en-US" sz="1200" kern="1200" dirty="0"/>
            <a:t>Additional Resources Toolkit</a:t>
          </a:r>
        </a:p>
      </dsp:txBody>
      <dsp:txXfrm>
        <a:off x="3216815" y="2658547"/>
        <a:ext cx="1108058" cy="537312"/>
      </dsp:txXfrm>
    </dsp:sp>
  </dsp:spTree>
</dsp:drawing>
</file>

<file path=xl/diagrams/drawing2.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A80E50AC-07E5-4A73-A1AF-0B991D9BE118}">
      <dsp:nvSpPr>
        <dsp:cNvPr id="0" name=""/>
        <dsp:cNvSpPr/>
      </dsp:nvSpPr>
      <dsp:spPr>
        <a:xfrm>
          <a:off x="4821030" y="1291861"/>
          <a:ext cx="146377" cy="1141741"/>
        </a:xfrm>
        <a:custGeom>
          <a:avLst/>
          <a:gdLst/>
          <a:ahLst/>
          <a:cxnLst/>
          <a:rect l="0" t="0" r="0" b="0"/>
          <a:pathLst>
            <a:path>
              <a:moveTo>
                <a:pt x="0" y="0"/>
              </a:moveTo>
              <a:lnTo>
                <a:pt x="0" y="1141741"/>
              </a:lnTo>
              <a:lnTo>
                <a:pt x="146377" y="1141741"/>
              </a:lnTo>
            </a:path>
          </a:pathLst>
        </a:custGeom>
        <a:noFill/>
        <a:ln w="1905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E83F464E-2070-4B3A-97CD-56F24BD0854A}">
      <dsp:nvSpPr>
        <dsp:cNvPr id="0" name=""/>
        <dsp:cNvSpPr/>
      </dsp:nvSpPr>
      <dsp:spPr>
        <a:xfrm>
          <a:off x="4821030" y="1291861"/>
          <a:ext cx="146377" cy="448889"/>
        </a:xfrm>
        <a:custGeom>
          <a:avLst/>
          <a:gdLst/>
          <a:ahLst/>
          <a:cxnLst/>
          <a:rect l="0" t="0" r="0" b="0"/>
          <a:pathLst>
            <a:path>
              <a:moveTo>
                <a:pt x="0" y="0"/>
              </a:moveTo>
              <a:lnTo>
                <a:pt x="0" y="448889"/>
              </a:lnTo>
              <a:lnTo>
                <a:pt x="146377" y="448889"/>
              </a:lnTo>
            </a:path>
          </a:pathLst>
        </a:custGeom>
        <a:noFill/>
        <a:ln w="1905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CCB70B0B-894D-41FF-A075-46A95BB261AD}">
      <dsp:nvSpPr>
        <dsp:cNvPr id="0" name=""/>
        <dsp:cNvSpPr/>
      </dsp:nvSpPr>
      <dsp:spPr>
        <a:xfrm>
          <a:off x="2849819" y="599010"/>
          <a:ext cx="2361550" cy="204927"/>
        </a:xfrm>
        <a:custGeom>
          <a:avLst/>
          <a:gdLst/>
          <a:ahLst/>
          <a:cxnLst/>
          <a:rect l="0" t="0" r="0" b="0"/>
          <a:pathLst>
            <a:path>
              <a:moveTo>
                <a:pt x="0" y="0"/>
              </a:moveTo>
              <a:lnTo>
                <a:pt x="0" y="102463"/>
              </a:lnTo>
              <a:lnTo>
                <a:pt x="2361550" y="102463"/>
              </a:lnTo>
              <a:lnTo>
                <a:pt x="2361550" y="204927"/>
              </a:lnTo>
            </a:path>
          </a:pathLst>
        </a:custGeom>
        <a:noFill/>
        <a:ln w="19050" cap="flat" cmpd="sng" algn="ctr">
          <a:solidFill>
            <a:schemeClr val="accent1">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BC8B647A-5FDC-4531-BB70-7CD023684A91}">
      <dsp:nvSpPr>
        <dsp:cNvPr id="0" name=""/>
        <dsp:cNvSpPr/>
      </dsp:nvSpPr>
      <dsp:spPr>
        <a:xfrm>
          <a:off x="3640255" y="1291861"/>
          <a:ext cx="146377" cy="1834593"/>
        </a:xfrm>
        <a:custGeom>
          <a:avLst/>
          <a:gdLst/>
          <a:ahLst/>
          <a:cxnLst/>
          <a:rect l="0" t="0" r="0" b="0"/>
          <a:pathLst>
            <a:path>
              <a:moveTo>
                <a:pt x="0" y="0"/>
              </a:moveTo>
              <a:lnTo>
                <a:pt x="0" y="1834593"/>
              </a:lnTo>
              <a:lnTo>
                <a:pt x="146377" y="1834593"/>
              </a:lnTo>
            </a:path>
          </a:pathLst>
        </a:custGeom>
        <a:noFill/>
        <a:ln w="1905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B04B8693-2DCD-4B07-80EF-72F9F6CAD2CC}">
      <dsp:nvSpPr>
        <dsp:cNvPr id="0" name=""/>
        <dsp:cNvSpPr/>
      </dsp:nvSpPr>
      <dsp:spPr>
        <a:xfrm>
          <a:off x="3640255" y="1291861"/>
          <a:ext cx="146377" cy="1141741"/>
        </a:xfrm>
        <a:custGeom>
          <a:avLst/>
          <a:gdLst/>
          <a:ahLst/>
          <a:cxnLst/>
          <a:rect l="0" t="0" r="0" b="0"/>
          <a:pathLst>
            <a:path>
              <a:moveTo>
                <a:pt x="0" y="0"/>
              </a:moveTo>
              <a:lnTo>
                <a:pt x="0" y="1141741"/>
              </a:lnTo>
              <a:lnTo>
                <a:pt x="146377" y="1141741"/>
              </a:lnTo>
            </a:path>
          </a:pathLst>
        </a:custGeom>
        <a:noFill/>
        <a:ln w="1905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08EF4037-975C-4902-BD02-0DB8C6EF9E76}">
      <dsp:nvSpPr>
        <dsp:cNvPr id="0" name=""/>
        <dsp:cNvSpPr/>
      </dsp:nvSpPr>
      <dsp:spPr>
        <a:xfrm>
          <a:off x="3640255" y="1291861"/>
          <a:ext cx="146377" cy="448889"/>
        </a:xfrm>
        <a:custGeom>
          <a:avLst/>
          <a:gdLst/>
          <a:ahLst/>
          <a:cxnLst/>
          <a:rect l="0" t="0" r="0" b="0"/>
          <a:pathLst>
            <a:path>
              <a:moveTo>
                <a:pt x="0" y="0"/>
              </a:moveTo>
              <a:lnTo>
                <a:pt x="0" y="448889"/>
              </a:lnTo>
              <a:lnTo>
                <a:pt x="146377" y="448889"/>
              </a:lnTo>
            </a:path>
          </a:pathLst>
        </a:custGeom>
        <a:noFill/>
        <a:ln w="1905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6C7F5734-72FD-47DD-B059-E31559928648}">
      <dsp:nvSpPr>
        <dsp:cNvPr id="0" name=""/>
        <dsp:cNvSpPr/>
      </dsp:nvSpPr>
      <dsp:spPr>
        <a:xfrm>
          <a:off x="2849819" y="599010"/>
          <a:ext cx="1180775" cy="204927"/>
        </a:xfrm>
        <a:custGeom>
          <a:avLst/>
          <a:gdLst/>
          <a:ahLst/>
          <a:cxnLst/>
          <a:rect l="0" t="0" r="0" b="0"/>
          <a:pathLst>
            <a:path>
              <a:moveTo>
                <a:pt x="0" y="0"/>
              </a:moveTo>
              <a:lnTo>
                <a:pt x="0" y="102463"/>
              </a:lnTo>
              <a:lnTo>
                <a:pt x="1180775" y="102463"/>
              </a:lnTo>
              <a:lnTo>
                <a:pt x="1180775" y="204927"/>
              </a:lnTo>
            </a:path>
          </a:pathLst>
        </a:custGeom>
        <a:noFill/>
        <a:ln w="19050" cap="flat" cmpd="sng" algn="ctr">
          <a:solidFill>
            <a:schemeClr val="accent1">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F382A476-71C7-4594-9840-B805CFB76132}">
      <dsp:nvSpPr>
        <dsp:cNvPr id="0" name=""/>
        <dsp:cNvSpPr/>
      </dsp:nvSpPr>
      <dsp:spPr>
        <a:xfrm>
          <a:off x="2459480" y="1291861"/>
          <a:ext cx="146377" cy="1141741"/>
        </a:xfrm>
        <a:custGeom>
          <a:avLst/>
          <a:gdLst/>
          <a:ahLst/>
          <a:cxnLst/>
          <a:rect l="0" t="0" r="0" b="0"/>
          <a:pathLst>
            <a:path>
              <a:moveTo>
                <a:pt x="0" y="0"/>
              </a:moveTo>
              <a:lnTo>
                <a:pt x="0" y="1141741"/>
              </a:lnTo>
              <a:lnTo>
                <a:pt x="146377" y="1141741"/>
              </a:lnTo>
            </a:path>
          </a:pathLst>
        </a:custGeom>
        <a:noFill/>
        <a:ln w="1905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294ABF28-C458-4880-9BD9-19505D4C4B01}">
      <dsp:nvSpPr>
        <dsp:cNvPr id="0" name=""/>
        <dsp:cNvSpPr/>
      </dsp:nvSpPr>
      <dsp:spPr>
        <a:xfrm>
          <a:off x="2459480" y="1291861"/>
          <a:ext cx="146377" cy="448889"/>
        </a:xfrm>
        <a:custGeom>
          <a:avLst/>
          <a:gdLst/>
          <a:ahLst/>
          <a:cxnLst/>
          <a:rect l="0" t="0" r="0" b="0"/>
          <a:pathLst>
            <a:path>
              <a:moveTo>
                <a:pt x="0" y="0"/>
              </a:moveTo>
              <a:lnTo>
                <a:pt x="0" y="448889"/>
              </a:lnTo>
              <a:lnTo>
                <a:pt x="146377" y="448889"/>
              </a:lnTo>
            </a:path>
          </a:pathLst>
        </a:custGeom>
        <a:noFill/>
        <a:ln w="1905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AD7DD0B4-FC3F-42A7-B3FA-51753FF557B1}">
      <dsp:nvSpPr>
        <dsp:cNvPr id="0" name=""/>
        <dsp:cNvSpPr/>
      </dsp:nvSpPr>
      <dsp:spPr>
        <a:xfrm>
          <a:off x="2804099" y="599010"/>
          <a:ext cx="91440" cy="204927"/>
        </a:xfrm>
        <a:custGeom>
          <a:avLst/>
          <a:gdLst/>
          <a:ahLst/>
          <a:cxnLst/>
          <a:rect l="0" t="0" r="0" b="0"/>
          <a:pathLst>
            <a:path>
              <a:moveTo>
                <a:pt x="45720" y="0"/>
              </a:moveTo>
              <a:lnTo>
                <a:pt x="45720" y="204927"/>
              </a:lnTo>
            </a:path>
          </a:pathLst>
        </a:custGeom>
        <a:noFill/>
        <a:ln w="19050" cap="flat" cmpd="sng" algn="ctr">
          <a:solidFill>
            <a:schemeClr val="accent1">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06F94DCF-DB69-493F-90C9-8CBA380582B8}">
      <dsp:nvSpPr>
        <dsp:cNvPr id="0" name=""/>
        <dsp:cNvSpPr/>
      </dsp:nvSpPr>
      <dsp:spPr>
        <a:xfrm>
          <a:off x="1278704" y="1291861"/>
          <a:ext cx="146377" cy="3913148"/>
        </a:xfrm>
        <a:custGeom>
          <a:avLst/>
          <a:gdLst/>
          <a:ahLst/>
          <a:cxnLst/>
          <a:rect l="0" t="0" r="0" b="0"/>
          <a:pathLst>
            <a:path>
              <a:moveTo>
                <a:pt x="0" y="0"/>
              </a:moveTo>
              <a:lnTo>
                <a:pt x="0" y="3913148"/>
              </a:lnTo>
              <a:lnTo>
                <a:pt x="146377" y="3913148"/>
              </a:lnTo>
            </a:path>
          </a:pathLst>
        </a:custGeom>
        <a:noFill/>
        <a:ln w="1905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56EA0BA7-16A8-465A-BB8F-8C9F44B0588F}">
      <dsp:nvSpPr>
        <dsp:cNvPr id="0" name=""/>
        <dsp:cNvSpPr/>
      </dsp:nvSpPr>
      <dsp:spPr>
        <a:xfrm>
          <a:off x="1278704" y="1291861"/>
          <a:ext cx="146377" cy="3220296"/>
        </a:xfrm>
        <a:custGeom>
          <a:avLst/>
          <a:gdLst/>
          <a:ahLst/>
          <a:cxnLst/>
          <a:rect l="0" t="0" r="0" b="0"/>
          <a:pathLst>
            <a:path>
              <a:moveTo>
                <a:pt x="0" y="0"/>
              </a:moveTo>
              <a:lnTo>
                <a:pt x="0" y="3220296"/>
              </a:lnTo>
              <a:lnTo>
                <a:pt x="146377" y="3220296"/>
              </a:lnTo>
            </a:path>
          </a:pathLst>
        </a:custGeom>
        <a:noFill/>
        <a:ln w="1905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6C098698-DC68-4EA4-9648-5EC996BEFC9A}">
      <dsp:nvSpPr>
        <dsp:cNvPr id="0" name=""/>
        <dsp:cNvSpPr/>
      </dsp:nvSpPr>
      <dsp:spPr>
        <a:xfrm>
          <a:off x="1278704" y="1291861"/>
          <a:ext cx="146377" cy="2527444"/>
        </a:xfrm>
        <a:custGeom>
          <a:avLst/>
          <a:gdLst/>
          <a:ahLst/>
          <a:cxnLst/>
          <a:rect l="0" t="0" r="0" b="0"/>
          <a:pathLst>
            <a:path>
              <a:moveTo>
                <a:pt x="0" y="0"/>
              </a:moveTo>
              <a:lnTo>
                <a:pt x="0" y="2527444"/>
              </a:lnTo>
              <a:lnTo>
                <a:pt x="146377" y="2527444"/>
              </a:lnTo>
            </a:path>
          </a:pathLst>
        </a:custGeom>
        <a:noFill/>
        <a:ln w="1905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C6AAE715-5FBE-4AC1-A6AA-971662B63296}">
      <dsp:nvSpPr>
        <dsp:cNvPr id="0" name=""/>
        <dsp:cNvSpPr/>
      </dsp:nvSpPr>
      <dsp:spPr>
        <a:xfrm>
          <a:off x="1278704" y="1291861"/>
          <a:ext cx="146377" cy="1834593"/>
        </a:xfrm>
        <a:custGeom>
          <a:avLst/>
          <a:gdLst/>
          <a:ahLst/>
          <a:cxnLst/>
          <a:rect l="0" t="0" r="0" b="0"/>
          <a:pathLst>
            <a:path>
              <a:moveTo>
                <a:pt x="0" y="0"/>
              </a:moveTo>
              <a:lnTo>
                <a:pt x="0" y="1834593"/>
              </a:lnTo>
              <a:lnTo>
                <a:pt x="146377" y="1834593"/>
              </a:lnTo>
            </a:path>
          </a:pathLst>
        </a:custGeom>
        <a:noFill/>
        <a:ln w="1905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860BECAF-D8FF-4EE5-B106-9263DB6DC2D6}">
      <dsp:nvSpPr>
        <dsp:cNvPr id="0" name=""/>
        <dsp:cNvSpPr/>
      </dsp:nvSpPr>
      <dsp:spPr>
        <a:xfrm>
          <a:off x="1278704" y="1291861"/>
          <a:ext cx="146377" cy="1141741"/>
        </a:xfrm>
        <a:custGeom>
          <a:avLst/>
          <a:gdLst/>
          <a:ahLst/>
          <a:cxnLst/>
          <a:rect l="0" t="0" r="0" b="0"/>
          <a:pathLst>
            <a:path>
              <a:moveTo>
                <a:pt x="0" y="0"/>
              </a:moveTo>
              <a:lnTo>
                <a:pt x="0" y="1141741"/>
              </a:lnTo>
              <a:lnTo>
                <a:pt x="146377" y="1141741"/>
              </a:lnTo>
            </a:path>
          </a:pathLst>
        </a:custGeom>
        <a:noFill/>
        <a:ln w="1905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C642333D-15BA-4C2C-8ED5-E6F1BC5D9EE5}">
      <dsp:nvSpPr>
        <dsp:cNvPr id="0" name=""/>
        <dsp:cNvSpPr/>
      </dsp:nvSpPr>
      <dsp:spPr>
        <a:xfrm>
          <a:off x="1278704" y="1291861"/>
          <a:ext cx="146377" cy="448889"/>
        </a:xfrm>
        <a:custGeom>
          <a:avLst/>
          <a:gdLst/>
          <a:ahLst/>
          <a:cxnLst/>
          <a:rect l="0" t="0" r="0" b="0"/>
          <a:pathLst>
            <a:path>
              <a:moveTo>
                <a:pt x="0" y="0"/>
              </a:moveTo>
              <a:lnTo>
                <a:pt x="0" y="448889"/>
              </a:lnTo>
              <a:lnTo>
                <a:pt x="146377" y="448889"/>
              </a:lnTo>
            </a:path>
          </a:pathLst>
        </a:custGeom>
        <a:noFill/>
        <a:ln w="1905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3C8454BE-4718-4AA1-8263-3F4DCBB8A259}">
      <dsp:nvSpPr>
        <dsp:cNvPr id="0" name=""/>
        <dsp:cNvSpPr/>
      </dsp:nvSpPr>
      <dsp:spPr>
        <a:xfrm>
          <a:off x="1669043" y="599010"/>
          <a:ext cx="1180775" cy="204927"/>
        </a:xfrm>
        <a:custGeom>
          <a:avLst/>
          <a:gdLst/>
          <a:ahLst/>
          <a:cxnLst/>
          <a:rect l="0" t="0" r="0" b="0"/>
          <a:pathLst>
            <a:path>
              <a:moveTo>
                <a:pt x="1180775" y="0"/>
              </a:moveTo>
              <a:lnTo>
                <a:pt x="1180775" y="102463"/>
              </a:lnTo>
              <a:lnTo>
                <a:pt x="0" y="102463"/>
              </a:lnTo>
              <a:lnTo>
                <a:pt x="0" y="204927"/>
              </a:lnTo>
            </a:path>
          </a:pathLst>
        </a:custGeom>
        <a:noFill/>
        <a:ln w="19050" cap="flat" cmpd="sng" algn="ctr">
          <a:solidFill>
            <a:schemeClr val="accent1">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E16A17D7-F643-4504-9517-FF63F3E21A0E}">
      <dsp:nvSpPr>
        <dsp:cNvPr id="0" name=""/>
        <dsp:cNvSpPr/>
      </dsp:nvSpPr>
      <dsp:spPr>
        <a:xfrm>
          <a:off x="97929" y="1291861"/>
          <a:ext cx="146377" cy="2527444"/>
        </a:xfrm>
        <a:custGeom>
          <a:avLst/>
          <a:gdLst/>
          <a:ahLst/>
          <a:cxnLst/>
          <a:rect l="0" t="0" r="0" b="0"/>
          <a:pathLst>
            <a:path>
              <a:moveTo>
                <a:pt x="0" y="0"/>
              </a:moveTo>
              <a:lnTo>
                <a:pt x="0" y="2527444"/>
              </a:lnTo>
              <a:lnTo>
                <a:pt x="146377" y="2527444"/>
              </a:lnTo>
            </a:path>
          </a:pathLst>
        </a:custGeom>
        <a:noFill/>
        <a:ln w="1905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91D5627C-7B52-41FC-AFF1-19FC8813BF9C}">
      <dsp:nvSpPr>
        <dsp:cNvPr id="0" name=""/>
        <dsp:cNvSpPr/>
      </dsp:nvSpPr>
      <dsp:spPr>
        <a:xfrm>
          <a:off x="97929" y="1291861"/>
          <a:ext cx="146377" cy="1834593"/>
        </a:xfrm>
        <a:custGeom>
          <a:avLst/>
          <a:gdLst/>
          <a:ahLst/>
          <a:cxnLst/>
          <a:rect l="0" t="0" r="0" b="0"/>
          <a:pathLst>
            <a:path>
              <a:moveTo>
                <a:pt x="0" y="0"/>
              </a:moveTo>
              <a:lnTo>
                <a:pt x="0" y="1834593"/>
              </a:lnTo>
              <a:lnTo>
                <a:pt x="146377" y="1834593"/>
              </a:lnTo>
            </a:path>
          </a:pathLst>
        </a:custGeom>
        <a:noFill/>
        <a:ln w="1905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713F840F-F496-4624-B3EF-9B73519D2CE0}">
      <dsp:nvSpPr>
        <dsp:cNvPr id="0" name=""/>
        <dsp:cNvSpPr/>
      </dsp:nvSpPr>
      <dsp:spPr>
        <a:xfrm>
          <a:off x="97929" y="1291861"/>
          <a:ext cx="146377" cy="1141741"/>
        </a:xfrm>
        <a:custGeom>
          <a:avLst/>
          <a:gdLst/>
          <a:ahLst/>
          <a:cxnLst/>
          <a:rect l="0" t="0" r="0" b="0"/>
          <a:pathLst>
            <a:path>
              <a:moveTo>
                <a:pt x="0" y="0"/>
              </a:moveTo>
              <a:lnTo>
                <a:pt x="0" y="1141741"/>
              </a:lnTo>
              <a:lnTo>
                <a:pt x="146377" y="1141741"/>
              </a:lnTo>
            </a:path>
          </a:pathLst>
        </a:custGeom>
        <a:noFill/>
        <a:ln w="1905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9832765A-225B-43F6-8BAD-D806E5333F4C}">
      <dsp:nvSpPr>
        <dsp:cNvPr id="0" name=""/>
        <dsp:cNvSpPr/>
      </dsp:nvSpPr>
      <dsp:spPr>
        <a:xfrm>
          <a:off x="97929" y="1291861"/>
          <a:ext cx="146377" cy="448889"/>
        </a:xfrm>
        <a:custGeom>
          <a:avLst/>
          <a:gdLst/>
          <a:ahLst/>
          <a:cxnLst/>
          <a:rect l="0" t="0" r="0" b="0"/>
          <a:pathLst>
            <a:path>
              <a:moveTo>
                <a:pt x="0" y="0"/>
              </a:moveTo>
              <a:lnTo>
                <a:pt x="0" y="448889"/>
              </a:lnTo>
              <a:lnTo>
                <a:pt x="146377" y="448889"/>
              </a:lnTo>
            </a:path>
          </a:pathLst>
        </a:custGeom>
        <a:noFill/>
        <a:ln w="1905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964BB57E-A2BB-4585-8A83-3C9DEC3EAD66}">
      <dsp:nvSpPr>
        <dsp:cNvPr id="0" name=""/>
        <dsp:cNvSpPr/>
      </dsp:nvSpPr>
      <dsp:spPr>
        <a:xfrm>
          <a:off x="488268" y="599010"/>
          <a:ext cx="2361550" cy="204927"/>
        </a:xfrm>
        <a:custGeom>
          <a:avLst/>
          <a:gdLst/>
          <a:ahLst/>
          <a:cxnLst/>
          <a:rect l="0" t="0" r="0" b="0"/>
          <a:pathLst>
            <a:path>
              <a:moveTo>
                <a:pt x="2361550" y="0"/>
              </a:moveTo>
              <a:lnTo>
                <a:pt x="2361550" y="102463"/>
              </a:lnTo>
              <a:lnTo>
                <a:pt x="0" y="102463"/>
              </a:lnTo>
              <a:lnTo>
                <a:pt x="0" y="204927"/>
              </a:lnTo>
            </a:path>
          </a:pathLst>
        </a:custGeom>
        <a:noFill/>
        <a:ln w="19050" cap="flat" cmpd="sng" algn="ctr">
          <a:solidFill>
            <a:schemeClr val="accent1">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sp>
    <dsp:sp modelId="{37D08529-23AA-4347-A054-2BA8C38DAD30}">
      <dsp:nvSpPr>
        <dsp:cNvPr id="0" name=""/>
        <dsp:cNvSpPr/>
      </dsp:nvSpPr>
      <dsp:spPr>
        <a:xfrm>
          <a:off x="2361895" y="111086"/>
          <a:ext cx="975847" cy="487923"/>
        </a:xfrm>
        <a:prstGeom prst="rect">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marL="0" lvl="0" indent="0" algn="ctr" defTabSz="488950">
            <a:lnSpc>
              <a:spcPct val="90000"/>
            </a:lnSpc>
            <a:spcBef>
              <a:spcPct val="0"/>
            </a:spcBef>
            <a:spcAft>
              <a:spcPct val="35000"/>
            </a:spcAft>
            <a:buNone/>
          </a:pPr>
          <a:r>
            <a:rPr lang="en-US" sz="1100" kern="1200" dirty="0"/>
            <a:t>Waste Reduction and Recycling Toolkits</a:t>
          </a:r>
        </a:p>
      </dsp:txBody>
      <dsp:txXfrm>
        <a:off x="2361895" y="111086"/>
        <a:ext cx="975847" cy="487923"/>
      </dsp:txXfrm>
    </dsp:sp>
    <dsp:sp modelId="{5095CFCE-4ECE-49BE-B5B8-132A2A21F956}">
      <dsp:nvSpPr>
        <dsp:cNvPr id="0" name=""/>
        <dsp:cNvSpPr/>
      </dsp:nvSpPr>
      <dsp:spPr>
        <a:xfrm>
          <a:off x="344" y="803937"/>
          <a:ext cx="975847" cy="487923"/>
        </a:xfrm>
        <a:prstGeom prst="rect">
          <a:avLst/>
        </a:prstGeom>
        <a:solidFill>
          <a:srgbClr val="00B050"/>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marL="0" lvl="0" indent="0" algn="ctr" defTabSz="488950">
            <a:lnSpc>
              <a:spcPct val="90000"/>
            </a:lnSpc>
            <a:spcBef>
              <a:spcPct val="0"/>
            </a:spcBef>
            <a:spcAft>
              <a:spcPct val="35000"/>
            </a:spcAft>
            <a:buNone/>
          </a:pPr>
          <a:r>
            <a:rPr lang="en-US" sz="1100" kern="1200" dirty="0"/>
            <a:t>Waste Evaluation Toolkit</a:t>
          </a:r>
        </a:p>
      </dsp:txBody>
      <dsp:txXfrm>
        <a:off x="344" y="803937"/>
        <a:ext cx="975847" cy="487923"/>
      </dsp:txXfrm>
    </dsp:sp>
    <dsp:sp modelId="{D5BEFF4A-20FA-49CB-A751-2AB209A550D4}">
      <dsp:nvSpPr>
        <dsp:cNvPr id="0" name=""/>
        <dsp:cNvSpPr/>
      </dsp:nvSpPr>
      <dsp:spPr>
        <a:xfrm>
          <a:off x="244306" y="1496789"/>
          <a:ext cx="975847" cy="487923"/>
        </a:xfrm>
        <a:prstGeom prst="rect">
          <a:avLst/>
        </a:prstGeom>
        <a:solidFill>
          <a:srgbClr val="00B050"/>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marL="0" lvl="0" indent="0" algn="ctr" defTabSz="488950">
            <a:lnSpc>
              <a:spcPct val="90000"/>
            </a:lnSpc>
            <a:spcBef>
              <a:spcPct val="0"/>
            </a:spcBef>
            <a:spcAft>
              <a:spcPct val="35000"/>
            </a:spcAft>
            <a:buNone/>
          </a:pPr>
          <a:r>
            <a:rPr lang="en-US" sz="1100" kern="1200" dirty="0"/>
            <a:t>Facility Survey</a:t>
          </a:r>
        </a:p>
      </dsp:txBody>
      <dsp:txXfrm>
        <a:off x="244306" y="1496789"/>
        <a:ext cx="975847" cy="487923"/>
      </dsp:txXfrm>
    </dsp:sp>
    <dsp:sp modelId="{ECCCFCAC-4713-4D88-BCC7-B341FBD3BBB5}">
      <dsp:nvSpPr>
        <dsp:cNvPr id="0" name=""/>
        <dsp:cNvSpPr/>
      </dsp:nvSpPr>
      <dsp:spPr>
        <a:xfrm>
          <a:off x="244306" y="2189641"/>
          <a:ext cx="975847" cy="487923"/>
        </a:xfrm>
        <a:prstGeom prst="rect">
          <a:avLst/>
        </a:prstGeom>
        <a:solidFill>
          <a:srgbClr val="00B050"/>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marL="0" lvl="0" indent="0" algn="ctr" defTabSz="488950">
            <a:lnSpc>
              <a:spcPct val="90000"/>
            </a:lnSpc>
            <a:spcBef>
              <a:spcPct val="0"/>
            </a:spcBef>
            <a:spcAft>
              <a:spcPct val="35000"/>
            </a:spcAft>
            <a:buNone/>
          </a:pPr>
          <a:r>
            <a:rPr lang="en-US" sz="1100" kern="1200" dirty="0"/>
            <a:t>Observation Checklist</a:t>
          </a:r>
        </a:p>
      </dsp:txBody>
      <dsp:txXfrm>
        <a:off x="244306" y="2189641"/>
        <a:ext cx="975847" cy="487923"/>
      </dsp:txXfrm>
    </dsp:sp>
    <dsp:sp modelId="{FE1E9AB5-ED4A-43FB-958D-14AE7A77731C}">
      <dsp:nvSpPr>
        <dsp:cNvPr id="0" name=""/>
        <dsp:cNvSpPr/>
      </dsp:nvSpPr>
      <dsp:spPr>
        <a:xfrm>
          <a:off x="244306" y="2882492"/>
          <a:ext cx="975847" cy="487923"/>
        </a:xfrm>
        <a:prstGeom prst="rect">
          <a:avLst/>
        </a:prstGeom>
        <a:solidFill>
          <a:srgbClr val="00B050"/>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marL="0" lvl="0" indent="0" algn="ctr" defTabSz="488950">
            <a:lnSpc>
              <a:spcPct val="90000"/>
            </a:lnSpc>
            <a:spcBef>
              <a:spcPct val="0"/>
            </a:spcBef>
            <a:spcAft>
              <a:spcPct val="35000"/>
            </a:spcAft>
            <a:buNone/>
          </a:pPr>
          <a:r>
            <a:rPr lang="en-US" sz="1100" kern="1200" dirty="0"/>
            <a:t>Waste Composition Form</a:t>
          </a:r>
        </a:p>
      </dsp:txBody>
      <dsp:txXfrm>
        <a:off x="244306" y="2882492"/>
        <a:ext cx="975847" cy="487923"/>
      </dsp:txXfrm>
    </dsp:sp>
    <dsp:sp modelId="{89D80571-492D-47DB-BC22-BCAEB7C94EEF}">
      <dsp:nvSpPr>
        <dsp:cNvPr id="0" name=""/>
        <dsp:cNvSpPr/>
      </dsp:nvSpPr>
      <dsp:spPr>
        <a:xfrm>
          <a:off x="244306" y="3575344"/>
          <a:ext cx="975847" cy="487923"/>
        </a:xfrm>
        <a:prstGeom prst="rect">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marL="0" lvl="0" indent="0" algn="ctr" defTabSz="488950">
            <a:lnSpc>
              <a:spcPct val="90000"/>
            </a:lnSpc>
            <a:spcBef>
              <a:spcPct val="0"/>
            </a:spcBef>
            <a:spcAft>
              <a:spcPct val="35000"/>
            </a:spcAft>
            <a:buNone/>
          </a:pPr>
          <a:r>
            <a:rPr lang="en-US" sz="1100" kern="1200" dirty="0"/>
            <a:t>Waste Composition Form - Advanced</a:t>
          </a:r>
        </a:p>
      </dsp:txBody>
      <dsp:txXfrm>
        <a:off x="244306" y="3575344"/>
        <a:ext cx="975847" cy="487923"/>
      </dsp:txXfrm>
    </dsp:sp>
    <dsp:sp modelId="{6320863C-1455-4BCE-826D-245368E80D02}">
      <dsp:nvSpPr>
        <dsp:cNvPr id="0" name=""/>
        <dsp:cNvSpPr/>
      </dsp:nvSpPr>
      <dsp:spPr>
        <a:xfrm>
          <a:off x="1181119" y="803937"/>
          <a:ext cx="975847" cy="487923"/>
        </a:xfrm>
        <a:prstGeom prst="rect">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marL="0" lvl="0" indent="0" algn="ctr" defTabSz="488950">
            <a:lnSpc>
              <a:spcPct val="90000"/>
            </a:lnSpc>
            <a:spcBef>
              <a:spcPct val="0"/>
            </a:spcBef>
            <a:spcAft>
              <a:spcPct val="35000"/>
            </a:spcAft>
            <a:buNone/>
          </a:pPr>
          <a:r>
            <a:rPr lang="en-US" sz="1100" kern="1200" dirty="0"/>
            <a:t>Cost Evaluation Toolkit</a:t>
          </a:r>
        </a:p>
      </dsp:txBody>
      <dsp:txXfrm>
        <a:off x="1181119" y="803937"/>
        <a:ext cx="975847" cy="487923"/>
      </dsp:txXfrm>
    </dsp:sp>
    <dsp:sp modelId="{5CD9BB64-0B96-489A-9BE4-FC6FA12F8051}">
      <dsp:nvSpPr>
        <dsp:cNvPr id="0" name=""/>
        <dsp:cNvSpPr/>
      </dsp:nvSpPr>
      <dsp:spPr>
        <a:xfrm>
          <a:off x="1425081" y="1496789"/>
          <a:ext cx="975847" cy="487923"/>
        </a:xfrm>
        <a:prstGeom prst="rect">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marL="0" lvl="0" indent="0" algn="ctr" defTabSz="488950">
            <a:lnSpc>
              <a:spcPct val="90000"/>
            </a:lnSpc>
            <a:spcBef>
              <a:spcPct val="0"/>
            </a:spcBef>
            <a:spcAft>
              <a:spcPct val="35000"/>
            </a:spcAft>
            <a:buNone/>
          </a:pPr>
          <a:r>
            <a:rPr lang="en-US" sz="1100" kern="1200" dirty="0"/>
            <a:t>Cost-Benefit Calculator</a:t>
          </a:r>
        </a:p>
      </dsp:txBody>
      <dsp:txXfrm>
        <a:off x="1425081" y="1496789"/>
        <a:ext cx="975847" cy="487923"/>
      </dsp:txXfrm>
    </dsp:sp>
    <dsp:sp modelId="{9ADE27D0-2761-4C52-B60E-F7C2BE7CF3DC}">
      <dsp:nvSpPr>
        <dsp:cNvPr id="0" name=""/>
        <dsp:cNvSpPr/>
      </dsp:nvSpPr>
      <dsp:spPr>
        <a:xfrm>
          <a:off x="1425081" y="2189641"/>
          <a:ext cx="975847" cy="487923"/>
        </a:xfrm>
        <a:prstGeom prst="rect">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marL="0" lvl="0" indent="0" algn="ctr" defTabSz="488950">
            <a:lnSpc>
              <a:spcPct val="90000"/>
            </a:lnSpc>
            <a:spcBef>
              <a:spcPct val="0"/>
            </a:spcBef>
            <a:spcAft>
              <a:spcPct val="35000"/>
            </a:spcAft>
            <a:buNone/>
          </a:pPr>
          <a:r>
            <a:rPr lang="en-US" sz="1100" kern="1200" dirty="0"/>
            <a:t>Container Capacity Calculator</a:t>
          </a:r>
        </a:p>
      </dsp:txBody>
      <dsp:txXfrm>
        <a:off x="1425081" y="2189641"/>
        <a:ext cx="975847" cy="487923"/>
      </dsp:txXfrm>
    </dsp:sp>
    <dsp:sp modelId="{91069D8A-E22E-4C27-AFAA-42C5459BF8EC}">
      <dsp:nvSpPr>
        <dsp:cNvPr id="0" name=""/>
        <dsp:cNvSpPr/>
      </dsp:nvSpPr>
      <dsp:spPr>
        <a:xfrm>
          <a:off x="1425081" y="2882492"/>
          <a:ext cx="975847" cy="487923"/>
        </a:xfrm>
        <a:prstGeom prst="rect">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marL="0" lvl="0" indent="0" algn="ctr" defTabSz="488950">
            <a:lnSpc>
              <a:spcPct val="90000"/>
            </a:lnSpc>
            <a:spcBef>
              <a:spcPct val="0"/>
            </a:spcBef>
            <a:spcAft>
              <a:spcPct val="35000"/>
            </a:spcAft>
            <a:buNone/>
          </a:pPr>
          <a:r>
            <a:rPr lang="en-US" sz="1100" kern="1200" dirty="0"/>
            <a:t>Container Cost Calculator</a:t>
          </a:r>
        </a:p>
      </dsp:txBody>
      <dsp:txXfrm>
        <a:off x="1425081" y="2882492"/>
        <a:ext cx="975847" cy="487923"/>
      </dsp:txXfrm>
    </dsp:sp>
    <dsp:sp modelId="{BE1ED92E-E3E7-4990-9D1E-981B0FA6BB3C}">
      <dsp:nvSpPr>
        <dsp:cNvPr id="0" name=""/>
        <dsp:cNvSpPr/>
      </dsp:nvSpPr>
      <dsp:spPr>
        <a:xfrm>
          <a:off x="1425081" y="3575344"/>
          <a:ext cx="975847" cy="487923"/>
        </a:xfrm>
        <a:prstGeom prst="rect">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marL="0" lvl="0" indent="0" algn="ctr" defTabSz="488950">
            <a:lnSpc>
              <a:spcPct val="90000"/>
            </a:lnSpc>
            <a:spcBef>
              <a:spcPct val="0"/>
            </a:spcBef>
            <a:spcAft>
              <a:spcPct val="35000"/>
            </a:spcAft>
            <a:buNone/>
          </a:pPr>
          <a:r>
            <a:rPr lang="en-US" sz="1100" kern="1200" dirty="0"/>
            <a:t>Financial Calculator</a:t>
          </a:r>
        </a:p>
      </dsp:txBody>
      <dsp:txXfrm>
        <a:off x="1425081" y="3575344"/>
        <a:ext cx="975847" cy="487923"/>
      </dsp:txXfrm>
    </dsp:sp>
    <dsp:sp modelId="{0260FB94-ED9E-4814-ACF9-5D8F92452F31}">
      <dsp:nvSpPr>
        <dsp:cNvPr id="0" name=""/>
        <dsp:cNvSpPr/>
      </dsp:nvSpPr>
      <dsp:spPr>
        <a:xfrm>
          <a:off x="1425081" y="4268196"/>
          <a:ext cx="975847" cy="487923"/>
        </a:xfrm>
        <a:prstGeom prst="rect">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marL="0" lvl="0" indent="0" algn="ctr" defTabSz="488950">
            <a:lnSpc>
              <a:spcPct val="90000"/>
            </a:lnSpc>
            <a:spcBef>
              <a:spcPct val="0"/>
            </a:spcBef>
            <a:spcAft>
              <a:spcPct val="35000"/>
            </a:spcAft>
            <a:buNone/>
          </a:pPr>
          <a:r>
            <a:rPr lang="en-US" sz="1100" kern="1200" dirty="0"/>
            <a:t>Job Creation Calculator</a:t>
          </a:r>
        </a:p>
      </dsp:txBody>
      <dsp:txXfrm>
        <a:off x="1425081" y="4268196"/>
        <a:ext cx="975847" cy="487923"/>
      </dsp:txXfrm>
    </dsp:sp>
    <dsp:sp modelId="{A9F3D186-2276-4AB5-846C-467350B5BB9E}">
      <dsp:nvSpPr>
        <dsp:cNvPr id="0" name=""/>
        <dsp:cNvSpPr/>
      </dsp:nvSpPr>
      <dsp:spPr>
        <a:xfrm>
          <a:off x="1425081" y="4961047"/>
          <a:ext cx="975847" cy="487923"/>
        </a:xfrm>
        <a:prstGeom prst="rect">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marL="0" lvl="0" indent="0" algn="ctr" defTabSz="488950">
            <a:lnSpc>
              <a:spcPct val="90000"/>
            </a:lnSpc>
            <a:spcBef>
              <a:spcPct val="0"/>
            </a:spcBef>
            <a:spcAft>
              <a:spcPct val="35000"/>
            </a:spcAft>
            <a:buNone/>
          </a:pPr>
          <a:r>
            <a:rPr lang="en-US" sz="1100" kern="1200" dirty="0"/>
            <a:t>Carbon Calculator</a:t>
          </a:r>
        </a:p>
      </dsp:txBody>
      <dsp:txXfrm>
        <a:off x="1425081" y="4961047"/>
        <a:ext cx="975847" cy="487923"/>
      </dsp:txXfrm>
    </dsp:sp>
    <dsp:sp modelId="{C9844760-B122-4D18-BEDE-17C3F2B22A7E}">
      <dsp:nvSpPr>
        <dsp:cNvPr id="0" name=""/>
        <dsp:cNvSpPr/>
      </dsp:nvSpPr>
      <dsp:spPr>
        <a:xfrm>
          <a:off x="2361895" y="803937"/>
          <a:ext cx="975847" cy="487923"/>
        </a:xfrm>
        <a:prstGeom prst="rect">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marL="0" lvl="0" indent="0" algn="ctr" defTabSz="488950">
            <a:lnSpc>
              <a:spcPct val="90000"/>
            </a:lnSpc>
            <a:spcBef>
              <a:spcPct val="0"/>
            </a:spcBef>
            <a:spcAft>
              <a:spcPct val="35000"/>
            </a:spcAft>
            <a:buNone/>
          </a:pPr>
          <a:r>
            <a:rPr lang="en-US" sz="1100" kern="1200" dirty="0"/>
            <a:t>Waste Management Tracking Toolkit</a:t>
          </a:r>
        </a:p>
      </dsp:txBody>
      <dsp:txXfrm>
        <a:off x="2361895" y="803937"/>
        <a:ext cx="975847" cy="487923"/>
      </dsp:txXfrm>
    </dsp:sp>
    <dsp:sp modelId="{CC8ED442-5F2B-435C-9A49-123A978DF41C}">
      <dsp:nvSpPr>
        <dsp:cNvPr id="0" name=""/>
        <dsp:cNvSpPr/>
      </dsp:nvSpPr>
      <dsp:spPr>
        <a:xfrm>
          <a:off x="2605857" y="1496789"/>
          <a:ext cx="975847" cy="487923"/>
        </a:xfrm>
        <a:prstGeom prst="rect">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marL="0" lvl="0" indent="0" algn="ctr" defTabSz="488950">
            <a:lnSpc>
              <a:spcPct val="90000"/>
            </a:lnSpc>
            <a:spcBef>
              <a:spcPct val="0"/>
            </a:spcBef>
            <a:spcAft>
              <a:spcPct val="35000"/>
            </a:spcAft>
            <a:buNone/>
          </a:pPr>
          <a:r>
            <a:rPr lang="en-US" sz="1100" kern="1200" dirty="0"/>
            <a:t>Program Dashboard</a:t>
          </a:r>
        </a:p>
      </dsp:txBody>
      <dsp:txXfrm>
        <a:off x="2605857" y="1496789"/>
        <a:ext cx="975847" cy="487923"/>
      </dsp:txXfrm>
    </dsp:sp>
    <dsp:sp modelId="{19E5BD61-D180-43F1-8B38-0854E2C5CEAA}">
      <dsp:nvSpPr>
        <dsp:cNvPr id="0" name=""/>
        <dsp:cNvSpPr/>
      </dsp:nvSpPr>
      <dsp:spPr>
        <a:xfrm>
          <a:off x="2605857" y="2189641"/>
          <a:ext cx="975847" cy="487923"/>
        </a:xfrm>
        <a:prstGeom prst="rect">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marL="0" lvl="0" indent="0" algn="ctr" defTabSz="488950">
            <a:lnSpc>
              <a:spcPct val="90000"/>
            </a:lnSpc>
            <a:spcBef>
              <a:spcPct val="0"/>
            </a:spcBef>
            <a:spcAft>
              <a:spcPct val="35000"/>
            </a:spcAft>
            <a:buNone/>
          </a:pPr>
          <a:r>
            <a:rPr lang="en-US" sz="1100" kern="1200" dirty="0"/>
            <a:t>Monthly Tracker</a:t>
          </a:r>
        </a:p>
      </dsp:txBody>
      <dsp:txXfrm>
        <a:off x="2605857" y="2189641"/>
        <a:ext cx="975847" cy="487923"/>
      </dsp:txXfrm>
    </dsp:sp>
    <dsp:sp modelId="{04C313F0-1227-476E-82B6-56DBE6FBC64B}">
      <dsp:nvSpPr>
        <dsp:cNvPr id="0" name=""/>
        <dsp:cNvSpPr/>
      </dsp:nvSpPr>
      <dsp:spPr>
        <a:xfrm>
          <a:off x="3542670" y="803937"/>
          <a:ext cx="975847" cy="487923"/>
        </a:xfrm>
        <a:prstGeom prst="rect">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marL="0" lvl="0" indent="0" algn="ctr" defTabSz="488950">
            <a:lnSpc>
              <a:spcPct val="90000"/>
            </a:lnSpc>
            <a:spcBef>
              <a:spcPct val="0"/>
            </a:spcBef>
            <a:spcAft>
              <a:spcPct val="35000"/>
            </a:spcAft>
            <a:buNone/>
          </a:pPr>
          <a:r>
            <a:rPr lang="en-US" sz="1100" kern="1200" dirty="0"/>
            <a:t>Program Startup Toolkit</a:t>
          </a:r>
        </a:p>
      </dsp:txBody>
      <dsp:txXfrm>
        <a:off x="3542670" y="803937"/>
        <a:ext cx="975847" cy="487923"/>
      </dsp:txXfrm>
    </dsp:sp>
    <dsp:sp modelId="{457B47B2-CD1E-4229-8AC5-DAEC17056EF7}">
      <dsp:nvSpPr>
        <dsp:cNvPr id="0" name=""/>
        <dsp:cNvSpPr/>
      </dsp:nvSpPr>
      <dsp:spPr>
        <a:xfrm>
          <a:off x="3786632" y="1496789"/>
          <a:ext cx="975847" cy="487923"/>
        </a:xfrm>
        <a:prstGeom prst="rect">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marL="0" lvl="0" indent="0" algn="ctr" defTabSz="488950">
            <a:lnSpc>
              <a:spcPct val="90000"/>
            </a:lnSpc>
            <a:spcBef>
              <a:spcPct val="0"/>
            </a:spcBef>
            <a:spcAft>
              <a:spcPct val="35000"/>
            </a:spcAft>
            <a:buNone/>
          </a:pPr>
          <a:r>
            <a:rPr lang="en-US" sz="1100" kern="1200" dirty="0"/>
            <a:t>How to Start a Program</a:t>
          </a:r>
        </a:p>
      </dsp:txBody>
      <dsp:txXfrm>
        <a:off x="3786632" y="1496789"/>
        <a:ext cx="975847" cy="487923"/>
      </dsp:txXfrm>
    </dsp:sp>
    <dsp:sp modelId="{80581FEA-F8CD-4A86-9B16-A4043DBBCA09}">
      <dsp:nvSpPr>
        <dsp:cNvPr id="0" name=""/>
        <dsp:cNvSpPr/>
      </dsp:nvSpPr>
      <dsp:spPr>
        <a:xfrm>
          <a:off x="3786632" y="2189641"/>
          <a:ext cx="975847" cy="487923"/>
        </a:xfrm>
        <a:prstGeom prst="rect">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marL="0" lvl="0" indent="0" algn="ctr" defTabSz="488950">
            <a:lnSpc>
              <a:spcPct val="90000"/>
            </a:lnSpc>
            <a:spcBef>
              <a:spcPct val="0"/>
            </a:spcBef>
            <a:spcAft>
              <a:spcPct val="35000"/>
            </a:spcAft>
            <a:buNone/>
          </a:pPr>
          <a:r>
            <a:rPr lang="en-US" sz="1100" kern="1200" dirty="0" err="1"/>
            <a:t>S.M.A.R.T</a:t>
          </a:r>
          <a:r>
            <a:rPr lang="en-US" sz="1100" kern="1200" dirty="0"/>
            <a:t>. Goals</a:t>
          </a:r>
        </a:p>
      </dsp:txBody>
      <dsp:txXfrm>
        <a:off x="3786632" y="2189641"/>
        <a:ext cx="975847" cy="487923"/>
      </dsp:txXfrm>
    </dsp:sp>
    <dsp:sp modelId="{0DDC8D4A-C3B3-419A-AC4D-65613EF2DA67}">
      <dsp:nvSpPr>
        <dsp:cNvPr id="0" name=""/>
        <dsp:cNvSpPr/>
      </dsp:nvSpPr>
      <dsp:spPr>
        <a:xfrm>
          <a:off x="3786632" y="2882492"/>
          <a:ext cx="975847" cy="487923"/>
        </a:xfrm>
        <a:prstGeom prst="rect">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marL="0" lvl="0" indent="0" algn="ctr" defTabSz="488950">
            <a:lnSpc>
              <a:spcPct val="90000"/>
            </a:lnSpc>
            <a:spcBef>
              <a:spcPct val="0"/>
            </a:spcBef>
            <a:spcAft>
              <a:spcPct val="35000"/>
            </a:spcAft>
            <a:buNone/>
          </a:pPr>
          <a:r>
            <a:rPr lang="en-US" sz="1100" kern="1200" dirty="0"/>
            <a:t>Template Action Plan</a:t>
          </a:r>
        </a:p>
      </dsp:txBody>
      <dsp:txXfrm>
        <a:off x="3786632" y="2882492"/>
        <a:ext cx="975847" cy="487923"/>
      </dsp:txXfrm>
    </dsp:sp>
    <dsp:sp modelId="{5A475467-762D-41E3-BE70-A5A15430FCA3}">
      <dsp:nvSpPr>
        <dsp:cNvPr id="0" name=""/>
        <dsp:cNvSpPr/>
      </dsp:nvSpPr>
      <dsp:spPr>
        <a:xfrm>
          <a:off x="4723446" y="803937"/>
          <a:ext cx="975847" cy="487923"/>
        </a:xfrm>
        <a:prstGeom prst="rect">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marL="0" lvl="0" indent="0" algn="ctr" defTabSz="488950">
            <a:lnSpc>
              <a:spcPct val="90000"/>
            </a:lnSpc>
            <a:spcBef>
              <a:spcPct val="0"/>
            </a:spcBef>
            <a:spcAft>
              <a:spcPct val="35000"/>
            </a:spcAft>
            <a:buNone/>
          </a:pPr>
          <a:r>
            <a:rPr lang="en-US" sz="1100" kern="1200" dirty="0"/>
            <a:t>Additional Resources Toolkit</a:t>
          </a:r>
        </a:p>
      </dsp:txBody>
      <dsp:txXfrm>
        <a:off x="4723446" y="803937"/>
        <a:ext cx="975847" cy="487923"/>
      </dsp:txXfrm>
    </dsp:sp>
    <dsp:sp modelId="{BBCA570E-9357-4CA4-BDD5-59747312C9C4}">
      <dsp:nvSpPr>
        <dsp:cNvPr id="0" name=""/>
        <dsp:cNvSpPr/>
      </dsp:nvSpPr>
      <dsp:spPr>
        <a:xfrm>
          <a:off x="4967407" y="1496789"/>
          <a:ext cx="975847" cy="487923"/>
        </a:xfrm>
        <a:prstGeom prst="rect">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marL="0" lvl="0" indent="0" algn="ctr" defTabSz="488950">
            <a:lnSpc>
              <a:spcPct val="90000"/>
            </a:lnSpc>
            <a:spcBef>
              <a:spcPct val="0"/>
            </a:spcBef>
            <a:spcAft>
              <a:spcPct val="35000"/>
            </a:spcAft>
            <a:buNone/>
          </a:pPr>
          <a:r>
            <a:rPr lang="en-US" sz="1100" kern="1200" dirty="0"/>
            <a:t>Case Studies</a:t>
          </a:r>
        </a:p>
      </dsp:txBody>
      <dsp:txXfrm>
        <a:off x="4967407" y="1496789"/>
        <a:ext cx="975847" cy="487923"/>
      </dsp:txXfrm>
    </dsp:sp>
    <dsp:sp modelId="{98132576-FA7B-44CC-AB92-A57E374ED2DF}">
      <dsp:nvSpPr>
        <dsp:cNvPr id="0" name=""/>
        <dsp:cNvSpPr/>
      </dsp:nvSpPr>
      <dsp:spPr>
        <a:xfrm>
          <a:off x="4967407" y="2189641"/>
          <a:ext cx="975847" cy="487923"/>
        </a:xfrm>
        <a:prstGeom prst="rect">
          <a:avLst/>
        </a:prstGeom>
        <a:solidFill>
          <a:schemeClr val="accent1">
            <a:hueOff val="0"/>
            <a:satOff val="0"/>
            <a:lumOff val="0"/>
            <a:alphaOff val="0"/>
          </a:schemeClr>
        </a:solidFill>
        <a:ln w="1905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marL="0" lvl="0" indent="0" algn="ctr" defTabSz="488950">
            <a:lnSpc>
              <a:spcPct val="90000"/>
            </a:lnSpc>
            <a:spcBef>
              <a:spcPct val="0"/>
            </a:spcBef>
            <a:spcAft>
              <a:spcPct val="35000"/>
            </a:spcAft>
            <a:buNone/>
          </a:pPr>
          <a:r>
            <a:rPr lang="en-US" sz="1100" kern="1200" dirty="0"/>
            <a:t>Online Resources</a:t>
          </a:r>
        </a:p>
      </dsp:txBody>
      <dsp:txXfrm>
        <a:off x="4967407" y="2189641"/>
        <a:ext cx="975847" cy="487923"/>
      </dsp:txXfrm>
    </dsp:sp>
  </dsp:spTree>
</dsp:drawing>
</file>

<file path=xl/diagrams/layout1.xml><?xml version="1.0" encoding="utf-8"?>
<dgm:layoutDef xmlns:dgm="http://schemas.openxmlformats.org/drawingml/2006/diagram" xmlns:a="http://schemas.openxmlformats.org/drawingml/2006/main" uniqueId="urn:microsoft.com/office/officeart/2005/8/layout/hierarchy2">
  <dgm:title val=""/>
  <dgm:desc val=""/>
  <dgm:catLst>
    <dgm:cat type="hierarchy" pri="5000"/>
  </dgm:catLst>
  <dgm:sampData>
    <dgm:dataModel>
      <dgm:ptLst>
        <dgm:pt modelId="0" type="doc"/>
        <dgm:pt modelId="1">
          <dgm:prSet phldr="1"/>
        </dgm:pt>
        <dgm:pt modelId="2">
          <dgm:prSet phldr="1"/>
        </dgm:pt>
        <dgm:pt modelId="21">
          <dgm:prSet phldr="1"/>
        </dgm:pt>
        <dgm:pt modelId="22">
          <dgm:prSet phldr="1"/>
        </dgm:pt>
        <dgm:pt modelId="3">
          <dgm:prSet phldr="1"/>
        </dgm:pt>
        <dgm:pt modelId="31">
          <dgm:prSet phldr="1"/>
        </dgm:pt>
      </dgm:ptLst>
      <dgm:cxnLst>
        <dgm:cxn modelId="4" srcId="0" destId="1" srcOrd="0" destOrd="0"/>
        <dgm:cxn modelId="5" srcId="1" destId="2" srcOrd="0" destOrd="0"/>
        <dgm:cxn modelId="6" srcId="1" destId="3" srcOrd="1" destOrd="0"/>
        <dgm:cxn modelId="23" srcId="2" destId="21" srcOrd="0" destOrd="0"/>
        <dgm:cxn modelId="24" srcId="2" destId="22" srcOrd="1" destOrd="0"/>
        <dgm:cxn modelId="33" srcId="3" destId="31" srcOrd="0" destOrd="0"/>
      </dgm:cxnLst>
      <dgm:bg/>
      <dgm:whole/>
    </dgm:dataModel>
  </dgm:sampData>
  <dgm:styleData>
    <dgm:dataModel>
      <dgm:ptLst>
        <dgm:pt modelId="0" type="doc"/>
        <dgm:pt modelId="1"/>
        <dgm:pt modelId="11"/>
        <dgm:pt modelId="12"/>
      </dgm:ptLst>
      <dgm:cxnLst>
        <dgm:cxn modelId="2" srcId="0" destId="1" srcOrd="0" destOrd="0"/>
        <dgm:cxn modelId="13" srcId="1" destId="11" srcOrd="0" destOrd="0"/>
        <dgm:cxn modelId="14" srcId="1" destId="12" srcOrd="1" destOrd="0"/>
      </dgm:cxnLst>
      <dgm:bg/>
      <dgm:whole/>
    </dgm:dataModel>
  </dgm:styleData>
  <dgm:clrData>
    <dgm:dataModel>
      <dgm:ptLst>
        <dgm:pt modelId="0" type="doc"/>
        <dgm:pt modelId="1"/>
        <dgm:pt modelId="2"/>
        <dgm:pt modelId="21"/>
        <dgm:pt modelId="211"/>
        <dgm:pt modelId="3"/>
        <dgm:pt modelId="31"/>
        <dgm:pt modelId="311"/>
      </dgm:ptLst>
      <dgm:cxnLst>
        <dgm:cxn modelId="4" srcId="0" destId="1" srcOrd="0" destOrd="0"/>
        <dgm:cxn modelId="5" srcId="1" destId="2" srcOrd="0" destOrd="0"/>
        <dgm:cxn modelId="6" srcId="1" destId="3" srcOrd="1" destOrd="0"/>
        <dgm:cxn modelId="23" srcId="2" destId="21" srcOrd="0" destOrd="0"/>
        <dgm:cxn modelId="24" srcId="21" destId="211" srcOrd="0" destOrd="0"/>
        <dgm:cxn modelId="33" srcId="3" destId="31" srcOrd="0" destOrd="0"/>
        <dgm:cxn modelId="34" srcId="31" destId="311" srcOrd="0" destOrd="0"/>
      </dgm:cxnLst>
      <dgm:bg/>
      <dgm:whole/>
    </dgm:dataModel>
  </dgm:clrData>
  <dgm:layoutNode name="diagram">
    <dgm:varLst>
      <dgm:chPref val="1"/>
      <dgm:dir/>
      <dgm:animOne val="branch"/>
      <dgm:animLvl val="lvl"/>
      <dgm:resizeHandles val="exact"/>
    </dgm:varLst>
    <dgm:choose name="Name0">
      <dgm:if name="Name1" func="var" arg="dir" op="equ" val="norm">
        <dgm:alg type="hierChild">
          <dgm:param type="linDir" val="fromT"/>
          <dgm:param type="chAlign" val="l"/>
        </dgm:alg>
      </dgm:if>
      <dgm:else name="Name2">
        <dgm:alg type="hierChild">
          <dgm:param type="linDir" val="fromT"/>
          <dgm:param type="chAlign" val="r"/>
        </dgm:alg>
      </dgm:else>
    </dgm:choose>
    <dgm:shape xmlns:r="http://schemas.openxmlformats.org/officeDocument/2006/relationships" r:blip="">
      <dgm:adjLst/>
    </dgm:shape>
    <dgm:presOf/>
    <dgm:constrLst>
      <dgm:constr type="h" for="des" ptType="node" refType="h"/>
      <dgm:constr type="w" for="des" ptType="node" refType="h" refFor="des" refPtType="node" fact="2"/>
      <dgm:constr type="sibSp" refType="h" refFor="des" refPtType="node" op="equ" fact="0.15"/>
      <dgm:constr type="sibSp" for="des" forName="level2hierChild" refType="h" refFor="des" refPtType="node" op="equ" fact="0.15"/>
      <dgm:constr type="sibSp" for="des" forName="level3hierChild" refType="h" refFor="des" refPtType="node" op="equ" fact="0.15"/>
      <dgm:constr type="sp" for="des" forName="root1" refType="w" refFor="des" refPtType="node" fact="0.4"/>
      <dgm:constr type="sp" for="des" forName="root2" refType="sp" refFor="des" refForName="root1" op="equ"/>
      <dgm:constr type="primFontSz" for="des" ptType="node" op="equ" val="65"/>
      <dgm:constr type="primFontSz" for="des" forName="connTx" op="equ" val="55"/>
      <dgm:constr type="primFontSz" for="des" forName="connTx" refType="primFontSz" refFor="des" refPtType="node" op="lte" fact="0.8"/>
    </dgm:constrLst>
    <dgm:ruleLst/>
    <dgm:forEach name="Name3" axis="ch">
      <dgm:forEach name="Name4" axis="self" ptType="node">
        <dgm:layoutNode name="root1">
          <dgm:choose name="Name5">
            <dgm:if name="Name6" func="var" arg="dir" op="equ" val="norm">
              <dgm:alg type="hierRoot">
                <dgm:param type="hierAlign" val="lCtrCh"/>
              </dgm:alg>
            </dgm:if>
            <dgm:else name="Name7">
              <dgm:alg type="hierRoot">
                <dgm:param type="hierAlign" val="rCtrCh"/>
              </dgm:alg>
            </dgm:else>
          </dgm:choose>
          <dgm:shape xmlns:r="http://schemas.openxmlformats.org/officeDocument/2006/relationships" r:blip="">
            <dgm:adjLst/>
          </dgm:shape>
          <dgm:presOf/>
          <dgm:constrLst/>
          <dgm:ruleLst/>
          <dgm:layoutNode name="LevelOneTextNode" styleLbl="node0">
            <dgm:varLst>
              <dgm:chPref val="3"/>
            </dgm:varLst>
            <dgm:alg type="tx"/>
            <dgm:shape xmlns:r="http://schemas.openxmlformats.org/officeDocument/2006/relationships" type="roundRect" r:blip="">
              <dgm:adjLst>
                <dgm:adj idx="1" val="0.1"/>
              </dgm:adjLst>
            </dgm:shape>
            <dgm:presOf axis="self"/>
            <dgm:constrLst>
              <dgm:constr type="tMarg" refType="primFontSz" fact="0.05"/>
              <dgm:constr type="bMarg" refType="primFontSz" fact="0.05"/>
              <dgm:constr type="lMarg" refType="primFontSz" fact="0.05"/>
              <dgm:constr type="rMarg" refType="primFontSz" fact="0.05"/>
            </dgm:constrLst>
            <dgm:ruleLst>
              <dgm:rule type="primFontSz" val="5" fact="NaN" max="NaN"/>
            </dgm:ruleLst>
          </dgm:layoutNode>
          <dgm:layoutNode name="level2hierChild">
            <dgm:choose name="Name8">
              <dgm:if name="Name9" func="var" arg="dir" op="equ" val="norm">
                <dgm:alg type="hierChild">
                  <dgm:param type="linDir" val="fromT"/>
                  <dgm:param type="chAlign" val="l"/>
                </dgm:alg>
              </dgm:if>
              <dgm:else name="Name10">
                <dgm:alg type="hierChild">
                  <dgm:param type="linDir" val="fromT"/>
                  <dgm:param type="chAlign" val="r"/>
                </dgm:alg>
              </dgm:else>
            </dgm:choose>
            <dgm:shape xmlns:r="http://schemas.openxmlformats.org/officeDocument/2006/relationships" r:blip="">
              <dgm:adjLst/>
            </dgm:shape>
            <dgm:presOf/>
            <dgm:constrLst/>
            <dgm:ruleLst/>
            <dgm:forEach name="repeat" axis="ch">
              <dgm:forEach name="Name11" axis="self" ptType="parTrans" cnt="1">
                <dgm:layoutNode name="conn2-1">
                  <dgm:choose name="Name12">
                    <dgm:if name="Name13" func="var" arg="dir" op="equ" val="norm">
                      <dgm:alg type="conn">
                        <dgm:param type="dim" val="1D"/>
                        <dgm:param type="begPts" val="midR"/>
                        <dgm:param type="endPts" val="midL"/>
                        <dgm:param type="endSty" val="noArr"/>
                      </dgm:alg>
                    </dgm:if>
                    <dgm:else name="Name14">
                      <dgm:alg type="conn">
                        <dgm:param type="dim" val="1D"/>
                        <dgm:param type="begPts" val="midL"/>
                        <dgm:param type="endPts" val="midR"/>
                        <dgm:param type="endSty" val="noArr"/>
                      </dgm:alg>
                    </dgm:else>
                  </dgm:choose>
                  <dgm:shape xmlns:r="http://schemas.openxmlformats.org/officeDocument/2006/relationships" type="conn" r:blip="">
                    <dgm:adjLst/>
                  </dgm:shape>
                  <dgm:presOf axis="self"/>
                  <dgm:constrLst>
                    <dgm:constr type="w" val="1"/>
                    <dgm:constr type="h" val="5"/>
                    <dgm:constr type="connDist"/>
                    <dgm:constr type="begPad"/>
                    <dgm:constr type="endPad"/>
                    <dgm:constr type="userA" for="ch" refType="connDist"/>
                  </dgm:constrLst>
                  <dgm:ruleLst/>
                  <dgm:layoutNode name="connTx">
                    <dgm:alg type="tx">
                      <dgm:param type="autoTxRot" val="grav"/>
                    </dgm:alg>
                    <dgm:shape xmlns:r="http://schemas.openxmlformats.org/officeDocument/2006/relationships" type="rect" r:blip="" hideGeom="1">
                      <dgm:adjLst/>
                    </dgm:shape>
                    <dgm:presOf axis="self"/>
                    <dgm:constrLst>
                      <dgm:constr type="userA"/>
                      <dgm:constr type="w" refType="userA" fact="0.05"/>
                      <dgm:constr type="h" refType="userA" fact="0.05"/>
                      <dgm:constr type="lMarg" val="1"/>
                      <dgm:constr type="rMarg" val="1"/>
                      <dgm:constr type="tMarg"/>
                      <dgm:constr type="bMarg"/>
                    </dgm:constrLst>
                    <dgm:ruleLst>
                      <dgm:rule type="h" val="NaN" fact="0.25" max="NaN"/>
                      <dgm:rule type="w" val="NaN" fact="0.8" max="NaN"/>
                      <dgm:rule type="primFontSz" val="5" fact="NaN" max="NaN"/>
                    </dgm:ruleLst>
                  </dgm:layoutNode>
                </dgm:layoutNode>
              </dgm:forEach>
              <dgm:forEach name="Name15" axis="self" ptType="node">
                <dgm:layoutNode name="root2">
                  <dgm:choose name="Name16">
                    <dgm:if name="Name17" func="var" arg="dir" op="equ" val="norm">
                      <dgm:alg type="hierRoot">
                        <dgm:param type="hierAlign" val="lCtrCh"/>
                      </dgm:alg>
                    </dgm:if>
                    <dgm:else name="Name18">
                      <dgm:alg type="hierRoot">
                        <dgm:param type="hierAlign" val="rCtrCh"/>
                      </dgm:alg>
                    </dgm:else>
                  </dgm:choose>
                  <dgm:shape xmlns:r="http://schemas.openxmlformats.org/officeDocument/2006/relationships" r:blip="">
                    <dgm:adjLst/>
                  </dgm:shape>
                  <dgm:presOf/>
                  <dgm:constrLst/>
                  <dgm:ruleLst/>
                  <dgm:layoutNode name="LevelTwoTextNode">
                    <dgm:varLst>
                      <dgm:chPref val="3"/>
                    </dgm:varLst>
                    <dgm:alg type="tx"/>
                    <dgm:shape xmlns:r="http://schemas.openxmlformats.org/officeDocument/2006/relationships" type="roundRect" r:blip="">
                      <dgm:adjLst>
                        <dgm:adj idx="1" val="0.1"/>
                      </dgm:adjLst>
                    </dgm:shape>
                    <dgm:presOf axis="self"/>
                    <dgm:constrLst>
                      <dgm:constr type="tMarg" refType="primFontSz" fact="0.05"/>
                      <dgm:constr type="bMarg" refType="primFontSz" fact="0.05"/>
                      <dgm:constr type="lMarg" refType="primFontSz" fact="0.05"/>
                      <dgm:constr type="rMarg" refType="primFontSz" fact="0.05"/>
                    </dgm:constrLst>
                    <dgm:ruleLst>
                      <dgm:rule type="primFontSz" val="5" fact="NaN" max="NaN"/>
                    </dgm:ruleLst>
                  </dgm:layoutNode>
                  <dgm:layoutNode name="level3hierChild">
                    <dgm:choose name="Name19">
                      <dgm:if name="Name20" func="var" arg="dir" op="equ" val="norm">
                        <dgm:alg type="hierChild">
                          <dgm:param type="linDir" val="fromT"/>
                          <dgm:param type="chAlign" val="l"/>
                        </dgm:alg>
                      </dgm:if>
                      <dgm:else name="Name21">
                        <dgm:alg type="hierChild">
                          <dgm:param type="linDir" val="fromT"/>
                          <dgm:param type="chAlign" val="r"/>
                        </dgm:alg>
                      </dgm:else>
                    </dgm:choose>
                    <dgm:shape xmlns:r="http://schemas.openxmlformats.org/officeDocument/2006/relationships" r:blip="">
                      <dgm:adjLst/>
                    </dgm:shape>
                    <dgm:presOf/>
                    <dgm:constrLst/>
                    <dgm:ruleLst/>
                    <dgm:forEach name="Name22" ref="repeat"/>
                  </dgm:layoutNode>
                </dgm:layoutNode>
              </dgm:forEach>
            </dgm:forEach>
          </dgm:layoutNode>
        </dgm:layoutNode>
      </dgm:forEach>
    </dgm:forEach>
  </dgm:layoutNode>
</dgm:layoutDef>
</file>

<file path=xl/diagrams/layout2.xml><?xml version="1.0" encoding="utf-8"?>
<dgm:layoutDef xmlns:dgm="http://schemas.openxmlformats.org/drawingml/2006/diagram" xmlns:a="http://schemas.openxmlformats.org/drawingml/2006/main" uniqueId="urn:microsoft.com/office/officeart/2005/8/layout/orgChart1">
  <dgm:title val=""/>
  <dgm:desc val=""/>
  <dgm:catLst>
    <dgm:cat type="hierarchy" pri="1000"/>
    <dgm:cat type="convert" pri="6000"/>
  </dgm:catLst>
  <dgm:sampData>
    <dgm:dataModel>
      <dgm:ptLst>
        <dgm:pt modelId="0" type="doc"/>
        <dgm:pt modelId="1">
          <dgm:prSet phldr="1"/>
        </dgm:pt>
        <dgm:pt modelId="2" type="asst">
          <dgm:prSet phldr="1"/>
        </dgm:pt>
        <dgm:pt modelId="3">
          <dgm:prSet phldr="1"/>
        </dgm:pt>
        <dgm:pt modelId="4">
          <dgm:prSet phldr="1"/>
        </dgm:pt>
        <dgm:pt modelId="5">
          <dgm:prSet phldr="1"/>
        </dgm:pt>
      </dgm:ptLst>
      <dgm:cxnLst>
        <dgm:cxn modelId="5" srcId="0" destId="1" srcOrd="0" destOrd="0"/>
        <dgm:cxn modelId="6" srcId="1" destId="2" srcOrd="0" destOrd="0"/>
        <dgm:cxn modelId="7" srcId="1" destId="3" srcOrd="1" destOrd="0"/>
        <dgm:cxn modelId="8" srcId="1" destId="4" srcOrd="2" destOrd="0"/>
        <dgm:cxn modelId="9" srcId="1" destId="5" srcOrd="3" destOrd="0"/>
      </dgm:cxnLst>
      <dgm:bg/>
      <dgm:whole/>
    </dgm:dataModel>
  </dgm:sampData>
  <dgm:styleData>
    <dgm:dataModel>
      <dgm:ptLst>
        <dgm:pt modelId="0" type="doc"/>
        <dgm:pt modelId="1"/>
        <dgm:pt modelId="12"/>
        <dgm:pt modelId="13"/>
      </dgm:ptLst>
      <dgm:cxnLst>
        <dgm:cxn modelId="2" srcId="0" destId="1" srcOrd="0" destOrd="0"/>
        <dgm:cxn modelId="16" srcId="1" destId="12" srcOrd="1" destOrd="0"/>
        <dgm:cxn modelId="17" srcId="1" destId="13" srcOrd="2" destOrd="0"/>
      </dgm:cxnLst>
      <dgm:bg/>
      <dgm:whole/>
    </dgm:dataModel>
  </dgm:styleData>
  <dgm:clrData>
    <dgm:dataModel>
      <dgm:ptLst>
        <dgm:pt modelId="0" type="doc"/>
        <dgm:pt modelId="1"/>
        <dgm:pt modelId="11" type="asst"/>
        <dgm:pt modelId="12"/>
        <dgm:pt modelId="13"/>
        <dgm:pt modelId="14"/>
      </dgm:ptLst>
      <dgm:cxnLst>
        <dgm:cxn modelId="2" srcId="0" destId="1" srcOrd="0" destOrd="0"/>
        <dgm:cxn modelId="15" srcId="1" destId="11" srcOrd="0" destOrd="0"/>
        <dgm:cxn modelId="16" srcId="1" destId="12" srcOrd="1" destOrd="0"/>
        <dgm:cxn modelId="17" srcId="1" destId="13" srcOrd="2" destOrd="0"/>
        <dgm:cxn modelId="18" srcId="1" destId="14" srcOrd="2" destOrd="0"/>
      </dgm:cxnLst>
      <dgm:bg/>
      <dgm:whole/>
    </dgm:dataModel>
  </dgm:clrData>
  <dgm:layoutNode name="hierChild1">
    <dgm:varLst>
      <dgm:orgChart val="1"/>
      <dgm:chPref val="1"/>
      <dgm:dir/>
      <dgm:animOne val="branch"/>
      <dgm:animLvl val="lvl"/>
      <dgm:resizeHandles/>
    </dgm:varLst>
    <dgm:choose name="Name0">
      <dgm:if name="Name1" func="var" arg="dir" op="equ" val="norm">
        <dgm:alg type="hierChild">
          <dgm:param type="linDir" val="fromL"/>
        </dgm:alg>
      </dgm:if>
      <dgm:else name="Name2">
        <dgm:alg type="hierChild">
          <dgm:param type="linDir" val="fromR"/>
        </dgm:alg>
      </dgm:else>
    </dgm:choose>
    <dgm:shape xmlns:r="http://schemas.openxmlformats.org/officeDocument/2006/relationships" r:blip="">
      <dgm:adjLst/>
    </dgm:shape>
    <dgm:presOf/>
    <dgm:constrLst>
      <dgm:constr type="w" for="des" forName="rootComposite1" refType="w" fact="10"/>
      <dgm:constr type="h" for="des" forName="rootComposite1" refType="w" refFor="des" refForName="rootComposite1" fact="0.5"/>
      <dgm:constr type="w" for="des" forName="rootComposite" refType="w" fact="10"/>
      <dgm:constr type="h" for="des" forName="rootComposite" refType="w" refFor="des" refForName="rootComposite1" fact="0.5"/>
      <dgm:constr type="w" for="des" forName="rootComposite3" refType="w" fact="10"/>
      <dgm:constr type="h" for="des" forName="rootComposite3" refType="w" refFor="des" refForName="rootComposite1" fact="0.5"/>
      <dgm:constr type="primFontSz" for="des" ptType="node" op="equ"/>
      <dgm:constr type="sp" for="des" op="equ"/>
      <dgm:constr type="sp" for="des" forName="hierRoot1" refType="w" refFor="des" refForName="rootComposite1" fact="0.21"/>
      <dgm:constr type="sp" for="des" forName="hierRoot2" refType="sp" refFor="des" refForName="hierRoot1"/>
      <dgm:constr type="sp" for="des" forName="hierRoot3" refType="sp" refFor="des" refForName="hierRoot1"/>
      <dgm:constr type="sibSp" refType="w" refFor="des" refForName="rootComposite1" fact="0.21"/>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ibSp" for="des" forName="hierChild7" refType="sibSp"/>
      <dgm:constr type="secSibSp" refType="w" refFor="des" refForName="rootComposite1" fact="0.21"/>
      <dgm:constr type="secSibSp" for="des" forName="hierChild2" refType="secSibSp"/>
      <dgm:constr type="secSibSp" for="des" forName="hierChild3" refType="secSibSp"/>
      <dgm:constr type="secSibSp" for="des" forName="hierChild4" refType="secSibSp"/>
      <dgm:constr type="secSibSp" for="des" forName="hierChild5" refType="secSibSp"/>
      <dgm:constr type="secSibSp" for="des" forName="hierChild6" refType="secSibSp"/>
      <dgm:constr type="secSibSp" for="des" forName="hierChild7" refType="secSibSp"/>
    </dgm:constrLst>
    <dgm:ruleLst/>
    <dgm:forEach name="Name3" axis="ch">
      <dgm:forEach name="Name4" axis="self" ptType="node">
        <dgm:layoutNode name="hierRoot1">
          <dgm:varLst>
            <dgm:hierBranch val="init"/>
          </dgm:varLst>
          <dgm:choose name="Name5">
            <dgm:if name="Name6" func="var" arg="hierBranch" op="equ" val="l">
              <dgm:choose name="Name7">
                <dgm:if name="Name8" axis="ch" ptType="asst" func="cnt" op="gte" val="1">
                  <dgm:alg type="hierRoot">
                    <dgm:param type="hierAlign" val="tR"/>
                  </dgm:alg>
                  <dgm:constrLst>
                    <dgm:constr type="alignOff" val="0.65"/>
                  </dgm:constrLst>
                </dgm:if>
                <dgm:else name="Name9">
                  <dgm:alg type="hierRoot">
                    <dgm:param type="hierAlign" val="tR"/>
                  </dgm:alg>
                  <dgm:constrLst>
                    <dgm:constr type="alignOff" val="0.25"/>
                  </dgm:constrLst>
                </dgm:else>
              </dgm:choose>
            </dgm:if>
            <dgm:if name="Name10" func="var" arg="hierBranch" op="equ" val="r">
              <dgm:choose name="Name11">
                <dgm:if name="Name12" axis="ch" ptType="asst" func="cnt" op="gte" val="1">
                  <dgm:alg type="hierRoot">
                    <dgm:param type="hierAlign" val="tL"/>
                  </dgm:alg>
                  <dgm:constrLst>
                    <dgm:constr type="alignOff" val="0.65"/>
                  </dgm:constrLst>
                </dgm:if>
                <dgm:else name="Name13">
                  <dgm:alg type="hierRoot">
                    <dgm:param type="hierAlign" val="tL"/>
                  </dgm:alg>
                  <dgm:constrLst>
                    <dgm:constr type="alignOff" val="0.25"/>
                  </dgm:constrLst>
                </dgm:else>
              </dgm:choose>
            </dgm:if>
            <dgm:if name="Name14" func="var" arg="hierBranch" op="equ" val="hang">
              <dgm:alg type="hierRoot"/>
              <dgm:constrLst>
                <dgm:constr type="alignOff" val="0.65"/>
              </dgm:constrLst>
            </dgm:if>
            <dgm:else name="Name15">
              <dgm:alg type="hierRoot"/>
              <dgm:constrLst>
                <dgm:constr type="alignOff"/>
                <dgm:constr type="bendDist" for="des" ptType="parTrans" refType="sp" fact="0.5"/>
              </dgm:constrLst>
            </dgm:else>
          </dgm:choose>
          <dgm:shape xmlns:r="http://schemas.openxmlformats.org/officeDocument/2006/relationships" r:blip="">
            <dgm:adjLst/>
          </dgm:shape>
          <dgm:presOf/>
          <dgm:ruleLst/>
          <dgm:layoutNode name="rootComposite1">
            <dgm:alg type="composite"/>
            <dgm:shape xmlns:r="http://schemas.openxmlformats.org/officeDocument/2006/relationships" r:blip="">
              <dgm:adjLst/>
            </dgm:shape>
            <dgm:presOf axis="self" ptType="node" cnt="1"/>
            <dgm:choose name="Name16">
              <dgm:if name="Name17" func="var" arg="hierBranch" op="equ" val="init">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if name="Name18" func="var" arg="hierBranch" op="equ" val="l">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if>
              <dgm:if name="Name19" func="var" arg="hierBranch" op="equ" val="r">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else name="Name20">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else>
            </dgm:choose>
            <dgm:ruleLst/>
            <dgm:layoutNode name="rootText1" styleLbl="node0">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1" moveWith="rootText1">
              <dgm:alg type="sp"/>
              <dgm:shape xmlns:r="http://schemas.openxmlformats.org/officeDocument/2006/relationships" type="rect" r:blip="" hideGeom="1">
                <dgm:adjLst/>
              </dgm:shape>
              <dgm:presOf axis="self" ptType="node" cnt="1"/>
              <dgm:constrLst/>
              <dgm:ruleLst/>
            </dgm:layoutNode>
          </dgm:layoutNode>
          <dgm:layoutNode name="hierChild2">
            <dgm:choose name="Name21">
              <dgm:if name="Name22" func="var" arg="hierBranch" op="equ" val="l">
                <dgm:alg type="hierChild">
                  <dgm:param type="chAlign" val="r"/>
                  <dgm:param type="linDir" val="fromT"/>
                </dgm:alg>
              </dgm:if>
              <dgm:if name="Name23" func="var" arg="hierBranch" op="equ" val="r">
                <dgm:alg type="hierChild">
                  <dgm:param type="chAlign" val="l"/>
                  <dgm:param type="linDir" val="fromT"/>
                </dgm:alg>
              </dgm:if>
              <dgm:if name="Name24" func="var" arg="hierBranch" op="equ" val="hang">
                <dgm:choose name="Name25">
                  <dgm:if name="Name26" func="var" arg="dir" op="equ" val="norm">
                    <dgm:alg type="hierChild">
                      <dgm:param type="chAlign" val="l"/>
                      <dgm:param type="linDir" val="fromL"/>
                      <dgm:param type="secChAlign" val="t"/>
                      <dgm:param type="secLinDir" val="fromT"/>
                    </dgm:alg>
                  </dgm:if>
                  <dgm:else name="Name27">
                    <dgm:alg type="hierChild">
                      <dgm:param type="chAlign" val="l"/>
                      <dgm:param type="linDir" val="fromR"/>
                      <dgm:param type="secChAlign" val="t"/>
                      <dgm:param type="secLinDir" val="fromT"/>
                    </dgm:alg>
                  </dgm:else>
                </dgm:choose>
              </dgm:if>
              <dgm:else name="Name28">
                <dgm:choose name="Name29">
                  <dgm:if name="Name30" func="var" arg="dir" op="equ" val="norm">
                    <dgm:alg type="hierChild"/>
                  </dgm:if>
                  <dgm:else name="Name31">
                    <dgm:alg type="hierChild">
                      <dgm:param type="linDir" val="fromR"/>
                    </dgm:alg>
                  </dgm:else>
                </dgm:choose>
              </dgm:else>
            </dgm:choose>
            <dgm:shape xmlns:r="http://schemas.openxmlformats.org/officeDocument/2006/relationships" r:blip="">
              <dgm:adjLst/>
            </dgm:shape>
            <dgm:presOf/>
            <dgm:constrLst/>
            <dgm:ruleLst/>
            <dgm:forEach name="rep2a" axis="ch" ptType="nonAsst">
              <dgm:forEach name="Name32" axis="precedSib" ptType="parTrans" st="-1" cnt="1">
                <dgm:choose name="Name33">
                  <dgm:if name="Name34" func="var" arg="hierBranch" op="equ" val="std">
                    <dgm:layoutNode name="Name35">
                      <dgm:alg type="conn">
                        <dgm:param type="connRout" val="bend"/>
                        <dgm:param type="dim" val="1D"/>
                        <dgm:param type="endSty" val="noArr"/>
                        <dgm:param type="begPts" val="bCtr"/>
                        <dgm:param type="endPts" val="tCtr"/>
                        <dgm:param type="bendPt" val="end"/>
                      </dgm:alg>
                      <dgm:shape xmlns:r="http://schemas.openxmlformats.org/officeDocument/2006/relationships" type="conn" r:blip="" zOrderOff="-99999">
                        <dgm:adjLst/>
                      </dgm:shape>
                      <dgm:presOf axis="self"/>
                      <dgm:constrLst>
                        <dgm:constr type="begPad"/>
                        <dgm:constr type="endPad"/>
                      </dgm:constrLst>
                      <dgm:ruleLst/>
                    </dgm:layoutNode>
                  </dgm:if>
                  <dgm:if name="Name36" func="var" arg="hierBranch" op="equ" val="init">
                    <dgm:layoutNode name="Name37">
                      <dgm:choose name="Name38">
                        <dgm:if name="Name39" axis="self" func="depth" op="lte" val="2">
                          <dgm:alg type="conn">
                            <dgm:param type="connRout" val="bend"/>
                            <dgm:param type="dim" val="1D"/>
                            <dgm:param type="endSty" val="noArr"/>
                            <dgm:param type="begPts" val="bCtr"/>
                            <dgm:param type="endPts" val="tCtr"/>
                            <dgm:param type="bendPt" val="end"/>
                          </dgm:alg>
                        </dgm:if>
                        <dgm:else name="Name40">
                          <dgm:choose name="Name41">
                            <dgm:if name="Name42" axis="par des" func="maxDepth" op="lte" val="1">
                              <dgm:choose name="Name43">
                                <dgm:if name="Name44" axis="par ch" ptType="node asst" func="cnt" op="gte" val="1">
                                  <dgm:alg type="conn">
                                    <dgm:param type="connRout" val="bend"/>
                                    <dgm:param type="dim" val="1D"/>
                                    <dgm:param type="endSty" val="noArr"/>
                                    <dgm:param type="begPts" val="bCtr"/>
                                    <dgm:param type="endPts" val="midL midR"/>
                                  </dgm:alg>
                                </dgm:if>
                                <dgm:else name="Name45">
                                  <dgm:alg type="conn">
                                    <dgm:param type="connRout" val="bend"/>
                                    <dgm:param type="dim" val="1D"/>
                                    <dgm:param type="endSty" val="noArr"/>
                                    <dgm:param type="begPts" val="bCtr"/>
                                    <dgm:param type="endPts" val="midL midR"/>
                                    <dgm:param type="srcNode" val="rootConnector"/>
                                  </dgm:alg>
                                </dgm:else>
                              </dgm:choose>
                            </dgm:if>
                            <dgm:else name="Name46">
                              <dgm:alg type="conn">
                                <dgm:param type="connRout" val="bend"/>
                                <dgm:param type="dim" val="1D"/>
                                <dgm:param type="endSty" val="noArr"/>
                                <dgm:param type="begPts" val="bCtr"/>
                                <dgm:param type="endPts" val="tCtr"/>
                                <dgm:param type="bendPt" val="end"/>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if>
                  <dgm:if name="Name47" func="var" arg="hierBranch" op="equ" val="hang">
                    <dgm:layoutNode name="Name48">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if>
                  <dgm:else name="Name49">
                    <dgm:layoutNode name="Name50">
                      <dgm:choose name="Name51">
                        <dgm:if name="Name52" axis="self" func="depth" op="lte" val="2">
                          <dgm:choose name="Name53">
                            <dgm:if name="Name54" axis="par ch" ptType="node asst" func="cnt" op="gte" val="1">
                              <dgm:alg type="conn">
                                <dgm:param type="connRout" val="bend"/>
                                <dgm:param type="dim" val="1D"/>
                                <dgm:param type="endSty" val="noArr"/>
                                <dgm:param type="begPts" val="bCtr"/>
                                <dgm:param type="endPts" val="midL midR"/>
                              </dgm:alg>
                            </dgm:if>
                            <dgm:else name="Name55">
                              <dgm:alg type="conn">
                                <dgm:param type="connRout" val="bend"/>
                                <dgm:param type="dim" val="1D"/>
                                <dgm:param type="endSty" val="noArr"/>
                                <dgm:param type="begPts" val="bCtr"/>
                                <dgm:param type="endPts" val="midL midR"/>
                                <dgm:param type="srcNode" val="rootConnector1"/>
                              </dgm:alg>
                            </dgm:else>
                          </dgm:choose>
                        </dgm:if>
                        <dgm:else name="Name56">
                          <dgm:choose name="Name57">
                            <dgm:if name="Name58" axis="par ch" ptType="node asst" func="cnt" op="gte" val="1">
                              <dgm:alg type="conn">
                                <dgm:param type="connRout" val="bend"/>
                                <dgm:param type="dim" val="1D"/>
                                <dgm:param type="endSty" val="noArr"/>
                                <dgm:param type="begPts" val="bCtr"/>
                                <dgm:param type="endPts" val="midL midR"/>
                              </dgm:alg>
                            </dgm:if>
                            <dgm:else name="Name59">
                              <dgm:alg type="conn">
                                <dgm:param type="connRout" val="bend"/>
                                <dgm:param type="dim" val="1D"/>
                                <dgm:param type="endSty" val="noArr"/>
                                <dgm:param type="begPts" val="bCtr"/>
                                <dgm:param type="endPts" val="midL midR"/>
                                <dgm:param type="srcNode" val="rootConnector"/>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else>
                </dgm:choose>
              </dgm:forEach>
              <dgm:layoutNode name="hierRoot2">
                <dgm:varLst>
                  <dgm:hierBranch val="init"/>
                </dgm:varLst>
                <dgm:choose name="Name60">
                  <dgm:if name="Name61" func="var" arg="hierBranch" op="equ" val="l">
                    <dgm:choose name="Name62">
                      <dgm:if name="Name63" axis="ch" ptType="asst" func="cnt" op="gte" val="1">
                        <dgm:alg type="hierRoot">
                          <dgm:param type="hierAlign" val="tR"/>
                        </dgm:alg>
                        <dgm:shape xmlns:r="http://schemas.openxmlformats.org/officeDocument/2006/relationships" r:blip="">
                          <dgm:adjLst/>
                        </dgm:shape>
                        <dgm:presOf/>
                        <dgm:constrLst>
                          <dgm:constr type="alignOff" val="0.65"/>
                        </dgm:constrLst>
                      </dgm:if>
                      <dgm:else name="Name64">
                        <dgm:alg type="hierRoot">
                          <dgm:param type="hierAlign" val="tR"/>
                        </dgm:alg>
                        <dgm:shape xmlns:r="http://schemas.openxmlformats.org/officeDocument/2006/relationships" r:blip="">
                          <dgm:adjLst/>
                        </dgm:shape>
                        <dgm:presOf/>
                        <dgm:constrLst>
                          <dgm:constr type="alignOff" val="0.25"/>
                        </dgm:constrLst>
                      </dgm:else>
                    </dgm:choose>
                  </dgm:if>
                  <dgm:if name="Name65" func="var" arg="hierBranch" op="equ" val="r">
                    <dgm:choose name="Name66">
                      <dgm:if name="Name67"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68">
                        <dgm:alg type="hierRoot">
                          <dgm:param type="hierAlign" val="tL"/>
                        </dgm:alg>
                        <dgm:shape xmlns:r="http://schemas.openxmlformats.org/officeDocument/2006/relationships" r:blip="">
                          <dgm:adjLst/>
                        </dgm:shape>
                        <dgm:presOf/>
                        <dgm:constrLst>
                          <dgm:constr type="alignOff" val="0.25"/>
                        </dgm:constrLst>
                      </dgm:else>
                    </dgm:choose>
                  </dgm:if>
                  <dgm:if name="Name69"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70" func="var" arg="hierBranch" op="equ" val="init">
                    <dgm:choose name="Name71">
                      <dgm:if name="Name72" axis="des" func="maxDepth" op="lte" val="1">
                        <dgm:choose name="Name73">
                          <dgm:if name="Name74"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75">
                            <dgm:alg type="hierRoot">
                              <dgm:param type="hierAlign" val="tL"/>
                            </dgm:alg>
                            <dgm:shape xmlns:r="http://schemas.openxmlformats.org/officeDocument/2006/relationships" r:blip="">
                              <dgm:adjLst/>
                            </dgm:shape>
                            <dgm:presOf/>
                            <dgm:constrLst>
                              <dgm:constr type="alignOff" val="0.25"/>
                            </dgm:constrLst>
                          </dgm:else>
                        </dgm:choose>
                      </dgm:if>
                      <dgm:else name="Name76">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77">
                    <dgm:alg type="hierRoot"/>
                    <dgm:shape xmlns:r="http://schemas.openxmlformats.org/officeDocument/2006/relationships" r:blip="">
                      <dgm:adjLst/>
                    </dgm:shape>
                    <dgm:presOf/>
                    <dgm:constrLst>
                      <dgm:constr type="alignOff" val="0.65"/>
                    </dgm:constrLst>
                  </dgm:else>
                </dgm:choose>
                <dgm:ruleLst/>
                <dgm:layoutNode name="rootComposite">
                  <dgm:alg type="composite"/>
                  <dgm:shape xmlns:r="http://schemas.openxmlformats.org/officeDocument/2006/relationships" r:blip="">
                    <dgm:adjLst/>
                  </dgm:shape>
                  <dgm:presOf axis="self" ptType="node" cnt="1"/>
                  <dgm:choose name="Name78">
                    <dgm:if name="Name79" func="var" arg="hierBranch" op="equ" val="init">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if name="Name80" func="var" arg="hierBranch" op="equ" val="l">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if>
                    <dgm:if name="Name81" func="var" arg="hierBranch" op="equ" val="r">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82">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 moveWith="rootText">
                    <dgm:alg type="sp"/>
                    <dgm:shape xmlns:r="http://schemas.openxmlformats.org/officeDocument/2006/relationships" type="rect" r:blip="" hideGeom="1">
                      <dgm:adjLst/>
                    </dgm:shape>
                    <dgm:presOf axis="self" ptType="node" cnt="1"/>
                    <dgm:constrLst/>
                    <dgm:ruleLst/>
                  </dgm:layoutNode>
                </dgm:layoutNode>
                <dgm:layoutNode name="hierChild4">
                  <dgm:choose name="Name83">
                    <dgm:if name="Name84" func="var" arg="hierBranch" op="equ" val="l">
                      <dgm:alg type="hierChild">
                        <dgm:param type="chAlign" val="r"/>
                        <dgm:param type="linDir" val="fromT"/>
                      </dgm:alg>
                    </dgm:if>
                    <dgm:if name="Name85" func="var" arg="hierBranch" op="equ" val="r">
                      <dgm:alg type="hierChild">
                        <dgm:param type="chAlign" val="l"/>
                        <dgm:param type="linDir" val="fromT"/>
                      </dgm:alg>
                    </dgm:if>
                    <dgm:if name="Name86" func="var" arg="hierBranch" op="equ" val="hang">
                      <dgm:choose name="Name87">
                        <dgm:if name="Name88" func="var" arg="dir" op="equ" val="norm">
                          <dgm:alg type="hierChild">
                            <dgm:param type="chAlign" val="l"/>
                            <dgm:param type="linDir" val="fromL"/>
                            <dgm:param type="secChAlign" val="t"/>
                            <dgm:param type="secLinDir" val="fromT"/>
                          </dgm:alg>
                        </dgm:if>
                        <dgm:else name="Name89">
                          <dgm:alg type="hierChild">
                            <dgm:param type="chAlign" val="l"/>
                            <dgm:param type="linDir" val="fromR"/>
                            <dgm:param type="secChAlign" val="t"/>
                            <dgm:param type="secLinDir" val="fromT"/>
                          </dgm:alg>
                        </dgm:else>
                      </dgm:choose>
                    </dgm:if>
                    <dgm:if name="Name90" func="var" arg="hierBranch" op="equ" val="std">
                      <dgm:choose name="Name91">
                        <dgm:if name="Name92" func="var" arg="dir" op="equ" val="norm">
                          <dgm:alg type="hierChild"/>
                        </dgm:if>
                        <dgm:else name="Name93">
                          <dgm:alg type="hierChild">
                            <dgm:param type="linDir" val="fromR"/>
                          </dgm:alg>
                        </dgm:else>
                      </dgm:choose>
                    </dgm:if>
                    <dgm:if name="Name94" func="var" arg="hierBranch" op="equ" val="init">
                      <dgm:choose name="Name95">
                        <dgm:if name="Name96" axis="des" func="maxDepth" op="lte" val="1">
                          <dgm:alg type="hierChild">
                            <dgm:param type="chAlign" val="l"/>
                            <dgm:param type="linDir" val="fromT"/>
                          </dgm:alg>
                        </dgm:if>
                        <dgm:else name="Name97">
                          <dgm:choose name="Name98">
                            <dgm:if name="Name99" func="var" arg="dir" op="equ" val="norm">
                              <dgm:alg type="hierChild"/>
                            </dgm:if>
                            <dgm:else name="Name100">
                              <dgm:alg type="hierChild">
                                <dgm:param type="linDir" val="fromR"/>
                              </dgm:alg>
                            </dgm:else>
                          </dgm:choose>
                        </dgm:else>
                      </dgm:choose>
                    </dgm:if>
                    <dgm:else name="Name101"/>
                  </dgm:choose>
                  <dgm:shape xmlns:r="http://schemas.openxmlformats.org/officeDocument/2006/relationships" r:blip="">
                    <dgm:adjLst/>
                  </dgm:shape>
                  <dgm:presOf/>
                  <dgm:constrLst/>
                  <dgm:ruleLst/>
                  <dgm:forEach name="Name102" ref="rep2a"/>
                </dgm:layoutNode>
                <dgm:layoutNode name="hierChild5">
                  <dgm:choose name="Name103">
                    <dgm:if name="Name104" func="var" arg="dir" op="equ" val="norm">
                      <dgm:alg type="hierChild">
                        <dgm:param type="chAlign" val="l"/>
                        <dgm:param type="linDir" val="fromL"/>
                        <dgm:param type="secChAlign" val="t"/>
                        <dgm:param type="secLinDir" val="fromT"/>
                      </dgm:alg>
                    </dgm:if>
                    <dgm:else name="Name105">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06" ref="rep2b"/>
                </dgm:layoutNode>
              </dgm:layoutNode>
            </dgm:forEach>
          </dgm:layoutNode>
          <dgm:layoutNode name="hierChild3">
            <dgm:choose name="Name107">
              <dgm:if name="Name108" func="var" arg="dir" op="equ" val="norm">
                <dgm:alg type="hierChild">
                  <dgm:param type="chAlign" val="l"/>
                  <dgm:param type="linDir" val="fromL"/>
                  <dgm:param type="secChAlign" val="t"/>
                  <dgm:param type="secLinDir" val="fromT"/>
                </dgm:alg>
              </dgm:if>
              <dgm:else name="Name109">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rep2b" axis="ch" ptType="asst">
              <dgm:forEach name="Name110" axis="precedSib" ptType="parTrans" st="-1" cnt="1">
                <dgm:layoutNode name="Name111">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forEach>
              <dgm:layoutNode name="hierRoot3">
                <dgm:varLst>
                  <dgm:hierBranch val="init"/>
                </dgm:varLst>
                <dgm:choose name="Name112">
                  <dgm:if name="Name113" func="var" arg="hierBranch" op="equ" val="l">
                    <dgm:alg type="hierRoot">
                      <dgm:param type="hierAlign" val="tR"/>
                    </dgm:alg>
                    <dgm:shape xmlns:r="http://schemas.openxmlformats.org/officeDocument/2006/relationships" r:blip="">
                      <dgm:adjLst/>
                    </dgm:shape>
                    <dgm:presOf/>
                    <dgm:constrLst>
                      <dgm:constr type="alignOff" val="0.65"/>
                    </dgm:constrLst>
                  </dgm:if>
                  <dgm:if name="Name114" func="var" arg="hierBranch" op="equ" val="r">
                    <dgm:alg type="hierRoot">
                      <dgm:param type="hierAlign" val="tL"/>
                    </dgm:alg>
                    <dgm:shape xmlns:r="http://schemas.openxmlformats.org/officeDocument/2006/relationships" r:blip="">
                      <dgm:adjLst/>
                    </dgm:shape>
                    <dgm:presOf/>
                    <dgm:constrLst>
                      <dgm:constr type="alignOff" val="0.65"/>
                    </dgm:constrLst>
                  </dgm:if>
                  <dgm:if name="Name115" func="var" arg="hierBranch" op="equ" val="hang">
                    <dgm:alg type="hierRoot"/>
                    <dgm:shape xmlns:r="http://schemas.openxmlformats.org/officeDocument/2006/relationships" r:blip="">
                      <dgm:adjLst/>
                    </dgm:shape>
                    <dgm:presOf/>
                    <dgm:constrLst>
                      <dgm:constr type="alignOff" val="0.65"/>
                    </dgm:constrLst>
                  </dgm:if>
                  <dgm:if name="Name116"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117" func="var" arg="hierBranch" op="equ" val="init">
                    <dgm:choose name="Name118">
                      <dgm:if name="Name119" axis="des" func="maxDepth" op="lte" val="1">
                        <dgm:alg type="hierRoot">
                          <dgm:param type="hierAlign" val="tL"/>
                        </dgm:alg>
                        <dgm:shape xmlns:r="http://schemas.openxmlformats.org/officeDocument/2006/relationships" r:blip="">
                          <dgm:adjLst/>
                        </dgm:shape>
                        <dgm:presOf/>
                        <dgm:constrLst>
                          <dgm:constr type="alignOff" val="0.65"/>
                        </dgm:constrLst>
                      </dgm:if>
                      <dgm:else name="Name120">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121"/>
                </dgm:choose>
                <dgm:ruleLst/>
                <dgm:layoutNode name="rootComposite3">
                  <dgm:alg type="composite"/>
                  <dgm:shape xmlns:r="http://schemas.openxmlformats.org/officeDocument/2006/relationships" r:blip="">
                    <dgm:adjLst/>
                  </dgm:shape>
                  <dgm:presOf axis="self" ptType="node" cnt="1"/>
                  <dgm:choose name="Name122">
                    <dgm:if name="Name123" func="var" arg="hierBranch" op="equ" val="init">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if name="Name124" func="var" arg="hierBranch" op="equ" val="l">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if>
                    <dgm:if name="Name125" func="var" arg="hierBranch" op="equ" val="r">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else name="Name126">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else>
                  </dgm:choose>
                  <dgm:ruleLst/>
                  <dgm:layoutNode name="rootText3">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3" moveWith="rootText1">
                    <dgm:alg type="sp"/>
                    <dgm:shape xmlns:r="http://schemas.openxmlformats.org/officeDocument/2006/relationships" type="rect" r:blip="" hideGeom="1">
                      <dgm:adjLst/>
                    </dgm:shape>
                    <dgm:presOf axis="self" ptType="node" cnt="1"/>
                    <dgm:constrLst/>
                    <dgm:ruleLst/>
                  </dgm:layoutNode>
                </dgm:layoutNode>
                <dgm:layoutNode name="hierChild6">
                  <dgm:choose name="Name127">
                    <dgm:if name="Name128" func="var" arg="hierBranch" op="equ" val="l">
                      <dgm:alg type="hierChild">
                        <dgm:param type="chAlign" val="r"/>
                        <dgm:param type="linDir" val="fromT"/>
                      </dgm:alg>
                    </dgm:if>
                    <dgm:if name="Name129" func="var" arg="hierBranch" op="equ" val="r">
                      <dgm:alg type="hierChild">
                        <dgm:param type="chAlign" val="l"/>
                        <dgm:param type="linDir" val="fromT"/>
                      </dgm:alg>
                    </dgm:if>
                    <dgm:if name="Name130" func="var" arg="hierBranch" op="equ" val="hang">
                      <dgm:choose name="Name131">
                        <dgm:if name="Name132" func="var" arg="dir" op="equ" val="norm">
                          <dgm:alg type="hierChild">
                            <dgm:param type="chAlign" val="l"/>
                            <dgm:param type="linDir" val="fromL"/>
                            <dgm:param type="secChAlign" val="t"/>
                            <dgm:param type="secLinDir" val="fromT"/>
                          </dgm:alg>
                        </dgm:if>
                        <dgm:else name="Name133">
                          <dgm:alg type="hierChild">
                            <dgm:param type="chAlign" val="l"/>
                            <dgm:param type="linDir" val="fromR"/>
                            <dgm:param type="secChAlign" val="t"/>
                            <dgm:param type="secLinDir" val="fromT"/>
                          </dgm:alg>
                        </dgm:else>
                      </dgm:choose>
                    </dgm:if>
                    <dgm:if name="Name134" func="var" arg="hierBranch" op="equ" val="std">
                      <dgm:choose name="Name135">
                        <dgm:if name="Name136" func="var" arg="dir" op="equ" val="norm">
                          <dgm:alg type="hierChild"/>
                        </dgm:if>
                        <dgm:else name="Name137">
                          <dgm:alg type="hierChild">
                            <dgm:param type="linDir" val="fromR"/>
                          </dgm:alg>
                        </dgm:else>
                      </dgm:choose>
                    </dgm:if>
                    <dgm:if name="Name138" func="var" arg="hierBranch" op="equ" val="init">
                      <dgm:choose name="Name139">
                        <dgm:if name="Name140" axis="des" func="maxDepth" op="lte" val="1">
                          <dgm:alg type="hierChild">
                            <dgm:param type="chAlign" val="l"/>
                            <dgm:param type="linDir" val="fromT"/>
                          </dgm:alg>
                        </dgm:if>
                        <dgm:else name="Name141">
                          <dgm:alg type="hierChild"/>
                        </dgm:else>
                      </dgm:choose>
                    </dgm:if>
                    <dgm:else name="Name142"/>
                  </dgm:choose>
                  <dgm:shape xmlns:r="http://schemas.openxmlformats.org/officeDocument/2006/relationships" r:blip="">
                    <dgm:adjLst/>
                  </dgm:shape>
                  <dgm:presOf/>
                  <dgm:constrLst/>
                  <dgm:ruleLst/>
                  <dgm:forEach name="Name143" ref="rep2a"/>
                </dgm:layoutNode>
                <dgm:layoutNode name="hierChild7">
                  <dgm:choose name="Name144">
                    <dgm:if name="Name145" func="var" arg="dir" op="equ" val="norm">
                      <dgm:alg type="hierChild">
                        <dgm:param type="chAlign" val="l"/>
                        <dgm:param type="linDir" val="fromL"/>
                        <dgm:param type="secChAlign" val="t"/>
                        <dgm:param type="secLinDir" val="fromT"/>
                      </dgm:alg>
                    </dgm:if>
                    <dgm:else name="Name146">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47" ref="rep2b"/>
                </dgm:layoutNode>
              </dgm:layoutNode>
            </dgm:forEach>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iagrams/quickStyle2.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9.png"/><Relationship Id="rId13" Type="http://schemas.openxmlformats.org/officeDocument/2006/relationships/image" Target="../media/image14.png"/><Relationship Id="rId3" Type="http://schemas.openxmlformats.org/officeDocument/2006/relationships/image" Target="../media/image4.png"/><Relationship Id="rId7" Type="http://schemas.openxmlformats.org/officeDocument/2006/relationships/image" Target="../media/image8.png"/><Relationship Id="rId12" Type="http://schemas.openxmlformats.org/officeDocument/2006/relationships/image" Target="../media/image13.png"/><Relationship Id="rId17" Type="http://schemas.openxmlformats.org/officeDocument/2006/relationships/image" Target="../media/image18.png"/><Relationship Id="rId2" Type="http://schemas.openxmlformats.org/officeDocument/2006/relationships/image" Target="../media/image3.png"/><Relationship Id="rId16" Type="http://schemas.openxmlformats.org/officeDocument/2006/relationships/image" Target="../media/image17.png"/><Relationship Id="rId1" Type="http://schemas.openxmlformats.org/officeDocument/2006/relationships/image" Target="../media/image2.png"/><Relationship Id="rId6" Type="http://schemas.openxmlformats.org/officeDocument/2006/relationships/image" Target="../media/image7.png"/><Relationship Id="rId11" Type="http://schemas.openxmlformats.org/officeDocument/2006/relationships/image" Target="../media/image12.png"/><Relationship Id="rId5" Type="http://schemas.openxmlformats.org/officeDocument/2006/relationships/image" Target="../media/image6.png"/><Relationship Id="rId15" Type="http://schemas.openxmlformats.org/officeDocument/2006/relationships/image" Target="../media/image16.png"/><Relationship Id="rId10" Type="http://schemas.openxmlformats.org/officeDocument/2006/relationships/image" Target="../media/image11.png"/><Relationship Id="rId4" Type="http://schemas.openxmlformats.org/officeDocument/2006/relationships/image" Target="../media/image5.png"/><Relationship Id="rId9" Type="http://schemas.openxmlformats.org/officeDocument/2006/relationships/image" Target="../media/image10.png"/><Relationship Id="rId14" Type="http://schemas.openxmlformats.org/officeDocument/2006/relationships/image" Target="../media/image15.png"/></Relationships>
</file>

<file path=xl/drawings/_rels/drawing3.xml.rels><?xml version="1.0" encoding="UTF-8" standalone="yes"?>
<Relationships xmlns="http://schemas.openxmlformats.org/package/2006/relationships"><Relationship Id="rId8" Type="http://schemas.openxmlformats.org/officeDocument/2006/relationships/diagramQuickStyle" Target="../diagrams/quickStyle2.xml"/><Relationship Id="rId3" Type="http://schemas.openxmlformats.org/officeDocument/2006/relationships/diagramQuickStyle" Target="../diagrams/quickStyle1.xml"/><Relationship Id="rId7" Type="http://schemas.openxmlformats.org/officeDocument/2006/relationships/diagramLayout" Target="../diagrams/layout2.xml"/><Relationship Id="rId2" Type="http://schemas.openxmlformats.org/officeDocument/2006/relationships/diagramLayout" Target="../diagrams/layout1.xml"/><Relationship Id="rId1" Type="http://schemas.openxmlformats.org/officeDocument/2006/relationships/diagramData" Target="../diagrams/data1.xml"/><Relationship Id="rId6" Type="http://schemas.openxmlformats.org/officeDocument/2006/relationships/diagramData" Target="../diagrams/data2.xml"/><Relationship Id="rId5" Type="http://schemas.microsoft.com/office/2007/relationships/diagramDrawing" Target="../diagrams/drawing1.xml"/><Relationship Id="rId10" Type="http://schemas.microsoft.com/office/2007/relationships/diagramDrawing" Target="../diagrams/drawing2.xml"/><Relationship Id="rId4" Type="http://schemas.openxmlformats.org/officeDocument/2006/relationships/diagramColors" Target="../diagrams/colors1.xml"/><Relationship Id="rId9" Type="http://schemas.openxmlformats.org/officeDocument/2006/relationships/diagramColors" Target="../diagrams/colors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 Id="rId4"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editAs="oneCell">
    <xdr:from>
      <xdr:col>2</xdr:col>
      <xdr:colOff>361949</xdr:colOff>
      <xdr:row>2</xdr:row>
      <xdr:rowOff>85725</xdr:rowOff>
    </xdr:from>
    <xdr:to>
      <xdr:col>7</xdr:col>
      <xdr:colOff>295274</xdr:colOff>
      <xdr:row>15</xdr:row>
      <xdr:rowOff>68429</xdr:rowOff>
    </xdr:to>
    <xdr:pic>
      <xdr:nvPicPr>
        <xdr:cNvPr id="2" name="Picture 1" descr="A black and green text with black and green stripes&#10;&#10;AI-generated content may be incorrect.">
          <a:extLst>
            <a:ext uri="{FF2B5EF4-FFF2-40B4-BE49-F238E27FC236}">
              <a16:creationId xmlns:a16="http://schemas.microsoft.com/office/drawing/2014/main" id="{A03DADEA-7C4A-FCD9-658A-64E3103209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81149" y="638175"/>
          <a:ext cx="2981325" cy="245920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527050</xdr:colOff>
      <xdr:row>0</xdr:row>
      <xdr:rowOff>28576</xdr:rowOff>
    </xdr:from>
    <xdr:to>
      <xdr:col>3</xdr:col>
      <xdr:colOff>57150</xdr:colOff>
      <xdr:row>0</xdr:row>
      <xdr:rowOff>299141</xdr:rowOff>
    </xdr:to>
    <xdr:pic>
      <xdr:nvPicPr>
        <xdr:cNvPr id="2" name="Picture 1">
          <a:extLst>
            <a:ext uri="{FF2B5EF4-FFF2-40B4-BE49-F238E27FC236}">
              <a16:creationId xmlns:a16="http://schemas.microsoft.com/office/drawing/2014/main" id="{CF1F08BD-216D-60EF-77AF-AFEB63D060D2}"/>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1746250" y="28576"/>
          <a:ext cx="311150" cy="270565"/>
        </a:xfrm>
        <a:prstGeom prst="rect">
          <a:avLst/>
        </a:prstGeom>
        <a:solidFill>
          <a:schemeClr val="bg1">
            <a:lumMod val="85000"/>
          </a:schemeClr>
        </a:solidFill>
      </xdr:spPr>
    </xdr:pic>
    <xdr:clientData/>
  </xdr:twoCellAnchor>
  <xdr:twoCellAnchor editAs="oneCell">
    <xdr:from>
      <xdr:col>4</xdr:col>
      <xdr:colOff>311150</xdr:colOff>
      <xdr:row>6</xdr:row>
      <xdr:rowOff>69851</xdr:rowOff>
    </xdr:from>
    <xdr:to>
      <xdr:col>4</xdr:col>
      <xdr:colOff>590550</xdr:colOff>
      <xdr:row>6</xdr:row>
      <xdr:rowOff>304901</xdr:rowOff>
    </xdr:to>
    <xdr:pic>
      <xdr:nvPicPr>
        <xdr:cNvPr id="3" name="Picture 2">
          <a:extLst>
            <a:ext uri="{FF2B5EF4-FFF2-40B4-BE49-F238E27FC236}">
              <a16:creationId xmlns:a16="http://schemas.microsoft.com/office/drawing/2014/main" id="{E69468ED-32C8-F619-D703-FA357D1B5CD4}"/>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2921000" y="2012951"/>
          <a:ext cx="279400" cy="235050"/>
        </a:xfrm>
        <a:prstGeom prst="rect">
          <a:avLst/>
        </a:prstGeom>
      </xdr:spPr>
    </xdr:pic>
    <xdr:clientData/>
  </xdr:twoCellAnchor>
  <xdr:twoCellAnchor editAs="oneCell">
    <xdr:from>
      <xdr:col>4</xdr:col>
      <xdr:colOff>247650</xdr:colOff>
      <xdr:row>21</xdr:row>
      <xdr:rowOff>41275</xdr:rowOff>
    </xdr:from>
    <xdr:to>
      <xdr:col>4</xdr:col>
      <xdr:colOff>492170</xdr:colOff>
      <xdr:row>21</xdr:row>
      <xdr:rowOff>331342</xdr:rowOff>
    </xdr:to>
    <xdr:pic>
      <xdr:nvPicPr>
        <xdr:cNvPr id="4" name="Picture 3">
          <a:extLst>
            <a:ext uri="{FF2B5EF4-FFF2-40B4-BE49-F238E27FC236}">
              <a16:creationId xmlns:a16="http://schemas.microsoft.com/office/drawing/2014/main" id="{B1544F7C-F8B1-C52F-F3E7-FC19529498FB}"/>
            </a:ext>
          </a:extLst>
        </xdr:cNvPr>
        <xdr:cNvPicPr>
          <a:picLocks noChangeAspect="1"/>
        </xdr:cNvPicPr>
      </xdr:nvPicPr>
      <xdr:blipFill>
        <a:blip xmlns:r="http://schemas.openxmlformats.org/officeDocument/2006/relationships" r:embed="rId3">
          <a:clrChange>
            <a:clrFrom>
              <a:srgbClr val="FFFFFF"/>
            </a:clrFrom>
            <a:clrTo>
              <a:srgbClr val="FFFFFF">
                <a:alpha val="0"/>
              </a:srgbClr>
            </a:clrTo>
          </a:clrChange>
        </a:blip>
        <a:stretch>
          <a:fillRect/>
        </a:stretch>
      </xdr:blipFill>
      <xdr:spPr>
        <a:xfrm>
          <a:off x="2857500" y="4987925"/>
          <a:ext cx="244520" cy="290067"/>
        </a:xfrm>
        <a:prstGeom prst="rect">
          <a:avLst/>
        </a:prstGeom>
      </xdr:spPr>
    </xdr:pic>
    <xdr:clientData/>
  </xdr:twoCellAnchor>
  <xdr:twoCellAnchor editAs="oneCell">
    <xdr:from>
      <xdr:col>0</xdr:col>
      <xdr:colOff>387987</xdr:colOff>
      <xdr:row>22</xdr:row>
      <xdr:rowOff>6351</xdr:rowOff>
    </xdr:from>
    <xdr:to>
      <xdr:col>1</xdr:col>
      <xdr:colOff>39735</xdr:colOff>
      <xdr:row>23</xdr:row>
      <xdr:rowOff>33338</xdr:rowOff>
    </xdr:to>
    <xdr:pic>
      <xdr:nvPicPr>
        <xdr:cNvPr id="5" name="Picture 4">
          <a:extLst>
            <a:ext uri="{FF2B5EF4-FFF2-40B4-BE49-F238E27FC236}">
              <a16:creationId xmlns:a16="http://schemas.microsoft.com/office/drawing/2014/main" id="{13A9AEC4-B4F4-0283-F559-04A7577DDE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387987" y="5283201"/>
          <a:ext cx="261348" cy="217487"/>
        </a:xfrm>
        <a:prstGeom prst="rect">
          <a:avLst/>
        </a:prstGeom>
      </xdr:spPr>
    </xdr:pic>
    <xdr:clientData/>
  </xdr:twoCellAnchor>
  <xdr:twoCellAnchor editAs="oneCell">
    <xdr:from>
      <xdr:col>3</xdr:col>
      <xdr:colOff>260350</xdr:colOff>
      <xdr:row>29</xdr:row>
      <xdr:rowOff>25400</xdr:rowOff>
    </xdr:from>
    <xdr:to>
      <xdr:col>4</xdr:col>
      <xdr:colOff>12700</xdr:colOff>
      <xdr:row>30</xdr:row>
      <xdr:rowOff>28353</xdr:rowOff>
    </xdr:to>
    <xdr:pic>
      <xdr:nvPicPr>
        <xdr:cNvPr id="6" name="Picture 5">
          <a:extLst>
            <a:ext uri="{FF2B5EF4-FFF2-40B4-BE49-F238E27FC236}">
              <a16:creationId xmlns:a16="http://schemas.microsoft.com/office/drawing/2014/main" id="{56A6D376-D6AA-9C4A-E11E-3004CB5DCA67}"/>
            </a:ext>
          </a:extLst>
        </xdr:cNvPr>
        <xdr:cNvPicPr>
          <a:picLocks noChangeAspect="1"/>
        </xdr:cNvPicPr>
      </xdr:nvPicPr>
      <xdr:blipFill>
        <a:blip xmlns:r="http://schemas.openxmlformats.org/officeDocument/2006/relationships" r:embed="rId5">
          <a:clrChange>
            <a:clrFrom>
              <a:srgbClr val="FFFFFF"/>
            </a:clrFrom>
            <a:clrTo>
              <a:srgbClr val="FFFFFF">
                <a:alpha val="0"/>
              </a:srgbClr>
            </a:clrTo>
          </a:clrChange>
        </a:blip>
        <a:stretch>
          <a:fillRect/>
        </a:stretch>
      </xdr:blipFill>
      <xdr:spPr>
        <a:xfrm>
          <a:off x="2260600" y="6642100"/>
          <a:ext cx="361950" cy="339503"/>
        </a:xfrm>
        <a:prstGeom prst="rect">
          <a:avLst/>
        </a:prstGeom>
      </xdr:spPr>
    </xdr:pic>
    <xdr:clientData/>
  </xdr:twoCellAnchor>
  <xdr:twoCellAnchor editAs="oneCell">
    <xdr:from>
      <xdr:col>4</xdr:col>
      <xdr:colOff>155575</xdr:colOff>
      <xdr:row>36</xdr:row>
      <xdr:rowOff>15876</xdr:rowOff>
    </xdr:from>
    <xdr:to>
      <xdr:col>4</xdr:col>
      <xdr:colOff>488950</xdr:colOff>
      <xdr:row>36</xdr:row>
      <xdr:rowOff>327026</xdr:rowOff>
    </xdr:to>
    <xdr:pic>
      <xdr:nvPicPr>
        <xdr:cNvPr id="8" name="Picture 7">
          <a:extLst>
            <a:ext uri="{FF2B5EF4-FFF2-40B4-BE49-F238E27FC236}">
              <a16:creationId xmlns:a16="http://schemas.microsoft.com/office/drawing/2014/main" id="{04C2DD8F-8E6B-1CA2-2A1F-71FA73B6D6C0}"/>
            </a:ext>
          </a:extLst>
        </xdr:cNvPr>
        <xdr:cNvPicPr>
          <a:picLocks noChangeAspect="1"/>
        </xdr:cNvPicPr>
      </xdr:nvPicPr>
      <xdr:blipFill>
        <a:blip xmlns:r="http://schemas.openxmlformats.org/officeDocument/2006/relationships" r:embed="rId6">
          <a:clrChange>
            <a:clrFrom>
              <a:srgbClr val="FFFFFF"/>
            </a:clrFrom>
            <a:clrTo>
              <a:srgbClr val="FFFFFF">
                <a:alpha val="0"/>
              </a:srgbClr>
            </a:clrTo>
          </a:clrChange>
        </a:blip>
        <a:stretch>
          <a:fillRect/>
        </a:stretch>
      </xdr:blipFill>
      <xdr:spPr>
        <a:xfrm>
          <a:off x="2765425" y="8112126"/>
          <a:ext cx="333375" cy="311150"/>
        </a:xfrm>
        <a:prstGeom prst="rect">
          <a:avLst/>
        </a:prstGeom>
      </xdr:spPr>
    </xdr:pic>
    <xdr:clientData/>
  </xdr:twoCellAnchor>
  <xdr:twoCellAnchor editAs="oneCell">
    <xdr:from>
      <xdr:col>3</xdr:col>
      <xdr:colOff>12700</xdr:colOff>
      <xdr:row>44</xdr:row>
      <xdr:rowOff>38100</xdr:rowOff>
    </xdr:from>
    <xdr:to>
      <xdr:col>3</xdr:col>
      <xdr:colOff>256209</xdr:colOff>
      <xdr:row>45</xdr:row>
      <xdr:rowOff>12700</xdr:rowOff>
    </xdr:to>
    <xdr:pic>
      <xdr:nvPicPr>
        <xdr:cNvPr id="9" name="Picture 8">
          <a:extLst>
            <a:ext uri="{FF2B5EF4-FFF2-40B4-BE49-F238E27FC236}">
              <a16:creationId xmlns:a16="http://schemas.microsoft.com/office/drawing/2014/main" id="{52090866-779D-45DC-26FF-F00532425034}"/>
            </a:ext>
          </a:extLst>
        </xdr:cNvPr>
        <xdr:cNvPicPr>
          <a:picLocks noChangeAspect="1"/>
        </xdr:cNvPicPr>
      </xdr:nvPicPr>
      <xdr:blipFill>
        <a:blip xmlns:r="http://schemas.openxmlformats.org/officeDocument/2006/relationships" r:embed="rId7">
          <a:clrChange>
            <a:clrFrom>
              <a:srgbClr val="FFFFFF"/>
            </a:clrFrom>
            <a:clrTo>
              <a:srgbClr val="FFFFFF">
                <a:alpha val="0"/>
              </a:srgbClr>
            </a:clrTo>
          </a:clrChange>
        </a:blip>
        <a:stretch>
          <a:fillRect/>
        </a:stretch>
      </xdr:blipFill>
      <xdr:spPr>
        <a:xfrm>
          <a:off x="2012950" y="9804400"/>
          <a:ext cx="243509" cy="311150"/>
        </a:xfrm>
        <a:prstGeom prst="rect">
          <a:avLst/>
        </a:prstGeom>
      </xdr:spPr>
    </xdr:pic>
    <xdr:clientData/>
  </xdr:twoCellAnchor>
  <xdr:twoCellAnchor editAs="oneCell">
    <xdr:from>
      <xdr:col>2</xdr:col>
      <xdr:colOff>133350</xdr:colOff>
      <xdr:row>53</xdr:row>
      <xdr:rowOff>38101</xdr:rowOff>
    </xdr:from>
    <xdr:to>
      <xdr:col>2</xdr:col>
      <xdr:colOff>419100</xdr:colOff>
      <xdr:row>53</xdr:row>
      <xdr:rowOff>293771</xdr:rowOff>
    </xdr:to>
    <xdr:pic>
      <xdr:nvPicPr>
        <xdr:cNvPr id="10" name="Picture 9">
          <a:extLst>
            <a:ext uri="{FF2B5EF4-FFF2-40B4-BE49-F238E27FC236}">
              <a16:creationId xmlns:a16="http://schemas.microsoft.com/office/drawing/2014/main" id="{48B7A205-B367-6E53-CE6B-7A270D024A03}"/>
            </a:ext>
          </a:extLst>
        </xdr:cNvPr>
        <xdr:cNvPicPr>
          <a:picLocks noChangeAspect="1"/>
        </xdr:cNvPicPr>
      </xdr:nvPicPr>
      <xdr:blipFill>
        <a:blip xmlns:r="http://schemas.openxmlformats.org/officeDocument/2006/relationships" r:embed="rId8">
          <a:clrChange>
            <a:clrFrom>
              <a:srgbClr val="FFFFFF"/>
            </a:clrFrom>
            <a:clrTo>
              <a:srgbClr val="FFFFFF">
                <a:alpha val="0"/>
              </a:srgbClr>
            </a:clrTo>
          </a:clrChange>
        </a:blip>
        <a:stretch>
          <a:fillRect/>
        </a:stretch>
      </xdr:blipFill>
      <xdr:spPr>
        <a:xfrm>
          <a:off x="1352550" y="11315701"/>
          <a:ext cx="285750" cy="255670"/>
        </a:xfrm>
        <a:prstGeom prst="rect">
          <a:avLst/>
        </a:prstGeom>
      </xdr:spPr>
    </xdr:pic>
    <xdr:clientData/>
  </xdr:twoCellAnchor>
  <xdr:twoCellAnchor editAs="oneCell">
    <xdr:from>
      <xdr:col>0</xdr:col>
      <xdr:colOff>361950</xdr:colOff>
      <xdr:row>61</xdr:row>
      <xdr:rowOff>0</xdr:rowOff>
    </xdr:from>
    <xdr:to>
      <xdr:col>1</xdr:col>
      <xdr:colOff>38140</xdr:colOff>
      <xdr:row>61</xdr:row>
      <xdr:rowOff>181000</xdr:rowOff>
    </xdr:to>
    <xdr:pic>
      <xdr:nvPicPr>
        <xdr:cNvPr id="11" name="Picture 10">
          <a:extLst>
            <a:ext uri="{FF2B5EF4-FFF2-40B4-BE49-F238E27FC236}">
              <a16:creationId xmlns:a16="http://schemas.microsoft.com/office/drawing/2014/main" id="{6EED30A4-1EFC-9640-907B-D293CD59130F}"/>
            </a:ext>
          </a:extLst>
        </xdr:cNvPr>
        <xdr:cNvPicPr>
          <a:picLocks noChangeAspect="1"/>
        </xdr:cNvPicPr>
      </xdr:nvPicPr>
      <xdr:blipFill>
        <a:blip xmlns:r="http://schemas.openxmlformats.org/officeDocument/2006/relationships" r:embed="rId9">
          <a:clrChange>
            <a:clrFrom>
              <a:srgbClr val="FFFFFF"/>
            </a:clrFrom>
            <a:clrTo>
              <a:srgbClr val="FFFFFF">
                <a:alpha val="0"/>
              </a:srgbClr>
            </a:clrTo>
          </a:clrChange>
        </a:blip>
        <a:stretch>
          <a:fillRect/>
        </a:stretch>
      </xdr:blipFill>
      <xdr:spPr>
        <a:xfrm>
          <a:off x="361950" y="12782550"/>
          <a:ext cx="285790" cy="181000"/>
        </a:xfrm>
        <a:prstGeom prst="rect">
          <a:avLst/>
        </a:prstGeom>
      </xdr:spPr>
    </xdr:pic>
    <xdr:clientData/>
  </xdr:twoCellAnchor>
  <xdr:twoCellAnchor editAs="oneCell">
    <xdr:from>
      <xdr:col>2</xdr:col>
      <xdr:colOff>685801</xdr:colOff>
      <xdr:row>63</xdr:row>
      <xdr:rowOff>22226</xdr:rowOff>
    </xdr:from>
    <xdr:to>
      <xdr:col>3</xdr:col>
      <xdr:colOff>254001</xdr:colOff>
      <xdr:row>63</xdr:row>
      <xdr:rowOff>325522</xdr:rowOff>
    </xdr:to>
    <xdr:pic>
      <xdr:nvPicPr>
        <xdr:cNvPr id="12" name="Picture 11">
          <a:extLst>
            <a:ext uri="{FF2B5EF4-FFF2-40B4-BE49-F238E27FC236}">
              <a16:creationId xmlns:a16="http://schemas.microsoft.com/office/drawing/2014/main" id="{C4615F11-7B53-8F43-4FC1-D8D1740CF85B}"/>
            </a:ext>
          </a:extLst>
        </xdr:cNvPr>
        <xdr:cNvPicPr>
          <a:picLocks noChangeAspect="1"/>
        </xdr:cNvPicPr>
      </xdr:nvPicPr>
      <xdr:blipFill>
        <a:blip xmlns:r="http://schemas.openxmlformats.org/officeDocument/2006/relationships" r:embed="rId10">
          <a:clrChange>
            <a:clrFrom>
              <a:srgbClr val="FFFFFF"/>
            </a:clrFrom>
            <a:clrTo>
              <a:srgbClr val="FFFFFF">
                <a:alpha val="0"/>
              </a:srgbClr>
            </a:clrTo>
          </a:clrChange>
        </a:blip>
        <a:stretch>
          <a:fillRect/>
        </a:stretch>
      </xdr:blipFill>
      <xdr:spPr>
        <a:xfrm>
          <a:off x="1905001" y="13388976"/>
          <a:ext cx="349250" cy="303296"/>
        </a:xfrm>
        <a:prstGeom prst="rect">
          <a:avLst/>
        </a:prstGeom>
      </xdr:spPr>
    </xdr:pic>
    <xdr:clientData/>
  </xdr:twoCellAnchor>
  <xdr:twoCellAnchor editAs="oneCell">
    <xdr:from>
      <xdr:col>3</xdr:col>
      <xdr:colOff>104775</xdr:colOff>
      <xdr:row>69</xdr:row>
      <xdr:rowOff>32076</xdr:rowOff>
    </xdr:from>
    <xdr:to>
      <xdr:col>3</xdr:col>
      <xdr:colOff>425450</xdr:colOff>
      <xdr:row>69</xdr:row>
      <xdr:rowOff>330247</xdr:rowOff>
    </xdr:to>
    <xdr:pic>
      <xdr:nvPicPr>
        <xdr:cNvPr id="13" name="Picture 12">
          <a:extLst>
            <a:ext uri="{FF2B5EF4-FFF2-40B4-BE49-F238E27FC236}">
              <a16:creationId xmlns:a16="http://schemas.microsoft.com/office/drawing/2014/main" id="{675A7F4F-594D-B84F-B2DF-A724F7BCA617}"/>
            </a:ext>
          </a:extLst>
        </xdr:cNvPr>
        <xdr:cNvPicPr>
          <a:picLocks noChangeAspect="1"/>
        </xdr:cNvPicPr>
      </xdr:nvPicPr>
      <xdr:blipFill>
        <a:blip xmlns:r="http://schemas.openxmlformats.org/officeDocument/2006/relationships" r:embed="rId11">
          <a:clrChange>
            <a:clrFrom>
              <a:srgbClr val="FFFFFF"/>
            </a:clrFrom>
            <a:clrTo>
              <a:srgbClr val="FFFFFF">
                <a:alpha val="0"/>
              </a:srgbClr>
            </a:clrTo>
          </a:clrChange>
        </a:blip>
        <a:stretch>
          <a:fillRect/>
        </a:stretch>
      </xdr:blipFill>
      <xdr:spPr>
        <a:xfrm>
          <a:off x="2105025" y="14700576"/>
          <a:ext cx="320675" cy="298171"/>
        </a:xfrm>
        <a:prstGeom prst="rect">
          <a:avLst/>
        </a:prstGeom>
      </xdr:spPr>
    </xdr:pic>
    <xdr:clientData/>
  </xdr:twoCellAnchor>
  <xdr:twoCellAnchor editAs="oneCell">
    <xdr:from>
      <xdr:col>2</xdr:col>
      <xdr:colOff>576853</xdr:colOff>
      <xdr:row>79</xdr:row>
      <xdr:rowOff>35378</xdr:rowOff>
    </xdr:from>
    <xdr:to>
      <xdr:col>3</xdr:col>
      <xdr:colOff>98475</xdr:colOff>
      <xdr:row>79</xdr:row>
      <xdr:rowOff>306160</xdr:rowOff>
    </xdr:to>
    <xdr:pic>
      <xdr:nvPicPr>
        <xdr:cNvPr id="14" name="Picture 13">
          <a:extLst>
            <a:ext uri="{FF2B5EF4-FFF2-40B4-BE49-F238E27FC236}">
              <a16:creationId xmlns:a16="http://schemas.microsoft.com/office/drawing/2014/main" id="{8F13BC95-2E1E-95D5-8F0A-0AF42B498656}"/>
            </a:ext>
          </a:extLst>
        </xdr:cNvPr>
        <xdr:cNvPicPr>
          <a:picLocks noChangeAspect="1"/>
        </xdr:cNvPicPr>
      </xdr:nvPicPr>
      <xdr:blipFill>
        <a:blip xmlns:r="http://schemas.openxmlformats.org/officeDocument/2006/relationships" r:embed="rId12">
          <a:clrChange>
            <a:clrFrom>
              <a:srgbClr val="FFFFFF"/>
            </a:clrFrom>
            <a:clrTo>
              <a:srgbClr val="FFFFFF">
                <a:alpha val="0"/>
              </a:srgbClr>
            </a:clrTo>
          </a:clrChange>
        </a:blip>
        <a:stretch>
          <a:fillRect/>
        </a:stretch>
      </xdr:blipFill>
      <xdr:spPr>
        <a:xfrm>
          <a:off x="1801496" y="16622485"/>
          <a:ext cx="304033" cy="270782"/>
        </a:xfrm>
        <a:prstGeom prst="rect">
          <a:avLst/>
        </a:prstGeom>
      </xdr:spPr>
    </xdr:pic>
    <xdr:clientData/>
  </xdr:twoCellAnchor>
  <xdr:twoCellAnchor editAs="oneCell">
    <xdr:from>
      <xdr:col>0</xdr:col>
      <xdr:colOff>431800</xdr:colOff>
      <xdr:row>87</xdr:row>
      <xdr:rowOff>22226</xdr:rowOff>
    </xdr:from>
    <xdr:to>
      <xdr:col>1</xdr:col>
      <xdr:colOff>15908</xdr:colOff>
      <xdr:row>87</xdr:row>
      <xdr:rowOff>203020</xdr:rowOff>
    </xdr:to>
    <xdr:pic>
      <xdr:nvPicPr>
        <xdr:cNvPr id="15" name="Picture 14">
          <a:extLst>
            <a:ext uri="{FF2B5EF4-FFF2-40B4-BE49-F238E27FC236}">
              <a16:creationId xmlns:a16="http://schemas.microsoft.com/office/drawing/2014/main" id="{7FEDBA7E-A10D-B38C-D63E-C11D66029CC6}"/>
            </a:ext>
          </a:extLst>
        </xdr:cNvPr>
        <xdr:cNvPicPr>
          <a:picLocks noChangeAspect="1"/>
        </xdr:cNvPicPr>
      </xdr:nvPicPr>
      <xdr:blipFill>
        <a:blip xmlns:r="http://schemas.openxmlformats.org/officeDocument/2006/relationships" r:embed="rId13">
          <a:clrChange>
            <a:clrFrom>
              <a:srgbClr val="FFFFFF"/>
            </a:clrFrom>
            <a:clrTo>
              <a:srgbClr val="FFFFFF">
                <a:alpha val="0"/>
              </a:srgbClr>
            </a:clrTo>
          </a:clrChange>
        </a:blip>
        <a:stretch>
          <a:fillRect/>
        </a:stretch>
      </xdr:blipFill>
      <xdr:spPr>
        <a:xfrm>
          <a:off x="431800" y="18316576"/>
          <a:ext cx="193708" cy="180794"/>
        </a:xfrm>
        <a:prstGeom prst="rect">
          <a:avLst/>
        </a:prstGeom>
      </xdr:spPr>
    </xdr:pic>
    <xdr:clientData/>
  </xdr:twoCellAnchor>
  <xdr:twoCellAnchor editAs="oneCell">
    <xdr:from>
      <xdr:col>1</xdr:col>
      <xdr:colOff>442697</xdr:colOff>
      <xdr:row>31</xdr:row>
      <xdr:rowOff>28575</xdr:rowOff>
    </xdr:from>
    <xdr:to>
      <xdr:col>1</xdr:col>
      <xdr:colOff>589382</xdr:colOff>
      <xdr:row>31</xdr:row>
      <xdr:rowOff>161925</xdr:rowOff>
    </xdr:to>
    <xdr:pic>
      <xdr:nvPicPr>
        <xdr:cNvPr id="16" name="Picture 15">
          <a:extLst>
            <a:ext uri="{FF2B5EF4-FFF2-40B4-BE49-F238E27FC236}">
              <a16:creationId xmlns:a16="http://schemas.microsoft.com/office/drawing/2014/main" id="{3DC96391-095B-38F0-EE5A-4F6706184BE2}"/>
            </a:ext>
          </a:extLst>
        </xdr:cNvPr>
        <xdr:cNvPicPr>
          <a:picLocks noChangeAspect="1"/>
        </xdr:cNvPicPr>
      </xdr:nvPicPr>
      <xdr:blipFill>
        <a:blip xmlns:r="http://schemas.openxmlformats.org/officeDocument/2006/relationships" r:embed="rId14">
          <a:clrChange>
            <a:clrFrom>
              <a:srgbClr val="FFFFFF"/>
            </a:clrFrom>
            <a:clrTo>
              <a:srgbClr val="FFFFFF">
                <a:alpha val="0"/>
              </a:srgbClr>
            </a:clrTo>
          </a:clrChange>
        </a:blip>
        <a:stretch>
          <a:fillRect/>
        </a:stretch>
      </xdr:blipFill>
      <xdr:spPr>
        <a:xfrm>
          <a:off x="1052297" y="7162800"/>
          <a:ext cx="146685" cy="133350"/>
        </a:xfrm>
        <a:prstGeom prst="rect">
          <a:avLst/>
        </a:prstGeom>
      </xdr:spPr>
    </xdr:pic>
    <xdr:clientData/>
  </xdr:twoCellAnchor>
  <xdr:twoCellAnchor editAs="oneCell">
    <xdr:from>
      <xdr:col>1</xdr:col>
      <xdr:colOff>446480</xdr:colOff>
      <xdr:row>32</xdr:row>
      <xdr:rowOff>38101</xdr:rowOff>
    </xdr:from>
    <xdr:to>
      <xdr:col>1</xdr:col>
      <xdr:colOff>587926</xdr:colOff>
      <xdr:row>32</xdr:row>
      <xdr:rowOff>166688</xdr:rowOff>
    </xdr:to>
    <xdr:pic>
      <xdr:nvPicPr>
        <xdr:cNvPr id="17" name="Picture 16">
          <a:extLst>
            <a:ext uri="{FF2B5EF4-FFF2-40B4-BE49-F238E27FC236}">
              <a16:creationId xmlns:a16="http://schemas.microsoft.com/office/drawing/2014/main" id="{98FDE072-BADF-F207-FDB7-154048070A2D}"/>
            </a:ext>
          </a:extLst>
        </xdr:cNvPr>
        <xdr:cNvPicPr>
          <a:picLocks noChangeAspect="1"/>
        </xdr:cNvPicPr>
      </xdr:nvPicPr>
      <xdr:blipFill>
        <a:blip xmlns:r="http://schemas.openxmlformats.org/officeDocument/2006/relationships" r:embed="rId15">
          <a:clrChange>
            <a:clrFrom>
              <a:srgbClr val="FFFFFF"/>
            </a:clrFrom>
            <a:clrTo>
              <a:srgbClr val="FFFFFF">
                <a:alpha val="0"/>
              </a:srgbClr>
            </a:clrTo>
          </a:clrChange>
        </a:blip>
        <a:stretch>
          <a:fillRect/>
        </a:stretch>
      </xdr:blipFill>
      <xdr:spPr>
        <a:xfrm>
          <a:off x="1056080" y="7362826"/>
          <a:ext cx="141446" cy="128587"/>
        </a:xfrm>
        <a:prstGeom prst="rect">
          <a:avLst/>
        </a:prstGeom>
      </xdr:spPr>
    </xdr:pic>
    <xdr:clientData/>
  </xdr:twoCellAnchor>
  <xdr:twoCellAnchor editAs="oneCell">
    <xdr:from>
      <xdr:col>1</xdr:col>
      <xdr:colOff>471486</xdr:colOff>
      <xdr:row>33</xdr:row>
      <xdr:rowOff>47626</xdr:rowOff>
    </xdr:from>
    <xdr:to>
      <xdr:col>1</xdr:col>
      <xdr:colOff>579855</xdr:colOff>
      <xdr:row>33</xdr:row>
      <xdr:rowOff>155995</xdr:rowOff>
    </xdr:to>
    <xdr:pic>
      <xdr:nvPicPr>
        <xdr:cNvPr id="18" name="Picture 17">
          <a:extLst>
            <a:ext uri="{FF2B5EF4-FFF2-40B4-BE49-F238E27FC236}">
              <a16:creationId xmlns:a16="http://schemas.microsoft.com/office/drawing/2014/main" id="{0181CB90-57A9-305F-A33B-DBED0D72B577}"/>
            </a:ext>
          </a:extLst>
        </xdr:cNvPr>
        <xdr:cNvPicPr>
          <a:picLocks noChangeAspect="1"/>
        </xdr:cNvPicPr>
      </xdr:nvPicPr>
      <xdr:blipFill>
        <a:blip xmlns:r="http://schemas.openxmlformats.org/officeDocument/2006/relationships" r:embed="rId16"/>
        <a:stretch>
          <a:fillRect/>
        </a:stretch>
      </xdr:blipFill>
      <xdr:spPr>
        <a:xfrm>
          <a:off x="1081086" y="7562851"/>
          <a:ext cx="108369" cy="108369"/>
        </a:xfrm>
        <a:prstGeom prst="rect">
          <a:avLst/>
        </a:prstGeom>
      </xdr:spPr>
    </xdr:pic>
    <xdr:clientData/>
  </xdr:twoCellAnchor>
  <xdr:twoCellAnchor editAs="oneCell">
    <xdr:from>
      <xdr:col>1</xdr:col>
      <xdr:colOff>476250</xdr:colOff>
      <xdr:row>34</xdr:row>
      <xdr:rowOff>34597</xdr:rowOff>
    </xdr:from>
    <xdr:to>
      <xdr:col>1</xdr:col>
      <xdr:colOff>582462</xdr:colOff>
      <xdr:row>34</xdr:row>
      <xdr:rowOff>159553</xdr:rowOff>
    </xdr:to>
    <xdr:pic>
      <xdr:nvPicPr>
        <xdr:cNvPr id="19" name="Picture 18">
          <a:extLst>
            <a:ext uri="{FF2B5EF4-FFF2-40B4-BE49-F238E27FC236}">
              <a16:creationId xmlns:a16="http://schemas.microsoft.com/office/drawing/2014/main" id="{49DFEE52-165B-AED6-DAD8-16DF2C33F98F}"/>
            </a:ext>
          </a:extLst>
        </xdr:cNvPr>
        <xdr:cNvPicPr>
          <a:picLocks noChangeAspect="1"/>
        </xdr:cNvPicPr>
      </xdr:nvPicPr>
      <xdr:blipFill>
        <a:blip xmlns:r="http://schemas.openxmlformats.org/officeDocument/2006/relationships" r:embed="rId17"/>
        <a:stretch>
          <a:fillRect/>
        </a:stretch>
      </xdr:blipFill>
      <xdr:spPr>
        <a:xfrm>
          <a:off x="1085850" y="7740322"/>
          <a:ext cx="106212" cy="12495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561975</xdr:colOff>
      <xdr:row>8</xdr:row>
      <xdr:rowOff>28576</xdr:rowOff>
    </xdr:from>
    <xdr:to>
      <xdr:col>12</xdr:col>
      <xdr:colOff>409575</xdr:colOff>
      <xdr:row>25</xdr:row>
      <xdr:rowOff>19050</xdr:rowOff>
    </xdr:to>
    <xdr:graphicFrame macro="">
      <xdr:nvGraphicFramePr>
        <xdr:cNvPr id="2" name="Diagram 1">
          <a:extLst>
            <a:ext uri="{FF2B5EF4-FFF2-40B4-BE49-F238E27FC236}">
              <a16:creationId xmlns:a16="http://schemas.microsoft.com/office/drawing/2014/main" id="{91D62C7F-C351-93CD-5B28-651A6A2E971B}"/>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twoCellAnchor>
    <xdr:from>
      <xdr:col>3</xdr:col>
      <xdr:colOff>342900</xdr:colOff>
      <xdr:row>31</xdr:row>
      <xdr:rowOff>57150</xdr:rowOff>
    </xdr:from>
    <xdr:to>
      <xdr:col>13</xdr:col>
      <xdr:colOff>190500</xdr:colOff>
      <xdr:row>60</xdr:row>
      <xdr:rowOff>92708</xdr:rowOff>
    </xdr:to>
    <xdr:graphicFrame macro="">
      <xdr:nvGraphicFramePr>
        <xdr:cNvPr id="3" name="Diagram 2">
          <a:extLst>
            <a:ext uri="{FF2B5EF4-FFF2-40B4-BE49-F238E27FC236}">
              <a16:creationId xmlns:a16="http://schemas.microsoft.com/office/drawing/2014/main" id="{B0FE37BB-A015-FB17-E761-ED14E1EDA016}"/>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6" r:lo="rId7" r:qs="rId8" r:cs="rId9"/>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57150</xdr:colOff>
      <xdr:row>30</xdr:row>
      <xdr:rowOff>171450</xdr:rowOff>
    </xdr:from>
    <xdr:to>
      <xdr:col>5</xdr:col>
      <xdr:colOff>1314449</xdr:colOff>
      <xdr:row>58</xdr:row>
      <xdr:rowOff>62821</xdr:rowOff>
    </xdr:to>
    <xdr:graphicFrame macro="">
      <xdr:nvGraphicFramePr>
        <xdr:cNvPr id="3" name="Chart 2">
          <a:extLst>
            <a:ext uri="{FF2B5EF4-FFF2-40B4-BE49-F238E27FC236}">
              <a16:creationId xmlns:a16="http://schemas.microsoft.com/office/drawing/2014/main" id="{D0D596ED-F375-403B-ACE0-29ABF59ABB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8</xdr:col>
      <xdr:colOff>457200</xdr:colOff>
      <xdr:row>44</xdr:row>
      <xdr:rowOff>85726</xdr:rowOff>
    </xdr:from>
    <xdr:to>
      <xdr:col>23</xdr:col>
      <xdr:colOff>495301</xdr:colOff>
      <xdr:row>69</xdr:row>
      <xdr:rowOff>85726</xdr:rowOff>
    </xdr:to>
    <xdr:graphicFrame macro="">
      <xdr:nvGraphicFramePr>
        <xdr:cNvPr id="3" name="Chart 2">
          <a:extLst>
            <a:ext uri="{FF2B5EF4-FFF2-40B4-BE49-F238E27FC236}">
              <a16:creationId xmlns:a16="http://schemas.microsoft.com/office/drawing/2014/main" id="{FADAC60C-B412-F4ED-15C4-B0971990C8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438150</xdr:colOff>
      <xdr:row>70</xdr:row>
      <xdr:rowOff>76200</xdr:rowOff>
    </xdr:from>
    <xdr:to>
      <xdr:col>23</xdr:col>
      <xdr:colOff>508000</xdr:colOff>
      <xdr:row>94</xdr:row>
      <xdr:rowOff>57150</xdr:rowOff>
    </xdr:to>
    <xdr:graphicFrame macro="">
      <xdr:nvGraphicFramePr>
        <xdr:cNvPr id="2" name="Chart 1">
          <a:extLst>
            <a:ext uri="{FF2B5EF4-FFF2-40B4-BE49-F238E27FC236}">
              <a16:creationId xmlns:a16="http://schemas.microsoft.com/office/drawing/2014/main" id="{825BBA26-F272-45D7-AFDF-A1BDCAB105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466726</xdr:colOff>
      <xdr:row>94</xdr:row>
      <xdr:rowOff>180975</xdr:rowOff>
    </xdr:from>
    <xdr:to>
      <xdr:col>23</xdr:col>
      <xdr:colOff>514351</xdr:colOff>
      <xdr:row>118</xdr:row>
      <xdr:rowOff>171450</xdr:rowOff>
    </xdr:to>
    <xdr:graphicFrame macro="">
      <xdr:nvGraphicFramePr>
        <xdr:cNvPr id="4" name="Chart 3">
          <a:extLst>
            <a:ext uri="{FF2B5EF4-FFF2-40B4-BE49-F238E27FC236}">
              <a16:creationId xmlns:a16="http://schemas.microsoft.com/office/drawing/2014/main" id="{A7EEEB85-E346-4C57-A75D-C96FD7240D7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8</xdr:col>
      <xdr:colOff>447676</xdr:colOff>
      <xdr:row>120</xdr:row>
      <xdr:rowOff>38100</xdr:rowOff>
    </xdr:from>
    <xdr:to>
      <xdr:col>23</xdr:col>
      <xdr:colOff>514351</xdr:colOff>
      <xdr:row>144</xdr:row>
      <xdr:rowOff>28575</xdr:rowOff>
    </xdr:to>
    <xdr:graphicFrame macro="">
      <xdr:nvGraphicFramePr>
        <xdr:cNvPr id="5" name="Chart 4">
          <a:extLst>
            <a:ext uri="{FF2B5EF4-FFF2-40B4-BE49-F238E27FC236}">
              <a16:creationId xmlns:a16="http://schemas.microsoft.com/office/drawing/2014/main" id="{98BF1040-BC9F-4255-B7FF-ABEE86ED36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burnsmcd.sharepoint.com/sites/SWRR/Shared%20Documents/General/Projects/LAWA/Studies/warm_v16%20LAWA.xls" TargetMode="External"/><Relationship Id="rId1" Type="http://schemas.openxmlformats.org/officeDocument/2006/relationships/externalLinkPath" Target="/sites/SWRR/Shared%20Documents/General/Projects/LAWA/Studies/warm_v16%20LAW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User's Guide"/>
      <sheetName val="Analysis Inputs"/>
      <sheetName val="Summary Data"/>
      <sheetName val="Summary Data NRG"/>
      <sheetName val="Summary Data_EconFactors"/>
      <sheetName val="Summary Report (MTCO2E)"/>
      <sheetName val="Analysis Results (MTCO2E)"/>
      <sheetName val="Production + EOL (MTCO2E)"/>
      <sheetName val="Production + EOL Data"/>
      <sheetName val="Summary Report (energy)"/>
      <sheetName val="Analysis Results (energy)"/>
      <sheetName val="Summary Report (MTCE)"/>
      <sheetName val="Analysis Results (MTCE)"/>
      <sheetName val="Production + EOL (energy)"/>
      <sheetName val="Summary Report (Labor Hours)"/>
      <sheetName val="Analysis Results (Labor Hours)"/>
      <sheetName val="Summary Report (Wages)"/>
      <sheetName val="Analysis Results (Wages)"/>
      <sheetName val="Summary Report (Taxes)"/>
      <sheetName val="Analysis Results (Taxes)"/>
      <sheetName val="Avoided Utility"/>
      <sheetName val="Landfill Gas Collection"/>
      <sheetName val="Landfilling EFs"/>
      <sheetName val="Equivalencies"/>
      <sheetName val="Revisions"/>
      <sheetName val="warm_v16 LAW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https://www.tceq.texas.gov/downloads/p2/recycling/recyclable-materials/2021-recycling-market-development-plan.pdf" TargetMode="External"/><Relationship Id="rId2" Type="http://schemas.openxmlformats.org/officeDocument/2006/relationships/hyperlink" Target="https://tellus.org/wp-content/uploads/2023/05/More-Jobs-Less-Pollution-Growing-the-Recycling-Economy-in-the-US.pdf" TargetMode="External"/><Relationship Id="rId1" Type="http://schemas.openxmlformats.org/officeDocument/2006/relationships/hyperlink" Target="https://www.epa.gov/smm/recycling-economic-information-rei-report" TargetMode="External"/><Relationship Id="rId4"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s://www.epa.gov/warm/documentation-chapters-greenhouse-gas-emission-and-energy-factors-used-waste-reduction-model"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pa.gov/sites/default/files/2016-04/documents/volume_to_weight_conversion_factors_memorandum_04192016_508fnl.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FFA6ED-9F04-43D4-ACB9-B49377CCB7EF}">
  <dimension ref="B2:I20"/>
  <sheetViews>
    <sheetView workbookViewId="0">
      <selection activeCell="U25" sqref="U25"/>
    </sheetView>
  </sheetViews>
  <sheetFormatPr defaultRowHeight="15"/>
  <cols>
    <col min="1" max="16384" width="9.140625" style="5"/>
  </cols>
  <sheetData>
    <row r="2" spans="2:9" ht="28.5">
      <c r="B2" s="423" t="s">
        <v>671</v>
      </c>
      <c r="C2" s="423"/>
      <c r="D2" s="423"/>
      <c r="E2" s="423"/>
      <c r="F2" s="423"/>
      <c r="G2" s="423"/>
      <c r="H2" s="423"/>
      <c r="I2" s="423"/>
    </row>
    <row r="17" spans="2:9">
      <c r="B17" s="424" t="s">
        <v>0</v>
      </c>
      <c r="C17" s="424"/>
      <c r="D17" s="424"/>
      <c r="E17" s="424"/>
      <c r="F17" s="424"/>
      <c r="G17" s="424"/>
      <c r="H17" s="424"/>
      <c r="I17" s="424"/>
    </row>
    <row r="18" spans="2:9">
      <c r="B18" s="424"/>
      <c r="C18" s="424"/>
      <c r="D18" s="424"/>
      <c r="E18" s="424"/>
      <c r="F18" s="424"/>
      <c r="G18" s="424"/>
      <c r="H18" s="424"/>
      <c r="I18" s="424"/>
    </row>
    <row r="20" spans="2:9" ht="92.25" customHeight="1">
      <c r="B20" s="425" t="s">
        <v>1</v>
      </c>
      <c r="C20" s="425"/>
      <c r="D20" s="425"/>
      <c r="E20" s="425"/>
      <c r="F20" s="425"/>
      <c r="G20" s="425"/>
      <c r="H20" s="425"/>
      <c r="I20" s="425"/>
    </row>
  </sheetData>
  <sheetProtection sheet="1" objects="1" scenarios="1" formatColumns="0" formatRows="0"/>
  <mergeCells count="3">
    <mergeCell ref="B2:I2"/>
    <mergeCell ref="B17:I18"/>
    <mergeCell ref="B20:I20"/>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3AA510-03DF-4F04-870A-582464BB9437}">
  <sheetPr>
    <tabColor rgb="FF00B0F0"/>
  </sheetPr>
  <dimension ref="A1:AD92"/>
  <sheetViews>
    <sheetView workbookViewId="0"/>
  </sheetViews>
  <sheetFormatPr defaultRowHeight="15"/>
  <cols>
    <col min="1" max="1" width="2.5703125" style="5" customWidth="1"/>
    <col min="2" max="2" width="13.140625" style="5" customWidth="1"/>
    <col min="3" max="3" width="16.85546875" style="5" customWidth="1"/>
    <col min="4" max="4" width="16" style="5" customWidth="1"/>
    <col min="5" max="5" width="21.140625" style="5" customWidth="1"/>
    <col min="6" max="6" width="11.7109375" style="5" customWidth="1"/>
    <col min="7" max="7" width="7.42578125" style="5" customWidth="1"/>
    <col min="8" max="8" width="15.42578125" style="5" customWidth="1"/>
    <col min="9" max="9" width="16.28515625" style="5" customWidth="1"/>
    <col min="10" max="12" width="11.7109375" style="5" customWidth="1"/>
    <col min="13" max="13" width="7.42578125" customWidth="1"/>
    <col min="14" max="14" width="15.85546875" customWidth="1"/>
    <col min="15" max="15" width="16.28515625" customWidth="1"/>
    <col min="16" max="18" width="11.7109375" customWidth="1"/>
  </cols>
  <sheetData>
    <row r="1" spans="1:30" s="5" customFormat="1">
      <c r="A1" s="4" t="str" cm="1">
        <f t="array" aca="1" ref="A1" ca="1">RIGHT(CELL("filename",A1),LEN(CELL("filename",A1))-SEARCH("]",CELL("filename",A1)))</f>
        <v>Container Capacity Calculator</v>
      </c>
    </row>
    <row r="2" spans="1:30" s="5" customFormat="1">
      <c r="A2" s="4"/>
    </row>
    <row r="3" spans="1:30" s="5" customFormat="1">
      <c r="A3" s="4" t="s">
        <v>72</v>
      </c>
    </row>
    <row r="4" spans="1:30" s="5" customFormat="1" ht="30.75" customHeight="1">
      <c r="A4" s="4"/>
      <c r="B4" s="519" t="s">
        <v>343</v>
      </c>
      <c r="C4" s="519"/>
      <c r="D4" s="519"/>
      <c r="E4" s="519"/>
      <c r="F4" s="519"/>
      <c r="G4" s="519"/>
      <c r="H4" s="519"/>
      <c r="I4" s="519"/>
      <c r="J4" s="519"/>
      <c r="K4" s="519"/>
      <c r="L4" s="519"/>
      <c r="M4" s="73"/>
      <c r="N4" s="73"/>
      <c r="O4" s="72"/>
    </row>
    <row r="5" spans="1:30" s="5" customFormat="1" ht="15" customHeight="1">
      <c r="A5" s="4"/>
      <c r="B5" s="61"/>
      <c r="C5" s="61"/>
      <c r="D5" s="61"/>
      <c r="E5" s="61"/>
      <c r="F5" s="61"/>
      <c r="G5" s="61"/>
      <c r="H5" s="61"/>
      <c r="I5" s="61"/>
      <c r="J5" s="61"/>
      <c r="K5" s="61"/>
      <c r="L5" s="61"/>
      <c r="M5" s="73"/>
      <c r="N5" s="73"/>
      <c r="O5" s="73"/>
    </row>
    <row r="6" spans="1:30" s="5" customFormat="1">
      <c r="A6" s="4" t="s">
        <v>344</v>
      </c>
      <c r="B6" s="61"/>
      <c r="C6" s="61"/>
      <c r="D6" s="61"/>
      <c r="E6" s="61"/>
      <c r="F6" s="61"/>
      <c r="G6" s="61"/>
      <c r="H6" s="61"/>
      <c r="I6" s="61"/>
      <c r="J6" s="61"/>
      <c r="K6" s="61"/>
      <c r="L6" s="61"/>
      <c r="M6" s="73"/>
      <c r="N6" s="73"/>
      <c r="O6" s="73"/>
    </row>
    <row r="7" spans="1:30" s="5" customFormat="1" ht="29.25" customHeight="1">
      <c r="A7" s="4"/>
      <c r="B7" s="500" t="s">
        <v>625</v>
      </c>
      <c r="C7" s="500"/>
      <c r="D7" s="500"/>
      <c r="E7" s="500"/>
      <c r="F7" s="500"/>
      <c r="G7" s="500"/>
      <c r="H7" s="500"/>
      <c r="I7" s="500"/>
      <c r="J7" s="500"/>
      <c r="K7" s="500"/>
      <c r="L7" s="500"/>
      <c r="M7" s="73"/>
      <c r="N7" s="73"/>
      <c r="O7" s="73"/>
    </row>
    <row r="8" spans="1:30" s="5" customFormat="1">
      <c r="A8" s="4"/>
    </row>
    <row r="9" spans="1:30" s="5" customFormat="1">
      <c r="A9" s="4" t="s">
        <v>127</v>
      </c>
    </row>
    <row r="10" spans="1:30" s="5" customFormat="1">
      <c r="A10" s="4"/>
      <c r="B10" s="125" t="s">
        <v>253</v>
      </c>
      <c r="H10" s="125" t="s">
        <v>254</v>
      </c>
      <c r="N10" s="125" t="s">
        <v>255</v>
      </c>
    </row>
    <row r="11" spans="1:30" s="5" customFormat="1" ht="81.75" customHeight="1">
      <c r="B11" s="552" t="s">
        <v>626</v>
      </c>
      <c r="C11" s="552"/>
      <c r="D11" s="552"/>
      <c r="E11" s="552"/>
      <c r="F11" s="552"/>
      <c r="G11" s="127"/>
      <c r="H11" s="552" t="s">
        <v>628</v>
      </c>
      <c r="I11" s="552"/>
      <c r="J11" s="552"/>
      <c r="K11" s="552"/>
      <c r="L11" s="552"/>
      <c r="M11" s="127"/>
      <c r="N11" s="537" t="s">
        <v>630</v>
      </c>
      <c r="O11" s="537"/>
      <c r="P11" s="537"/>
      <c r="Q11" s="537"/>
      <c r="R11" s="537"/>
      <c r="S11" s="127"/>
      <c r="T11" s="127"/>
      <c r="U11" s="127"/>
      <c r="V11" s="127"/>
      <c r="W11" s="127"/>
      <c r="X11" s="127"/>
      <c r="Y11" s="127"/>
      <c r="Z11" s="127"/>
      <c r="AA11" s="127"/>
      <c r="AB11" s="127"/>
      <c r="AC11" s="127"/>
      <c r="AD11" s="127"/>
    </row>
    <row r="12" spans="1:30" s="5" customFormat="1" ht="15" customHeight="1">
      <c r="B12" s="70"/>
      <c r="C12" s="70"/>
      <c r="D12" s="70"/>
      <c r="E12" s="70"/>
      <c r="F12" s="70"/>
      <c r="G12" s="70"/>
      <c r="H12" s="70"/>
      <c r="I12" s="70"/>
      <c r="J12" s="70"/>
      <c r="K12" s="70"/>
      <c r="L12" s="70"/>
      <c r="M12" s="70"/>
      <c r="N12" s="70"/>
      <c r="O12" s="70"/>
      <c r="P12" s="70"/>
      <c r="Q12" s="70"/>
      <c r="R12" s="70"/>
    </row>
    <row r="13" spans="1:30" s="5" customFormat="1" ht="106.5" customHeight="1">
      <c r="B13" s="552" t="s">
        <v>627</v>
      </c>
      <c r="C13" s="552"/>
      <c r="D13" s="552"/>
      <c r="E13" s="552"/>
      <c r="F13" s="552"/>
      <c r="G13" s="193"/>
      <c r="H13" s="552" t="s">
        <v>629</v>
      </c>
      <c r="I13" s="552"/>
      <c r="J13" s="552"/>
      <c r="K13" s="552"/>
      <c r="L13" s="552"/>
      <c r="M13" s="193"/>
      <c r="N13" s="552" t="s">
        <v>631</v>
      </c>
      <c r="O13" s="552"/>
      <c r="P13" s="552"/>
      <c r="Q13" s="552"/>
      <c r="R13" s="552"/>
      <c r="S13" s="193"/>
      <c r="T13" s="193"/>
      <c r="U13" s="193"/>
      <c r="V13" s="193"/>
      <c r="W13" s="193"/>
      <c r="X13" s="193"/>
      <c r="Y13" s="193"/>
      <c r="Z13" s="193"/>
      <c r="AA13" s="193"/>
      <c r="AB13" s="193"/>
      <c r="AC13" s="193"/>
      <c r="AD13" s="193"/>
    </row>
    <row r="14" spans="1:30" s="5" customFormat="1" ht="45" customHeight="1">
      <c r="B14" s="537" t="s">
        <v>345</v>
      </c>
      <c r="C14" s="537"/>
      <c r="D14" s="537"/>
      <c r="E14" s="537"/>
      <c r="F14" s="537"/>
      <c r="G14" s="537"/>
      <c r="H14" s="537"/>
      <c r="I14" s="537"/>
      <c r="J14" s="537"/>
      <c r="K14" s="537"/>
      <c r="L14" s="537"/>
      <c r="M14" s="537"/>
      <c r="N14" s="537"/>
      <c r="O14" s="537"/>
      <c r="P14" s="537"/>
      <c r="Q14" s="537"/>
      <c r="R14" s="537"/>
    </row>
    <row r="15" spans="1:30" s="5" customFormat="1" ht="15" customHeight="1">
      <c r="B15" s="70"/>
      <c r="C15" s="70"/>
      <c r="D15" s="70"/>
      <c r="E15" s="70"/>
      <c r="F15" s="70"/>
      <c r="G15" s="70"/>
      <c r="H15" s="70"/>
      <c r="I15" s="70"/>
      <c r="J15" s="70"/>
      <c r="K15" s="70"/>
      <c r="L15" s="70"/>
      <c r="M15" s="70"/>
      <c r="N15" s="70"/>
      <c r="O15" s="70"/>
      <c r="P15" s="70"/>
      <c r="Q15" s="70"/>
      <c r="R15" s="70"/>
    </row>
    <row r="16" spans="1:30" s="5" customFormat="1" ht="46.5" customHeight="1">
      <c r="B16" s="552" t="s">
        <v>661</v>
      </c>
      <c r="C16" s="552"/>
      <c r="D16" s="552"/>
      <c r="E16" s="552"/>
      <c r="F16" s="552"/>
      <c r="G16" s="552"/>
      <c r="H16" s="552"/>
      <c r="I16" s="552"/>
      <c r="J16" s="552"/>
      <c r="K16" s="552"/>
      <c r="L16" s="552"/>
      <c r="M16" s="552"/>
      <c r="N16" s="552"/>
      <c r="O16" s="552"/>
      <c r="P16" s="552"/>
      <c r="Q16" s="552"/>
      <c r="R16" s="552"/>
      <c r="S16" s="245"/>
    </row>
    <row r="17" spans="2:20" s="5" customFormat="1">
      <c r="B17" s="1"/>
      <c r="E17"/>
    </row>
    <row r="18" spans="2:20" s="5" customFormat="1">
      <c r="B18" s="515" t="s">
        <v>125</v>
      </c>
      <c r="C18" s="515"/>
      <c r="D18" s="515"/>
      <c r="E18" s="515"/>
    </row>
    <row r="19" spans="2:20" s="5" customFormat="1" ht="15.75" thickBot="1">
      <c r="E19"/>
    </row>
    <row r="20" spans="2:20" s="5" customFormat="1" ht="26.1" customHeight="1" thickBot="1">
      <c r="B20" s="670" t="s">
        <v>346</v>
      </c>
      <c r="C20" s="671"/>
      <c r="D20" s="671"/>
      <c r="E20" s="671"/>
      <c r="F20" s="453"/>
      <c r="G20" s="453"/>
      <c r="H20" s="453"/>
      <c r="I20" s="453"/>
      <c r="J20" s="453"/>
      <c r="K20" s="453"/>
      <c r="L20" s="453"/>
      <c r="M20" s="453"/>
      <c r="N20" s="453"/>
      <c r="O20" s="453"/>
      <c r="P20" s="453"/>
      <c r="Q20" s="453"/>
      <c r="R20" s="454"/>
    </row>
    <row r="21" spans="2:20" s="194" customFormat="1" ht="26.1" customHeight="1">
      <c r="B21" s="600" t="s">
        <v>259</v>
      </c>
      <c r="C21" s="601"/>
      <c r="D21" s="601"/>
      <c r="E21" s="602"/>
      <c r="M21" s="384"/>
      <c r="R21" s="197"/>
    </row>
    <row r="22" spans="2:20" s="194" customFormat="1">
      <c r="B22" s="250"/>
      <c r="C22" s="136" t="s">
        <v>131</v>
      </c>
      <c r="D22" s="136" t="s">
        <v>132</v>
      </c>
      <c r="E22" s="196" t="s">
        <v>133</v>
      </c>
      <c r="R22" s="197"/>
    </row>
    <row r="23" spans="2:20" s="194" customFormat="1">
      <c r="B23" s="250" t="s">
        <v>186</v>
      </c>
      <c r="C23" s="312">
        <f>E29</f>
        <v>0</v>
      </c>
      <c r="D23" s="312">
        <f>E45</f>
        <v>0</v>
      </c>
      <c r="E23" s="313">
        <f>D23-C23</f>
        <v>0</v>
      </c>
      <c r="R23" s="197"/>
    </row>
    <row r="24" spans="2:20" s="194" customFormat="1">
      <c r="B24" s="250" t="s">
        <v>188</v>
      </c>
      <c r="C24" s="312">
        <f>K29</f>
        <v>0</v>
      </c>
      <c r="D24" s="312">
        <f>K45</f>
        <v>0</v>
      </c>
      <c r="E24" s="313">
        <f t="shared" ref="E24:E25" si="0">D24-C24</f>
        <v>0</v>
      </c>
      <c r="R24" s="197"/>
    </row>
    <row r="25" spans="2:20" s="194" customFormat="1">
      <c r="B25" s="250" t="s">
        <v>190</v>
      </c>
      <c r="C25" s="312">
        <f>Q29</f>
        <v>0</v>
      </c>
      <c r="D25" s="312">
        <f>Q45</f>
        <v>0</v>
      </c>
      <c r="E25" s="313">
        <f t="shared" si="0"/>
        <v>0</v>
      </c>
      <c r="R25" s="197"/>
    </row>
    <row r="26" spans="2:20" s="194" customFormat="1" ht="15.75" thickBot="1">
      <c r="B26" s="251" t="s">
        <v>177</v>
      </c>
      <c r="C26" s="314">
        <f>SUM(C23:C25)</f>
        <v>0</v>
      </c>
      <c r="D26" s="314">
        <f t="shared" ref="D26:E26" si="1">SUM(D23:D25)</f>
        <v>0</v>
      </c>
      <c r="E26" s="315">
        <f t="shared" si="1"/>
        <v>0</v>
      </c>
      <c r="R26" s="197"/>
    </row>
    <row r="27" spans="2:20" s="194" customFormat="1" ht="15.75" thickBot="1">
      <c r="B27" s="249"/>
      <c r="R27" s="197"/>
    </row>
    <row r="28" spans="2:20" s="5" customFormat="1" ht="17.25" customHeight="1" thickBot="1">
      <c r="B28" s="657" t="s">
        <v>347</v>
      </c>
      <c r="C28" s="658"/>
      <c r="D28" s="658"/>
      <c r="E28" s="658"/>
      <c r="F28" s="659"/>
      <c r="G28" s="246"/>
      <c r="H28" s="660" t="s">
        <v>348</v>
      </c>
      <c r="I28" s="661"/>
      <c r="J28" s="661"/>
      <c r="K28" s="661"/>
      <c r="L28" s="662"/>
      <c r="N28" s="663" t="s">
        <v>349</v>
      </c>
      <c r="O28" s="664"/>
      <c r="P28" s="664"/>
      <c r="Q28" s="664"/>
      <c r="R28" s="665"/>
    </row>
    <row r="29" spans="2:20" s="5" customFormat="1" ht="36" customHeight="1" thickBot="1">
      <c r="B29" s="666" t="s">
        <v>350</v>
      </c>
      <c r="C29" s="667"/>
      <c r="D29" s="409"/>
      <c r="E29" s="412">
        <f>'Waste Composition'!C44</f>
        <v>0</v>
      </c>
      <c r="F29" s="410"/>
      <c r="G29" s="489"/>
      <c r="H29" s="680" t="s">
        <v>351</v>
      </c>
      <c r="I29" s="681"/>
      <c r="J29" s="409"/>
      <c r="K29" s="412">
        <f>'Waste Composition'!K44</f>
        <v>0</v>
      </c>
      <c r="L29" s="410"/>
      <c r="N29" s="682" t="s">
        <v>352</v>
      </c>
      <c r="O29" s="683"/>
      <c r="P29" s="409"/>
      <c r="Q29" s="412">
        <f>'Waste Composition'!S44</f>
        <v>0</v>
      </c>
      <c r="R29" s="410"/>
      <c r="T29"/>
    </row>
    <row r="30" spans="2:20" s="5" customFormat="1" ht="30.95" customHeight="1">
      <c r="B30" s="672" t="s">
        <v>353</v>
      </c>
      <c r="C30" s="673"/>
      <c r="D30" s="673"/>
      <c r="E30" s="673"/>
      <c r="F30" s="674"/>
      <c r="G30" s="489"/>
      <c r="H30" s="651" t="s">
        <v>354</v>
      </c>
      <c r="I30" s="652"/>
      <c r="J30" s="652"/>
      <c r="K30" s="652"/>
      <c r="L30" s="653"/>
      <c r="N30" s="654" t="s">
        <v>355</v>
      </c>
      <c r="O30" s="655"/>
      <c r="P30" s="655"/>
      <c r="Q30" s="655"/>
      <c r="R30" s="656"/>
    </row>
    <row r="31" spans="2:20" s="5" customFormat="1">
      <c r="B31" s="675" t="s">
        <v>356</v>
      </c>
      <c r="C31" s="676"/>
      <c r="D31" s="677" t="s">
        <v>357</v>
      </c>
      <c r="E31" s="678"/>
      <c r="F31" s="679"/>
      <c r="G31" s="489"/>
      <c r="H31" s="684" t="s">
        <v>356</v>
      </c>
      <c r="I31" s="645"/>
      <c r="J31" s="645" t="s">
        <v>357</v>
      </c>
      <c r="K31" s="645"/>
      <c r="L31" s="646"/>
      <c r="N31" s="684" t="s">
        <v>356</v>
      </c>
      <c r="O31" s="645"/>
      <c r="P31" s="645" t="s">
        <v>357</v>
      </c>
      <c r="Q31" s="645"/>
      <c r="R31" s="646"/>
    </row>
    <row r="32" spans="2:20" s="5" customFormat="1" ht="30">
      <c r="B32" s="33" t="s">
        <v>358</v>
      </c>
      <c r="C32" s="14" t="s">
        <v>359</v>
      </c>
      <c r="D32" s="16" t="s">
        <v>360</v>
      </c>
      <c r="E32" s="16" t="s">
        <v>361</v>
      </c>
      <c r="F32" s="34" t="s">
        <v>362</v>
      </c>
      <c r="G32" s="489"/>
      <c r="H32" s="33" t="s">
        <v>358</v>
      </c>
      <c r="I32" s="14" t="s">
        <v>359</v>
      </c>
      <c r="J32" s="16" t="s">
        <v>360</v>
      </c>
      <c r="K32" s="16" t="s">
        <v>361</v>
      </c>
      <c r="L32" s="34" t="s">
        <v>362</v>
      </c>
      <c r="N32" s="33" t="s">
        <v>358</v>
      </c>
      <c r="O32" s="14" t="s">
        <v>359</v>
      </c>
      <c r="P32" s="16" t="s">
        <v>360</v>
      </c>
      <c r="Q32" s="16" t="s">
        <v>361</v>
      </c>
      <c r="R32" s="34" t="s">
        <v>362</v>
      </c>
    </row>
    <row r="33" spans="2:18" s="5" customFormat="1">
      <c r="B33" s="650" t="s">
        <v>363</v>
      </c>
      <c r="C33" s="15" t="s">
        <v>364</v>
      </c>
      <c r="D33" s="18">
        <f>ROUNDUP(($E$29*201.974)/0.5/64,0)</f>
        <v>0</v>
      </c>
      <c r="E33" s="18">
        <f>ROUNDUP(($E$29*201.974)/1/64,0)</f>
        <v>0</v>
      </c>
      <c r="F33" s="35">
        <f>ROUNDUP(($E$29*201.974)/2/64,0)</f>
        <v>0</v>
      </c>
      <c r="G33" s="489"/>
      <c r="H33" s="650" t="s">
        <v>363</v>
      </c>
      <c r="I33" s="15" t="s">
        <v>364</v>
      </c>
      <c r="J33" s="18">
        <f>ROUNDUP(($K$29*201.974)/0.5/64,0)</f>
        <v>0</v>
      </c>
      <c r="K33" s="18">
        <f>ROUNDUP(($K$29*201.974)/1/64,0)</f>
        <v>0</v>
      </c>
      <c r="L33" s="35">
        <f>ROUNDUP(($K$29*201.974)/2/64,0)</f>
        <v>0</v>
      </c>
      <c r="N33" s="650" t="s">
        <v>363</v>
      </c>
      <c r="O33" s="15" t="s">
        <v>364</v>
      </c>
      <c r="P33" s="18">
        <f>ROUNDUP(($Q$29*201.974)/0.5/64,0)</f>
        <v>0</v>
      </c>
      <c r="Q33" s="18">
        <f>ROUNDUP(($Q$29*201.974)/1/64,0)</f>
        <v>0</v>
      </c>
      <c r="R33" s="35">
        <f>ROUNDUP(($Q$29*201.974)/2/64,0)</f>
        <v>0</v>
      </c>
    </row>
    <row r="34" spans="2:18" s="5" customFormat="1">
      <c r="B34" s="650"/>
      <c r="C34" s="15" t="s">
        <v>365</v>
      </c>
      <c r="D34" s="18">
        <f>ROUNDUP(($E$29*201.974)/0.5/96,0)</f>
        <v>0</v>
      </c>
      <c r="E34" s="18">
        <f>ROUNDUP(($E$29*201.974)/1/96,0)</f>
        <v>0</v>
      </c>
      <c r="F34" s="35">
        <f>ROUNDUP(($E$29*201.974)/2/96,0)</f>
        <v>0</v>
      </c>
      <c r="G34" s="489"/>
      <c r="H34" s="650"/>
      <c r="I34" s="15" t="s">
        <v>365</v>
      </c>
      <c r="J34" s="18">
        <f>ROUNDUP(($K$29*201.974)/0.5/96,0)</f>
        <v>0</v>
      </c>
      <c r="K34" s="18">
        <f>ROUNDUP(($K$29*201.974)/1/96,0)</f>
        <v>0</v>
      </c>
      <c r="L34" s="35">
        <f>ROUNDUP(($K$29*201.974)/2/96,0)</f>
        <v>0</v>
      </c>
      <c r="N34" s="650"/>
      <c r="O34" s="15" t="s">
        <v>365</v>
      </c>
      <c r="P34" s="18">
        <f>ROUNDUP(($Q$29*201.974)/0.5/96,0)</f>
        <v>0</v>
      </c>
      <c r="Q34" s="18">
        <f>ROUNDUP(($Q$29*201.974)/1/96,0)</f>
        <v>0</v>
      </c>
      <c r="R34" s="35">
        <f>ROUNDUP(($Q$29*201.974)/2/96,0)</f>
        <v>0</v>
      </c>
    </row>
    <row r="35" spans="2:18" s="5" customFormat="1">
      <c r="B35" s="650" t="s">
        <v>366</v>
      </c>
      <c r="C35" s="15" t="s">
        <v>367</v>
      </c>
      <c r="D35" s="18">
        <f>ROUNDUP($E$29/0.5/2,0)</f>
        <v>0</v>
      </c>
      <c r="E35" s="18">
        <f>ROUNDUP($E$29/1/2,0)</f>
        <v>0</v>
      </c>
      <c r="F35" s="35">
        <f>ROUNDUP($E$29/2/2,0)</f>
        <v>0</v>
      </c>
      <c r="G35" s="489"/>
      <c r="H35" s="650" t="s">
        <v>366</v>
      </c>
      <c r="I35" s="15" t="s">
        <v>367</v>
      </c>
      <c r="J35" s="18">
        <f>ROUNDUP($K$29/0.5/2,0)</f>
        <v>0</v>
      </c>
      <c r="K35" s="18">
        <f>ROUNDUP($K$29/1/2,0)</f>
        <v>0</v>
      </c>
      <c r="L35" s="35">
        <f>ROUNDUP($K$29/2/2,0)</f>
        <v>0</v>
      </c>
      <c r="N35" s="650" t="s">
        <v>366</v>
      </c>
      <c r="O35" s="15" t="s">
        <v>367</v>
      </c>
      <c r="P35" s="18">
        <f>ROUNDUP($Q$29/0.5/2,0)</f>
        <v>0</v>
      </c>
      <c r="Q35" s="18">
        <f>ROUNDUP($Q$29/1/2,0)</f>
        <v>0</v>
      </c>
      <c r="R35" s="35">
        <f>ROUNDUP($Q$29/2/2,0)</f>
        <v>0</v>
      </c>
    </row>
    <row r="36" spans="2:18" s="5" customFormat="1">
      <c r="B36" s="650"/>
      <c r="C36" s="15" t="s">
        <v>368</v>
      </c>
      <c r="D36" s="18">
        <f>ROUNDUP($E$29/0.5/4,0)</f>
        <v>0</v>
      </c>
      <c r="E36" s="18">
        <f>ROUNDUP($E$29/1/4,0)</f>
        <v>0</v>
      </c>
      <c r="F36" s="35">
        <f>ROUNDUP($E$29/2/4,0)</f>
        <v>0</v>
      </c>
      <c r="G36" s="489"/>
      <c r="H36" s="650"/>
      <c r="I36" s="15" t="s">
        <v>368</v>
      </c>
      <c r="J36" s="18">
        <f>ROUNDUP($K$29/0.5/4,0)</f>
        <v>0</v>
      </c>
      <c r="K36" s="18">
        <f>ROUNDUP($K$29/1/4,0)</f>
        <v>0</v>
      </c>
      <c r="L36" s="35">
        <f>ROUNDUP($K$29/2/4,0)</f>
        <v>0</v>
      </c>
      <c r="N36" s="650"/>
      <c r="O36" s="15" t="s">
        <v>368</v>
      </c>
      <c r="P36" s="18">
        <f>ROUNDUP($Q$29/0.5/4,0)</f>
        <v>0</v>
      </c>
      <c r="Q36" s="18">
        <f>ROUNDUP($Q$29/1/4,0)</f>
        <v>0</v>
      </c>
      <c r="R36" s="35">
        <f>ROUNDUP($Q$29/2/4,0)</f>
        <v>0</v>
      </c>
    </row>
    <row r="37" spans="2:18" s="5" customFormat="1">
      <c r="B37" s="650"/>
      <c r="C37" s="15" t="s">
        <v>369</v>
      </c>
      <c r="D37" s="18">
        <f>ROUNDUP($E$29/0.5/6,0)</f>
        <v>0</v>
      </c>
      <c r="E37" s="18">
        <f>ROUNDUP($E$29/1/6,0)</f>
        <v>0</v>
      </c>
      <c r="F37" s="35">
        <f>ROUNDUP($E$29/2/6,0)</f>
        <v>0</v>
      </c>
      <c r="G37" s="489"/>
      <c r="H37" s="650"/>
      <c r="I37" s="15" t="s">
        <v>369</v>
      </c>
      <c r="J37" s="18">
        <f>ROUNDUP($K$29/0.5/6,0)</f>
        <v>0</v>
      </c>
      <c r="K37" s="18">
        <f>ROUNDUP($K$29/1/6,0)</f>
        <v>0</v>
      </c>
      <c r="L37" s="35">
        <f>ROUNDUP($K$29/2/6,0)</f>
        <v>0</v>
      </c>
      <c r="N37" s="650"/>
      <c r="O37" s="15" t="s">
        <v>369</v>
      </c>
      <c r="P37" s="18">
        <f>ROUNDUP($Q$29/0.5/6,0)</f>
        <v>0</v>
      </c>
      <c r="Q37" s="18">
        <f>ROUNDUP($Q$29/1/6,0)</f>
        <v>0</v>
      </c>
      <c r="R37" s="35">
        <f>ROUNDUP($Q$29/2/6,0)</f>
        <v>0</v>
      </c>
    </row>
    <row r="38" spans="2:18" s="5" customFormat="1">
      <c r="B38" s="650"/>
      <c r="C38" s="15" t="s">
        <v>370</v>
      </c>
      <c r="D38" s="18">
        <f>ROUNDUP($E$29/0.5/8,0)</f>
        <v>0</v>
      </c>
      <c r="E38" s="18">
        <f>ROUNDUP($E$29/1/8,0)</f>
        <v>0</v>
      </c>
      <c r="F38" s="35">
        <f>ROUNDUP($E$29/2/8,0)</f>
        <v>0</v>
      </c>
      <c r="G38" s="489"/>
      <c r="H38" s="650"/>
      <c r="I38" s="15" t="s">
        <v>370</v>
      </c>
      <c r="J38" s="18">
        <f>ROUNDUP($K$29/0.5/8,0)</f>
        <v>0</v>
      </c>
      <c r="K38" s="18">
        <f>ROUNDUP($K$29/1/8,0)</f>
        <v>0</v>
      </c>
      <c r="L38" s="35">
        <f>ROUNDUP($K$29/2/8,0)</f>
        <v>0</v>
      </c>
      <c r="N38" s="650"/>
      <c r="O38" s="15" t="s">
        <v>370</v>
      </c>
      <c r="P38" s="18">
        <f>ROUNDUP($Q$29/0.5/8,0)</f>
        <v>0</v>
      </c>
      <c r="Q38" s="18">
        <f>ROUNDUP($Q$29/1/8,0)</f>
        <v>0</v>
      </c>
      <c r="R38" s="35">
        <f>ROUNDUP($Q$29/2/8,0)</f>
        <v>0</v>
      </c>
    </row>
    <row r="39" spans="2:18" s="5" customFormat="1">
      <c r="B39" s="247"/>
      <c r="C39" s="270"/>
      <c r="D39" s="271"/>
      <c r="E39" s="271"/>
      <c r="F39" s="248"/>
      <c r="G39" s="489"/>
      <c r="H39" s="247"/>
      <c r="I39" s="270"/>
      <c r="J39" s="271"/>
      <c r="K39" s="271"/>
      <c r="L39" s="248"/>
      <c r="N39" s="647"/>
      <c r="O39" s="648"/>
      <c r="P39" s="648"/>
      <c r="Q39" s="648"/>
      <c r="R39" s="649"/>
    </row>
    <row r="40" spans="2:18" s="5" customFormat="1">
      <c r="B40" s="668" t="s">
        <v>371</v>
      </c>
      <c r="C40" s="17" t="s">
        <v>372</v>
      </c>
      <c r="D40" s="18">
        <f>ROUNDUP($E$29/0.5/20,0)</f>
        <v>0</v>
      </c>
      <c r="E40" s="18">
        <f>ROUNDUP($E$29/1/20,0)</f>
        <v>0</v>
      </c>
      <c r="F40" s="35">
        <f>ROUNDUP($E$29/2/20,0)</f>
        <v>0</v>
      </c>
      <c r="G40" s="489"/>
      <c r="H40" s="668" t="s">
        <v>371</v>
      </c>
      <c r="I40" s="17" t="s">
        <v>372</v>
      </c>
      <c r="J40" s="18">
        <f>ROUNDUP($K$29/0.5/20,0)</f>
        <v>0</v>
      </c>
      <c r="K40" s="18">
        <f>ROUNDUP($K$29/1/20,0)</f>
        <v>0</v>
      </c>
      <c r="L40" s="35">
        <f>ROUNDUP($K$29/2/20,0)</f>
        <v>0</v>
      </c>
      <c r="N40" s="668" t="s">
        <v>371</v>
      </c>
      <c r="O40" s="17" t="s">
        <v>372</v>
      </c>
      <c r="P40" s="18">
        <f>ROUNDUP($Q$29/0.5/20,0)</f>
        <v>0</v>
      </c>
      <c r="Q40" s="18">
        <f>ROUNDUP($Q$29/1/20,0)</f>
        <v>0</v>
      </c>
      <c r="R40" s="35">
        <f>ROUNDUP($Q$29/2/20,0)</f>
        <v>0</v>
      </c>
    </row>
    <row r="41" spans="2:18" s="5" customFormat="1">
      <c r="B41" s="668"/>
      <c r="C41" s="17" t="s">
        <v>373</v>
      </c>
      <c r="D41" s="18">
        <f>ROUNDUP($E$29/0.5/40,0)</f>
        <v>0</v>
      </c>
      <c r="E41" s="18">
        <f>ROUNDUP($E$29/1/40,0)</f>
        <v>0</v>
      </c>
      <c r="F41" s="35">
        <f>ROUNDUP($E$29/2/40,0)</f>
        <v>0</v>
      </c>
      <c r="G41" s="489"/>
      <c r="H41" s="668"/>
      <c r="I41" s="17" t="s">
        <v>373</v>
      </c>
      <c r="J41" s="18">
        <f>ROUNDUP($K$29/0.5/40,0)</f>
        <v>0</v>
      </c>
      <c r="K41" s="18">
        <f>ROUNDUP($K$29/1/40,0)</f>
        <v>0</v>
      </c>
      <c r="L41" s="35">
        <f>ROUNDUP($K$29/2/40,0)</f>
        <v>0</v>
      </c>
      <c r="N41" s="668"/>
      <c r="O41" s="17" t="s">
        <v>373</v>
      </c>
      <c r="P41" s="18">
        <f>ROUNDUP($Q$29/0.5/40,0)</f>
        <v>0</v>
      </c>
      <c r="Q41" s="18">
        <f>ROUNDUP($Q$29/1/40,0)</f>
        <v>0</v>
      </c>
      <c r="R41" s="35">
        <f>ROUNDUP($Q$29/2/40,0)</f>
        <v>0</v>
      </c>
    </row>
    <row r="42" spans="2:18" s="5" customFormat="1" ht="30.75" thickBot="1">
      <c r="B42" s="669"/>
      <c r="C42" s="36" t="s">
        <v>374</v>
      </c>
      <c r="D42" s="37">
        <f>ROUNDUP($E$29/0.5/(40*3),0)</f>
        <v>0</v>
      </c>
      <c r="E42" s="37">
        <f>ROUNDUP($E$29/1/(40*3),0)</f>
        <v>0</v>
      </c>
      <c r="F42" s="38">
        <f>ROUNDUP($E$29/2/(40*3),0)</f>
        <v>0</v>
      </c>
      <c r="G42" s="489"/>
      <c r="H42" s="669"/>
      <c r="I42" s="36" t="s">
        <v>374</v>
      </c>
      <c r="J42" s="37">
        <f>ROUNDUP($K$29/0.5/(40*3),0)</f>
        <v>0</v>
      </c>
      <c r="K42" s="37">
        <f>ROUNDUP($K$29/1/(40*3),0)</f>
        <v>0</v>
      </c>
      <c r="L42" s="38">
        <f>ROUNDUP($K$29/1/(40*3),0)</f>
        <v>0</v>
      </c>
      <c r="N42" s="669"/>
      <c r="O42" s="36" t="s">
        <v>374</v>
      </c>
      <c r="P42" s="37">
        <f>ROUNDUP($Q$29/0.5/(40*3),0)</f>
        <v>0</v>
      </c>
      <c r="Q42" s="37">
        <f>ROUNDUP($Q$29/1/(40*3),0)</f>
        <v>0</v>
      </c>
      <c r="R42" s="38">
        <f>ROUNDUP($Q$29/2/(40*3),0)</f>
        <v>0</v>
      </c>
    </row>
    <row r="43" spans="2:18" s="194" customFormat="1" ht="15.75" thickBot="1">
      <c r="B43" s="249"/>
      <c r="R43" s="197"/>
    </row>
    <row r="44" spans="2:18" s="5" customFormat="1" ht="17.25" customHeight="1" thickBot="1">
      <c r="B44" s="657" t="s">
        <v>375</v>
      </c>
      <c r="C44" s="658"/>
      <c r="D44" s="658"/>
      <c r="E44" s="658"/>
      <c r="F44" s="659"/>
      <c r="G44" s="246"/>
      <c r="H44" s="660" t="s">
        <v>376</v>
      </c>
      <c r="I44" s="661"/>
      <c r="J44" s="661"/>
      <c r="K44" s="661"/>
      <c r="L44" s="662"/>
      <c r="N44" s="663" t="s">
        <v>377</v>
      </c>
      <c r="O44" s="664"/>
      <c r="P44" s="664"/>
      <c r="Q44" s="664"/>
      <c r="R44" s="665"/>
    </row>
    <row r="45" spans="2:18" s="5" customFormat="1" ht="33" customHeight="1" thickBot="1">
      <c r="B45" s="666" t="s">
        <v>378</v>
      </c>
      <c r="C45" s="667"/>
      <c r="D45" s="409"/>
      <c r="E45" s="412">
        <f>SUM('Waste Composition'!D76:D77,'Waste Composition'!L76:L77,'Waste Composition'!T76:T77)</f>
        <v>0</v>
      </c>
      <c r="F45" s="411"/>
      <c r="G45" s="489"/>
      <c r="H45" s="680" t="s">
        <v>379</v>
      </c>
      <c r="I45" s="681"/>
      <c r="J45" s="409"/>
      <c r="K45" s="412">
        <f>SUM('Waste Composition'!D48:D70,'Waste Composition'!L48:L70,'Waste Composition'!T48:T70)</f>
        <v>0</v>
      </c>
      <c r="L45" s="411"/>
      <c r="N45" s="682" t="s">
        <v>380</v>
      </c>
      <c r="O45" s="683"/>
      <c r="P45" s="409"/>
      <c r="Q45" s="412">
        <f>SUM('Waste Composition'!D71:D74,'Waste Composition'!L71:L74,'Waste Composition'!T71:T74)</f>
        <v>0</v>
      </c>
      <c r="R45" s="411"/>
    </row>
    <row r="46" spans="2:18" s="5" customFormat="1" ht="30" customHeight="1">
      <c r="B46" s="685" t="s">
        <v>381</v>
      </c>
      <c r="C46" s="686"/>
      <c r="D46" s="686"/>
      <c r="E46" s="686"/>
      <c r="F46" s="687"/>
      <c r="G46" s="489"/>
      <c r="H46" s="651" t="s">
        <v>382</v>
      </c>
      <c r="I46" s="652"/>
      <c r="J46" s="652"/>
      <c r="K46" s="652"/>
      <c r="L46" s="653"/>
      <c r="N46" s="654" t="s">
        <v>383</v>
      </c>
      <c r="O46" s="655"/>
      <c r="P46" s="655"/>
      <c r="Q46" s="655"/>
      <c r="R46" s="656"/>
    </row>
    <row r="47" spans="2:18" s="5" customFormat="1">
      <c r="B47" s="684" t="s">
        <v>356</v>
      </c>
      <c r="C47" s="645"/>
      <c r="D47" s="645" t="s">
        <v>357</v>
      </c>
      <c r="E47" s="645"/>
      <c r="F47" s="646"/>
      <c r="G47" s="489"/>
      <c r="H47" s="684" t="s">
        <v>356</v>
      </c>
      <c r="I47" s="645"/>
      <c r="J47" s="645" t="s">
        <v>357</v>
      </c>
      <c r="K47" s="645"/>
      <c r="L47" s="646"/>
      <c r="N47" s="684" t="s">
        <v>356</v>
      </c>
      <c r="O47" s="645"/>
      <c r="P47" s="645" t="s">
        <v>357</v>
      </c>
      <c r="Q47" s="645"/>
      <c r="R47" s="646"/>
    </row>
    <row r="48" spans="2:18" s="5" customFormat="1" ht="30">
      <c r="B48" s="33" t="s">
        <v>358</v>
      </c>
      <c r="C48" s="14" t="s">
        <v>359</v>
      </c>
      <c r="D48" s="16" t="s">
        <v>360</v>
      </c>
      <c r="E48" s="16" t="s">
        <v>361</v>
      </c>
      <c r="F48" s="34" t="s">
        <v>362</v>
      </c>
      <c r="G48" s="489"/>
      <c r="H48" s="33" t="s">
        <v>358</v>
      </c>
      <c r="I48" s="14" t="s">
        <v>359</v>
      </c>
      <c r="J48" s="16" t="s">
        <v>360</v>
      </c>
      <c r="K48" s="16" t="s">
        <v>361</v>
      </c>
      <c r="L48" s="34" t="s">
        <v>362</v>
      </c>
      <c r="N48" s="33" t="s">
        <v>358</v>
      </c>
      <c r="O48" s="14" t="s">
        <v>359</v>
      </c>
      <c r="P48" s="16" t="s">
        <v>360</v>
      </c>
      <c r="Q48" s="16" t="s">
        <v>361</v>
      </c>
      <c r="R48" s="34" t="s">
        <v>362</v>
      </c>
    </row>
    <row r="49" spans="2:27" s="5" customFormat="1">
      <c r="B49" s="650" t="s">
        <v>363</v>
      </c>
      <c r="C49" s="15" t="s">
        <v>364</v>
      </c>
      <c r="D49" s="18">
        <f>ROUNDUP(($E$45*201.974)/0.5/64,0)</f>
        <v>0</v>
      </c>
      <c r="E49" s="18">
        <f>ROUNDUP(($E$45*201.974)/1/64,0)</f>
        <v>0</v>
      </c>
      <c r="F49" s="35">
        <f>ROUNDUP(($E$45*201.974)/2/64,0)</f>
        <v>0</v>
      </c>
      <c r="G49" s="489"/>
      <c r="H49" s="650" t="s">
        <v>363</v>
      </c>
      <c r="I49" s="15" t="s">
        <v>364</v>
      </c>
      <c r="J49" s="18">
        <f>ROUNDUP(($K$45*201.974)/0.5/64,0)</f>
        <v>0</v>
      </c>
      <c r="K49" s="18">
        <f>ROUNDUP(($K$45*201.974)/1/64,0)</f>
        <v>0</v>
      </c>
      <c r="L49" s="35">
        <f>ROUNDUP(($K$45*201.974)/2/64,0)</f>
        <v>0</v>
      </c>
      <c r="N49" s="650" t="s">
        <v>363</v>
      </c>
      <c r="O49" s="15" t="s">
        <v>364</v>
      </c>
      <c r="P49" s="18">
        <f>ROUNDUP(($Q$45*201.974)/0.5/64,0)</f>
        <v>0</v>
      </c>
      <c r="Q49" s="18">
        <f>ROUNDUP(($Q$45*201.974)/1/64,0)</f>
        <v>0</v>
      </c>
      <c r="R49" s="35">
        <f>ROUNDUP(($Q$45*201.974)/2/64,0)</f>
        <v>0</v>
      </c>
    </row>
    <row r="50" spans="2:27" s="5" customFormat="1">
      <c r="B50" s="650"/>
      <c r="C50" s="15" t="s">
        <v>365</v>
      </c>
      <c r="D50" s="18">
        <f>ROUNDUP(($E$45*201.974)/0.5/96,0)</f>
        <v>0</v>
      </c>
      <c r="E50" s="18">
        <f>ROUNDUP(($E$45*201.974)/1/96,0)</f>
        <v>0</v>
      </c>
      <c r="F50" s="35">
        <f>ROUNDUP(($E$45*201.974)/2/96,0)</f>
        <v>0</v>
      </c>
      <c r="G50" s="489"/>
      <c r="H50" s="650"/>
      <c r="I50" s="15" t="s">
        <v>365</v>
      </c>
      <c r="J50" s="18">
        <f>ROUNDUP(($K$45*201.974)/0.5/96,0)</f>
        <v>0</v>
      </c>
      <c r="K50" s="18">
        <f>ROUNDUP(($K$45*201.974)/1/96,0)</f>
        <v>0</v>
      </c>
      <c r="L50" s="35">
        <f>ROUNDUP(($K$45*201.974)/2/96,0)</f>
        <v>0</v>
      </c>
      <c r="N50" s="650"/>
      <c r="O50" s="15" t="s">
        <v>365</v>
      </c>
      <c r="P50" s="18">
        <f>ROUNDUP(($Q$45*201.974)/0.5/96,0)</f>
        <v>0</v>
      </c>
      <c r="Q50" s="18">
        <f>ROUNDUP(($Q$45*201.974)/1/96,0)</f>
        <v>0</v>
      </c>
      <c r="R50" s="35">
        <f>ROUNDUP(($Q$45*201.974)/2/96,0)</f>
        <v>0</v>
      </c>
    </row>
    <row r="51" spans="2:27" s="5" customFormat="1">
      <c r="B51" s="650" t="s">
        <v>366</v>
      </c>
      <c r="C51" s="15" t="s">
        <v>367</v>
      </c>
      <c r="D51" s="18">
        <f>ROUNDUP($E$45/0.5/2,0)</f>
        <v>0</v>
      </c>
      <c r="E51" s="18">
        <f>ROUNDUP($E$45/1/2,0)</f>
        <v>0</v>
      </c>
      <c r="F51" s="35">
        <f>ROUNDUP($E$45/2/2,0)</f>
        <v>0</v>
      </c>
      <c r="G51" s="489"/>
      <c r="H51" s="650" t="s">
        <v>366</v>
      </c>
      <c r="I51" s="15" t="s">
        <v>367</v>
      </c>
      <c r="J51" s="18">
        <f>ROUNDUP($K$45/0.5/2,0)</f>
        <v>0</v>
      </c>
      <c r="K51" s="18">
        <f>ROUNDUP($K$45/1/2,0)</f>
        <v>0</v>
      </c>
      <c r="L51" s="35">
        <f>ROUNDUP($K$45/2/2,0)</f>
        <v>0</v>
      </c>
      <c r="N51" s="650" t="s">
        <v>366</v>
      </c>
      <c r="O51" s="15" t="s">
        <v>367</v>
      </c>
      <c r="P51" s="18">
        <f>ROUNDUP($Q$45/0.5/2,0)</f>
        <v>0</v>
      </c>
      <c r="Q51" s="18">
        <f>ROUNDUP($Q$45/1/2,0)</f>
        <v>0</v>
      </c>
      <c r="R51" s="35">
        <f>ROUNDUP($Q$45/2/2,0)</f>
        <v>0</v>
      </c>
    </row>
    <row r="52" spans="2:27" s="5" customFormat="1">
      <c r="B52" s="650"/>
      <c r="C52" s="15" t="s">
        <v>368</v>
      </c>
      <c r="D52" s="18">
        <f>ROUNDUP($E$45/0.5/4,0)</f>
        <v>0</v>
      </c>
      <c r="E52" s="18">
        <f>ROUNDUP($E$45/1/4,0)</f>
        <v>0</v>
      </c>
      <c r="F52" s="35">
        <f>ROUNDUP($E$45/2/4,0)</f>
        <v>0</v>
      </c>
      <c r="G52" s="489"/>
      <c r="H52" s="650"/>
      <c r="I52" s="15" t="s">
        <v>368</v>
      </c>
      <c r="J52" s="18">
        <f>ROUNDUP($K$45/0.5/4,0)</f>
        <v>0</v>
      </c>
      <c r="K52" s="18">
        <f>ROUNDUP($K$45/1/4,0)</f>
        <v>0</v>
      </c>
      <c r="L52" s="35">
        <f>ROUNDUP($K$45/2/4,0)</f>
        <v>0</v>
      </c>
      <c r="N52" s="650"/>
      <c r="O52" s="15" t="s">
        <v>368</v>
      </c>
      <c r="P52" s="18">
        <f>ROUNDUP($Q$45/0.5/4,0)</f>
        <v>0</v>
      </c>
      <c r="Q52" s="18">
        <f>ROUNDUP($Q$45/1/4,0)</f>
        <v>0</v>
      </c>
      <c r="R52" s="35">
        <f>ROUNDUP($Q$45/2/4,0)</f>
        <v>0</v>
      </c>
    </row>
    <row r="53" spans="2:27" s="5" customFormat="1">
      <c r="B53" s="650"/>
      <c r="C53" s="15" t="s">
        <v>369</v>
      </c>
      <c r="D53" s="18">
        <f>ROUNDUP($E$45/0.5/6,0)</f>
        <v>0</v>
      </c>
      <c r="E53" s="18">
        <f>ROUNDUP($E$45/1/6,0)</f>
        <v>0</v>
      </c>
      <c r="F53" s="35">
        <f>ROUNDUP($E$45/2/6,0)</f>
        <v>0</v>
      </c>
      <c r="G53" s="489"/>
      <c r="H53" s="650"/>
      <c r="I53" s="15" t="s">
        <v>369</v>
      </c>
      <c r="J53" s="18">
        <f>ROUNDUP($K$45/0.5/6,0)</f>
        <v>0</v>
      </c>
      <c r="K53" s="18">
        <f>ROUNDUP($K$45/1/6,0)</f>
        <v>0</v>
      </c>
      <c r="L53" s="35">
        <f>ROUNDUP($K$45/2/6,0)</f>
        <v>0</v>
      </c>
      <c r="N53" s="650"/>
      <c r="O53" s="15" t="s">
        <v>369</v>
      </c>
      <c r="P53" s="18">
        <f>ROUNDUP($Q$45/0.5/6,0)</f>
        <v>0</v>
      </c>
      <c r="Q53" s="18">
        <f>ROUNDUP($Q$45/1/6,0)</f>
        <v>0</v>
      </c>
      <c r="R53" s="35">
        <f>ROUNDUP($Q$45/2/6,0)</f>
        <v>0</v>
      </c>
    </row>
    <row r="54" spans="2:27" s="5" customFormat="1">
      <c r="B54" s="650"/>
      <c r="C54" s="15" t="s">
        <v>370</v>
      </c>
      <c r="D54" s="18">
        <f>ROUNDUP($E$45/0.5/8,0)</f>
        <v>0</v>
      </c>
      <c r="E54" s="18">
        <f>ROUNDUP($E$45/1/8,0)</f>
        <v>0</v>
      </c>
      <c r="F54" s="35">
        <f>ROUNDUP($E$45/2/8,0)</f>
        <v>0</v>
      </c>
      <c r="G54" s="489"/>
      <c r="H54" s="650"/>
      <c r="I54" s="15" t="s">
        <v>370</v>
      </c>
      <c r="J54" s="18">
        <f>ROUNDUP($K$45/0.5/8,0)</f>
        <v>0</v>
      </c>
      <c r="K54" s="18">
        <f>ROUNDUP($K$45/1/8,0)</f>
        <v>0</v>
      </c>
      <c r="L54" s="35">
        <f>ROUNDUP($K$45/2/8,0)</f>
        <v>0</v>
      </c>
      <c r="N54" s="650"/>
      <c r="O54" s="15" t="s">
        <v>370</v>
      </c>
      <c r="P54" s="18">
        <f>ROUNDUP($Q$45/0.5/8,0)</f>
        <v>0</v>
      </c>
      <c r="Q54" s="18">
        <f>ROUNDUP($Q$45/1/8,0)</f>
        <v>0</v>
      </c>
      <c r="R54" s="35">
        <f>ROUNDUP($Q$45/2/8,0)</f>
        <v>0</v>
      </c>
    </row>
    <row r="55" spans="2:27" s="5" customFormat="1">
      <c r="B55" s="647"/>
      <c r="C55" s="648"/>
      <c r="D55" s="648"/>
      <c r="E55" s="648"/>
      <c r="F55" s="649"/>
      <c r="G55" s="489"/>
      <c r="H55" s="647"/>
      <c r="I55" s="648"/>
      <c r="J55" s="648"/>
      <c r="K55" s="648"/>
      <c r="L55" s="649"/>
      <c r="N55" s="647"/>
      <c r="O55" s="648"/>
      <c r="P55" s="648"/>
      <c r="Q55" s="648"/>
      <c r="R55" s="649"/>
    </row>
    <row r="56" spans="2:27" s="5" customFormat="1">
      <c r="B56" s="668" t="s">
        <v>371</v>
      </c>
      <c r="C56" s="17" t="s">
        <v>372</v>
      </c>
      <c r="D56" s="18">
        <f>ROUNDUP($E$45/0.5/20,0)</f>
        <v>0</v>
      </c>
      <c r="E56" s="18">
        <f>ROUNDUP($E$45/1/20,0)</f>
        <v>0</v>
      </c>
      <c r="F56" s="35">
        <f>ROUNDUP($E$45/2/20,0)</f>
        <v>0</v>
      </c>
      <c r="G56" s="489"/>
      <c r="H56" s="668" t="s">
        <v>371</v>
      </c>
      <c r="I56" s="17" t="s">
        <v>372</v>
      </c>
      <c r="J56" s="18">
        <f>ROUNDUP($K$45/0.5/20,0)</f>
        <v>0</v>
      </c>
      <c r="K56" s="18">
        <f>ROUNDUP($K$45/1/20,0)</f>
        <v>0</v>
      </c>
      <c r="L56" s="35">
        <f>ROUNDUP($K$45/2/20,0)</f>
        <v>0</v>
      </c>
      <c r="N56" s="668" t="s">
        <v>371</v>
      </c>
      <c r="O56" s="17" t="s">
        <v>372</v>
      </c>
      <c r="P56" s="18">
        <f>ROUNDUP($Q$45/0.5/20,0)</f>
        <v>0</v>
      </c>
      <c r="Q56" s="18">
        <f>ROUNDUP($Q$45/1/20,0)</f>
        <v>0</v>
      </c>
      <c r="R56" s="35">
        <f>ROUNDUP($Q$45/2/20,0)</f>
        <v>0</v>
      </c>
    </row>
    <row r="57" spans="2:27" s="5" customFormat="1">
      <c r="B57" s="668"/>
      <c r="C57" s="17" t="s">
        <v>373</v>
      </c>
      <c r="D57" s="18">
        <f>ROUNDUP($E$45/0.5/40,0)</f>
        <v>0</v>
      </c>
      <c r="E57" s="18">
        <f>ROUNDUP($E$45/1/40,0)</f>
        <v>0</v>
      </c>
      <c r="F57" s="35">
        <f>ROUNDUP($E$45/2/40,0)</f>
        <v>0</v>
      </c>
      <c r="G57" s="489"/>
      <c r="H57" s="668"/>
      <c r="I57" s="17" t="s">
        <v>373</v>
      </c>
      <c r="J57" s="18">
        <f>ROUNDUP($K$45/0.5/40,0)</f>
        <v>0</v>
      </c>
      <c r="K57" s="18">
        <f>ROUNDUP($K$45/1/40,0)</f>
        <v>0</v>
      </c>
      <c r="L57" s="35">
        <f>ROUNDUP($K$45/2/40,0)</f>
        <v>0</v>
      </c>
      <c r="N57" s="668"/>
      <c r="O57" s="17" t="s">
        <v>373</v>
      </c>
      <c r="P57" s="18">
        <f>ROUNDUP($Q$45/0.5/40,0)</f>
        <v>0</v>
      </c>
      <c r="Q57" s="18">
        <f>ROUNDUP($Q$45/1/40,0)</f>
        <v>0</v>
      </c>
      <c r="R57" s="35">
        <f>ROUNDUP($Q$45/2/40,0)</f>
        <v>0</v>
      </c>
    </row>
    <row r="58" spans="2:27" s="5" customFormat="1" ht="30.75" thickBot="1">
      <c r="B58" s="669"/>
      <c r="C58" s="36" t="s">
        <v>374</v>
      </c>
      <c r="D58" s="37">
        <f>ROUNDUP($E$45/0.5/(40*3),0)</f>
        <v>0</v>
      </c>
      <c r="E58" s="37">
        <f>ROUNDUP($E$45/1/(40*3),0)</f>
        <v>0</v>
      </c>
      <c r="F58" s="38">
        <f>ROUNDUP($E$45/2/(40*3),0)</f>
        <v>0</v>
      </c>
      <c r="G58" s="586"/>
      <c r="H58" s="669"/>
      <c r="I58" s="36" t="s">
        <v>374</v>
      </c>
      <c r="J58" s="37">
        <f>ROUNDUP($K$45/0.5/(40*3),0)</f>
        <v>0</v>
      </c>
      <c r="K58" s="37">
        <f>ROUNDUP($K$45/1/(40*3),0)</f>
        <v>0</v>
      </c>
      <c r="L58" s="38">
        <f>ROUNDUP($K$45/1/(40*3),0)</f>
        <v>0</v>
      </c>
      <c r="M58" s="110"/>
      <c r="N58" s="669"/>
      <c r="O58" s="36" t="s">
        <v>374</v>
      </c>
      <c r="P58" s="37">
        <f>ROUNDUP($Q$45/0.5/(40*3),0)</f>
        <v>0</v>
      </c>
      <c r="Q58" s="37">
        <f>ROUNDUP($Q$45/1/(40*3),0)</f>
        <v>0</v>
      </c>
      <c r="R58" s="38">
        <f>ROUNDUP($Q$45/2/(40*3),0)</f>
        <v>0</v>
      </c>
    </row>
    <row r="59" spans="2:27" s="5" customFormat="1"/>
    <row r="60" spans="2:27">
      <c r="M60" s="5"/>
      <c r="N60" s="5"/>
      <c r="O60" s="5"/>
      <c r="P60" s="5"/>
      <c r="Q60" s="5"/>
      <c r="R60" s="5"/>
      <c r="S60" s="5"/>
      <c r="T60" s="5"/>
      <c r="U60" s="5"/>
      <c r="V60" s="5"/>
      <c r="W60" s="5"/>
      <c r="X60" s="5"/>
      <c r="Y60" s="5"/>
      <c r="Z60" s="5"/>
      <c r="AA60" s="5"/>
    </row>
    <row r="61" spans="2:27">
      <c r="M61" s="5"/>
      <c r="N61" s="5"/>
      <c r="O61" s="5"/>
      <c r="P61" s="5"/>
      <c r="Q61" s="5"/>
      <c r="R61" s="5"/>
      <c r="S61" s="5"/>
      <c r="T61" s="5"/>
      <c r="U61" s="5"/>
      <c r="V61" s="5"/>
      <c r="W61" s="5"/>
      <c r="X61" s="5"/>
      <c r="Y61" s="5"/>
      <c r="Z61" s="5"/>
      <c r="AA61" s="5"/>
    </row>
    <row r="62" spans="2:27">
      <c r="M62" s="5"/>
      <c r="N62" s="5"/>
      <c r="O62" s="5"/>
      <c r="P62" s="5"/>
      <c r="Q62" s="5"/>
      <c r="R62" s="5"/>
      <c r="S62" s="5"/>
      <c r="T62" s="5"/>
      <c r="U62" s="5"/>
      <c r="V62" s="5"/>
      <c r="W62" s="5"/>
      <c r="X62" s="5"/>
      <c r="Y62" s="5"/>
      <c r="Z62" s="5"/>
      <c r="AA62" s="5"/>
    </row>
    <row r="63" spans="2:27">
      <c r="M63" s="5"/>
      <c r="N63" s="5"/>
      <c r="O63" s="5"/>
      <c r="P63" s="5"/>
      <c r="Q63" s="5"/>
      <c r="R63" s="5"/>
      <c r="S63" s="5"/>
      <c r="T63" s="5"/>
      <c r="U63" s="5"/>
      <c r="V63" s="5"/>
      <c r="W63" s="5"/>
      <c r="X63" s="5"/>
      <c r="Y63" s="5"/>
      <c r="Z63" s="5"/>
      <c r="AA63" s="5"/>
    </row>
    <row r="64" spans="2:27">
      <c r="M64" s="5"/>
      <c r="N64" s="5"/>
      <c r="O64" s="5"/>
      <c r="P64" s="5"/>
      <c r="Q64" s="5"/>
      <c r="R64" s="5"/>
      <c r="S64" s="5"/>
      <c r="T64" s="5"/>
      <c r="U64" s="5"/>
      <c r="V64" s="5"/>
      <c r="W64" s="5"/>
      <c r="X64" s="5"/>
      <c r="Y64" s="5"/>
      <c r="Z64" s="5"/>
      <c r="AA64" s="5"/>
    </row>
    <row r="65" spans="13:27">
      <c r="M65" s="5"/>
      <c r="N65" s="5"/>
      <c r="O65" s="5"/>
      <c r="P65" s="5"/>
      <c r="Q65" s="5"/>
      <c r="R65" s="5"/>
      <c r="S65" s="5"/>
      <c r="T65" s="5"/>
      <c r="U65" s="5"/>
      <c r="V65" s="5"/>
      <c r="W65" s="5"/>
      <c r="X65" s="5"/>
      <c r="Y65" s="5"/>
      <c r="Z65" s="5"/>
      <c r="AA65" s="5"/>
    </row>
    <row r="66" spans="13:27">
      <c r="M66" s="5"/>
      <c r="N66" s="5"/>
      <c r="O66" s="5"/>
      <c r="P66" s="5"/>
      <c r="Q66" s="5"/>
      <c r="R66" s="5"/>
      <c r="S66" s="5"/>
      <c r="T66" s="5"/>
      <c r="U66" s="5"/>
      <c r="V66" s="5"/>
      <c r="W66" s="5"/>
      <c r="X66" s="5"/>
      <c r="Y66" s="5"/>
      <c r="Z66" s="5"/>
      <c r="AA66" s="5"/>
    </row>
    <row r="67" spans="13:27">
      <c r="M67" s="5"/>
      <c r="N67" s="5"/>
      <c r="O67" s="5"/>
      <c r="P67" s="5"/>
      <c r="Q67" s="5"/>
      <c r="R67" s="5"/>
      <c r="S67" s="5"/>
      <c r="T67" s="5"/>
      <c r="U67" s="5"/>
      <c r="V67" s="5"/>
      <c r="W67" s="5"/>
      <c r="X67" s="5"/>
      <c r="Y67" s="5"/>
      <c r="Z67" s="5"/>
      <c r="AA67" s="5"/>
    </row>
    <row r="68" spans="13:27">
      <c r="M68" s="5"/>
      <c r="N68" s="5"/>
      <c r="O68" s="5"/>
      <c r="P68" s="5"/>
      <c r="Q68" s="5"/>
      <c r="R68" s="5"/>
      <c r="S68" s="5"/>
      <c r="T68" s="5"/>
      <c r="U68" s="5"/>
      <c r="V68" s="5"/>
      <c r="W68" s="5"/>
      <c r="X68" s="5"/>
      <c r="Y68" s="5"/>
      <c r="Z68" s="5"/>
      <c r="AA68" s="5"/>
    </row>
    <row r="69" spans="13:27">
      <c r="M69" s="5"/>
      <c r="N69" s="5"/>
      <c r="O69" s="5"/>
      <c r="P69" s="5"/>
      <c r="Q69" s="5"/>
      <c r="R69" s="5"/>
      <c r="S69" s="5"/>
      <c r="T69" s="5"/>
      <c r="U69" s="5"/>
      <c r="V69" s="5"/>
      <c r="W69" s="5"/>
      <c r="X69" s="5"/>
      <c r="Y69" s="5"/>
      <c r="Z69" s="5"/>
      <c r="AA69" s="5"/>
    </row>
    <row r="70" spans="13:27">
      <c r="M70" s="5"/>
      <c r="N70" s="5"/>
      <c r="O70" s="5"/>
      <c r="P70" s="5"/>
      <c r="Q70" s="5"/>
      <c r="R70" s="5"/>
      <c r="S70" s="5"/>
      <c r="T70" s="5"/>
      <c r="U70" s="5"/>
      <c r="V70" s="5"/>
      <c r="W70" s="5"/>
      <c r="X70" s="5"/>
      <c r="Y70" s="5"/>
      <c r="Z70" s="5"/>
      <c r="AA70" s="5"/>
    </row>
    <row r="71" spans="13:27">
      <c r="M71" s="5"/>
      <c r="N71" s="5"/>
      <c r="O71" s="5"/>
      <c r="P71" s="5"/>
      <c r="Q71" s="5"/>
      <c r="R71" s="5"/>
      <c r="S71" s="5"/>
      <c r="T71" s="5"/>
      <c r="U71" s="5"/>
      <c r="V71" s="5"/>
      <c r="W71" s="5"/>
      <c r="X71" s="5"/>
      <c r="Y71" s="5"/>
      <c r="Z71" s="5"/>
      <c r="AA71" s="5"/>
    </row>
    <row r="72" spans="13:27">
      <c r="M72" s="5"/>
      <c r="N72" s="5"/>
      <c r="O72" s="5"/>
      <c r="P72" s="5"/>
      <c r="Q72" s="5"/>
      <c r="R72" s="5"/>
      <c r="S72" s="5"/>
      <c r="T72" s="5"/>
      <c r="U72" s="5"/>
      <c r="V72" s="5"/>
      <c r="W72" s="5"/>
      <c r="X72" s="5"/>
      <c r="Y72" s="5"/>
      <c r="Z72" s="5"/>
      <c r="AA72" s="5"/>
    </row>
    <row r="73" spans="13:27">
      <c r="M73" s="5"/>
      <c r="N73" s="5"/>
      <c r="O73" s="5"/>
      <c r="P73" s="5"/>
      <c r="Q73" s="5"/>
      <c r="R73" s="5"/>
      <c r="S73" s="5"/>
      <c r="T73" s="5"/>
      <c r="U73" s="5"/>
      <c r="V73" s="5"/>
      <c r="W73" s="5"/>
      <c r="X73" s="5"/>
      <c r="Y73" s="5"/>
      <c r="Z73" s="5"/>
      <c r="AA73" s="5"/>
    </row>
    <row r="74" spans="13:27">
      <c r="M74" s="5"/>
      <c r="N74" s="5"/>
      <c r="O74" s="5"/>
      <c r="P74" s="5"/>
      <c r="Q74" s="5"/>
      <c r="R74" s="5"/>
      <c r="S74" s="5"/>
      <c r="T74" s="5"/>
      <c r="U74" s="5"/>
      <c r="V74" s="5"/>
      <c r="W74" s="5"/>
      <c r="X74" s="5"/>
      <c r="Y74" s="5"/>
      <c r="Z74" s="5"/>
      <c r="AA74" s="5"/>
    </row>
    <row r="75" spans="13:27">
      <c r="M75" s="5"/>
      <c r="N75" s="5"/>
      <c r="O75" s="5"/>
      <c r="P75" s="5"/>
      <c r="Q75" s="5"/>
      <c r="R75" s="5"/>
      <c r="S75" s="5"/>
      <c r="T75" s="5"/>
      <c r="U75" s="5"/>
      <c r="V75" s="5"/>
      <c r="W75" s="5"/>
      <c r="X75" s="5"/>
      <c r="Y75" s="5"/>
      <c r="Z75" s="5"/>
      <c r="AA75" s="5"/>
    </row>
    <row r="76" spans="13:27">
      <c r="M76" s="5"/>
      <c r="N76" s="5"/>
      <c r="O76" s="5"/>
      <c r="P76" s="5"/>
      <c r="Q76" s="5"/>
      <c r="R76" s="5"/>
      <c r="S76" s="5"/>
      <c r="T76" s="5"/>
      <c r="U76" s="5"/>
      <c r="V76" s="5"/>
      <c r="W76" s="5"/>
      <c r="X76" s="5"/>
      <c r="Y76" s="5"/>
      <c r="Z76" s="5"/>
      <c r="AA76" s="5"/>
    </row>
    <row r="77" spans="13:27">
      <c r="M77" s="5"/>
      <c r="N77" s="5"/>
      <c r="O77" s="5"/>
      <c r="P77" s="5"/>
      <c r="Q77" s="5"/>
      <c r="R77" s="5"/>
      <c r="S77" s="5"/>
      <c r="T77" s="5"/>
      <c r="U77" s="5"/>
      <c r="V77" s="5"/>
      <c r="W77" s="5"/>
      <c r="X77" s="5"/>
      <c r="Y77" s="5"/>
      <c r="Z77" s="5"/>
      <c r="AA77" s="5"/>
    </row>
    <row r="78" spans="13:27">
      <c r="M78" s="5"/>
      <c r="N78" s="5"/>
      <c r="O78" s="5"/>
      <c r="P78" s="5"/>
      <c r="Q78" s="5"/>
      <c r="R78" s="5"/>
      <c r="S78" s="5"/>
      <c r="T78" s="5"/>
      <c r="U78" s="5"/>
      <c r="V78" s="5"/>
      <c r="W78" s="5"/>
      <c r="X78" s="5"/>
      <c r="Y78" s="5"/>
      <c r="Z78" s="5"/>
      <c r="AA78" s="5"/>
    </row>
    <row r="79" spans="13:27">
      <c r="M79" s="5"/>
      <c r="N79" s="5"/>
      <c r="O79" s="5"/>
      <c r="P79" s="5"/>
      <c r="Q79" s="5"/>
      <c r="R79" s="5"/>
      <c r="S79" s="5"/>
      <c r="T79" s="5"/>
      <c r="U79" s="5"/>
      <c r="V79" s="5"/>
      <c r="W79" s="5"/>
      <c r="X79" s="5"/>
      <c r="Y79" s="5"/>
      <c r="Z79" s="5"/>
      <c r="AA79" s="5"/>
    </row>
    <row r="80" spans="13:27">
      <c r="M80" s="5"/>
      <c r="N80" s="5"/>
      <c r="O80" s="5"/>
      <c r="P80" s="5"/>
      <c r="Q80" s="5"/>
      <c r="R80" s="5"/>
      <c r="S80" s="5"/>
      <c r="T80" s="5"/>
      <c r="U80" s="5"/>
      <c r="V80" s="5"/>
      <c r="W80" s="5"/>
      <c r="X80" s="5"/>
      <c r="Y80" s="5"/>
      <c r="Z80" s="5"/>
      <c r="AA80" s="5"/>
    </row>
    <row r="81" spans="13:27">
      <c r="M81" s="5"/>
      <c r="N81" s="5"/>
      <c r="O81" s="5"/>
      <c r="P81" s="5"/>
      <c r="Q81" s="5"/>
      <c r="R81" s="5"/>
      <c r="S81" s="5"/>
      <c r="T81" s="5"/>
      <c r="U81" s="5"/>
      <c r="V81" s="5"/>
      <c r="W81" s="5"/>
      <c r="X81" s="5"/>
      <c r="Y81" s="5"/>
      <c r="Z81" s="5"/>
      <c r="AA81" s="5"/>
    </row>
    <row r="82" spans="13:27">
      <c r="M82" s="5"/>
      <c r="N82" s="5"/>
      <c r="O82" s="5"/>
      <c r="P82" s="5"/>
      <c r="Q82" s="5"/>
      <c r="R82" s="5"/>
      <c r="S82" s="5"/>
      <c r="T82" s="5"/>
      <c r="U82" s="5"/>
      <c r="V82" s="5"/>
      <c r="W82" s="5"/>
      <c r="X82" s="5"/>
      <c r="Y82" s="5"/>
      <c r="Z82" s="5"/>
      <c r="AA82" s="5"/>
    </row>
    <row r="83" spans="13:27">
      <c r="M83" s="5"/>
      <c r="N83" s="5"/>
      <c r="O83" s="5"/>
      <c r="P83" s="5"/>
      <c r="Q83" s="5"/>
      <c r="R83" s="5"/>
      <c r="S83" s="5"/>
      <c r="T83" s="5"/>
      <c r="U83" s="5"/>
      <c r="V83" s="5"/>
      <c r="W83" s="5"/>
      <c r="X83" s="5"/>
      <c r="Y83" s="5"/>
      <c r="Z83" s="5"/>
      <c r="AA83" s="5"/>
    </row>
    <row r="84" spans="13:27">
      <c r="M84" s="5"/>
      <c r="N84" s="5"/>
      <c r="O84" s="5"/>
      <c r="P84" s="5"/>
      <c r="Q84" s="5"/>
      <c r="R84" s="5"/>
      <c r="S84" s="5"/>
      <c r="T84" s="5"/>
      <c r="U84" s="5"/>
      <c r="V84" s="5"/>
      <c r="W84" s="5"/>
      <c r="X84" s="5"/>
      <c r="Y84" s="5"/>
      <c r="Z84" s="5"/>
      <c r="AA84" s="5"/>
    </row>
    <row r="85" spans="13:27">
      <c r="M85" s="5"/>
      <c r="N85" s="5"/>
      <c r="O85" s="5"/>
      <c r="P85" s="5"/>
      <c r="Q85" s="5"/>
      <c r="R85" s="5"/>
      <c r="S85" s="5"/>
      <c r="T85" s="5"/>
      <c r="U85" s="5"/>
      <c r="V85" s="5"/>
      <c r="W85" s="5"/>
      <c r="X85" s="5"/>
      <c r="Y85" s="5"/>
      <c r="Z85" s="5"/>
      <c r="AA85" s="5"/>
    </row>
    <row r="86" spans="13:27">
      <c r="M86" s="5"/>
      <c r="N86" s="5"/>
      <c r="O86" s="5"/>
      <c r="P86" s="5"/>
      <c r="Q86" s="5"/>
      <c r="R86" s="5"/>
      <c r="S86" s="5"/>
      <c r="T86" s="5"/>
      <c r="U86" s="5"/>
      <c r="V86" s="5"/>
      <c r="W86" s="5"/>
      <c r="X86" s="5"/>
      <c r="Y86" s="5"/>
      <c r="Z86" s="5"/>
      <c r="AA86" s="5"/>
    </row>
    <row r="87" spans="13:27">
      <c r="M87" s="5"/>
      <c r="N87" s="5"/>
      <c r="O87" s="5"/>
      <c r="P87" s="5"/>
      <c r="Q87" s="5"/>
      <c r="R87" s="5"/>
      <c r="S87" s="5"/>
      <c r="T87" s="5"/>
      <c r="U87" s="5"/>
      <c r="V87" s="5"/>
      <c r="W87" s="5"/>
      <c r="X87" s="5"/>
      <c r="Y87" s="5"/>
      <c r="Z87" s="5"/>
      <c r="AA87" s="5"/>
    </row>
    <row r="88" spans="13:27">
      <c r="M88" s="5"/>
      <c r="N88" s="5"/>
      <c r="O88" s="5"/>
      <c r="P88" s="5"/>
      <c r="Q88" s="5"/>
      <c r="R88" s="5"/>
      <c r="S88" s="5"/>
      <c r="T88" s="5"/>
      <c r="U88" s="5"/>
      <c r="V88" s="5"/>
      <c r="W88" s="5"/>
      <c r="X88" s="5"/>
      <c r="Y88" s="5"/>
      <c r="Z88" s="5"/>
      <c r="AA88" s="5"/>
    </row>
    <row r="89" spans="13:27">
      <c r="M89" s="5"/>
      <c r="N89" s="5"/>
      <c r="O89" s="5"/>
      <c r="P89" s="5"/>
      <c r="Q89" s="5"/>
      <c r="R89" s="5"/>
      <c r="S89" s="5"/>
      <c r="T89" s="5"/>
      <c r="U89" s="5"/>
      <c r="V89" s="5"/>
      <c r="W89" s="5"/>
      <c r="X89" s="5"/>
      <c r="Y89" s="5"/>
      <c r="Z89" s="5"/>
      <c r="AA89" s="5"/>
    </row>
    <row r="90" spans="13:27">
      <c r="M90" s="5"/>
      <c r="N90" s="5"/>
      <c r="O90" s="5"/>
      <c r="P90" s="5"/>
      <c r="Q90" s="5"/>
      <c r="R90" s="5"/>
      <c r="S90" s="5"/>
      <c r="T90" s="5"/>
      <c r="U90" s="5"/>
      <c r="V90" s="5"/>
      <c r="W90" s="5"/>
      <c r="X90" s="5"/>
      <c r="Y90" s="5"/>
      <c r="Z90" s="5"/>
      <c r="AA90" s="5"/>
    </row>
    <row r="91" spans="13:27">
      <c r="M91" s="5"/>
      <c r="N91" s="5"/>
      <c r="O91" s="5"/>
      <c r="P91" s="5"/>
      <c r="Q91" s="5"/>
      <c r="R91" s="5"/>
      <c r="S91" s="5"/>
      <c r="T91" s="5"/>
      <c r="U91" s="5"/>
      <c r="V91" s="5"/>
      <c r="W91" s="5"/>
      <c r="X91" s="5"/>
      <c r="Y91" s="5"/>
      <c r="Z91" s="5"/>
      <c r="AA91" s="5"/>
    </row>
    <row r="92" spans="13:27">
      <c r="M92" s="5"/>
      <c r="N92" s="5"/>
      <c r="O92" s="5"/>
      <c r="P92" s="5"/>
      <c r="Q92" s="5"/>
      <c r="R92" s="5"/>
      <c r="S92" s="5"/>
      <c r="T92" s="5"/>
      <c r="U92" s="5"/>
      <c r="V92" s="5"/>
      <c r="W92" s="5"/>
      <c r="X92" s="5"/>
      <c r="Y92" s="5"/>
      <c r="Z92" s="5"/>
      <c r="AA92" s="5"/>
    </row>
  </sheetData>
  <sheetProtection sheet="1" objects="1" scenarios="1" formatColumns="0" formatRows="0"/>
  <mergeCells count="67">
    <mergeCell ref="B7:L7"/>
    <mergeCell ref="B47:C47"/>
    <mergeCell ref="N56:N58"/>
    <mergeCell ref="B49:B50"/>
    <mergeCell ref="H49:H50"/>
    <mergeCell ref="N49:N50"/>
    <mergeCell ref="B51:B54"/>
    <mergeCell ref="H51:H54"/>
    <mergeCell ref="N51:N54"/>
    <mergeCell ref="G45:G58"/>
    <mergeCell ref="H45:I45"/>
    <mergeCell ref="N45:O45"/>
    <mergeCell ref="B46:F46"/>
    <mergeCell ref="N47:O47"/>
    <mergeCell ref="B56:B58"/>
    <mergeCell ref="H56:H58"/>
    <mergeCell ref="B55:F55"/>
    <mergeCell ref="G29:G42"/>
    <mergeCell ref="B29:C29"/>
    <mergeCell ref="N39:R39"/>
    <mergeCell ref="H33:H34"/>
    <mergeCell ref="N33:N34"/>
    <mergeCell ref="N29:O29"/>
    <mergeCell ref="N30:R30"/>
    <mergeCell ref="N31:O31"/>
    <mergeCell ref="P31:R31"/>
    <mergeCell ref="H31:I31"/>
    <mergeCell ref="J31:L31"/>
    <mergeCell ref="D47:F47"/>
    <mergeCell ref="H47:I47"/>
    <mergeCell ref="J47:L47"/>
    <mergeCell ref="N55:R55"/>
    <mergeCell ref="B4:L4"/>
    <mergeCell ref="B28:F28"/>
    <mergeCell ref="H28:L28"/>
    <mergeCell ref="B20:R20"/>
    <mergeCell ref="B40:B42"/>
    <mergeCell ref="H35:H38"/>
    <mergeCell ref="B35:B38"/>
    <mergeCell ref="H40:H42"/>
    <mergeCell ref="B30:F30"/>
    <mergeCell ref="B31:C31"/>
    <mergeCell ref="D31:F31"/>
    <mergeCell ref="B33:B34"/>
    <mergeCell ref="H30:L30"/>
    <mergeCell ref="B18:E18"/>
    <mergeCell ref="N28:R28"/>
    <mergeCell ref="H29:I29"/>
    <mergeCell ref="H13:L13"/>
    <mergeCell ref="N11:R11"/>
    <mergeCell ref="N13:R13"/>
    <mergeCell ref="B16:R16"/>
    <mergeCell ref="B11:F11"/>
    <mergeCell ref="B13:F13"/>
    <mergeCell ref="H11:L11"/>
    <mergeCell ref="B14:R14"/>
    <mergeCell ref="B21:E21"/>
    <mergeCell ref="B44:F44"/>
    <mergeCell ref="H44:L44"/>
    <mergeCell ref="N44:R44"/>
    <mergeCell ref="B45:C45"/>
    <mergeCell ref="N40:N42"/>
    <mergeCell ref="P47:R47"/>
    <mergeCell ref="H55:L55"/>
    <mergeCell ref="N35:N38"/>
    <mergeCell ref="H46:L46"/>
    <mergeCell ref="N46:R46"/>
  </mergeCells>
  <conditionalFormatting sqref="D33:F38">
    <cfRule type="expression" dxfId="32" priority="27">
      <formula>AND(D33=1, ROW(D33)*256+COLUMN(D33)=MIN(IF($D$33:$F$38=1, ROW($D$33:$F$38)*256+COLUMN($D$33:$F$38))))</formula>
    </cfRule>
  </conditionalFormatting>
  <conditionalFormatting sqref="D40:F42">
    <cfRule type="expression" dxfId="31" priority="14">
      <formula>AND(D40=1, ROW(D40)*256+COLUMN(D40)=MIN(IF($D$40:$F$42=1, ROW($D$40:$F$42)*256+COLUMN($D$40:$F$42))))</formula>
    </cfRule>
  </conditionalFormatting>
  <conditionalFormatting sqref="D49:F54">
    <cfRule type="expression" dxfId="30" priority="17">
      <formula>AND(D49=1, ROW(D49)*256+COLUMN(D49)=MIN(IF($D$49:$F$54=1, ROW($D$49:$F$54)*256+COLUMN($D$49:$F$54))))</formula>
    </cfRule>
  </conditionalFormatting>
  <conditionalFormatting sqref="D56:F58">
    <cfRule type="expression" dxfId="29" priority="9">
      <formula>AND(D56=1, ROW(D56)*256+COLUMN(D56)=MIN(IF($D$56:$F$58=1, ROW($D$56:$F$58)*256+COLUMN($D$56:$F$58))))</formula>
    </cfRule>
  </conditionalFormatting>
  <conditionalFormatting sqref="E29">
    <cfRule type="containsText" dxfId="28" priority="8" operator="containsText" text="Error">
      <formula>NOT(ISERROR(SEARCH("Error",E29)))</formula>
    </cfRule>
  </conditionalFormatting>
  <conditionalFormatting sqref="E45">
    <cfRule type="containsText" dxfId="27" priority="4" operator="containsText" text="Error">
      <formula>NOT(ISERROR(SEARCH("Error",E45)))</formula>
    </cfRule>
  </conditionalFormatting>
  <conditionalFormatting sqref="J33:L38">
    <cfRule type="expression" dxfId="26" priority="26">
      <formula>AND(J33=1, ROW(J33)*256+COLUMN(J33)=MIN(IF($J$33:$L$38=1, ROW($J$33:$L$38)*256+COLUMN($J$33:$L$38))))</formula>
    </cfRule>
  </conditionalFormatting>
  <conditionalFormatting sqref="J40:L42">
    <cfRule type="expression" dxfId="25" priority="13">
      <formula>AND(J40=1, ROW(J40)*256+COLUMN(J40)=MIN(IF($J$40:$L$42=1, ROW($J$40:$L$42)*256+COLUMN($J$40:$L$42))))</formula>
    </cfRule>
  </conditionalFormatting>
  <conditionalFormatting sqref="J49:L54">
    <cfRule type="expression" dxfId="24" priority="16">
      <formula>AND(J49=1, ROW(J49)*256+COLUMN(J49)=MIN(IF($J$49:$L$54=1, ROW($J$49:$L$54)*256+COLUMN($J$49:$L$54))))</formula>
    </cfRule>
  </conditionalFormatting>
  <conditionalFormatting sqref="J56:L58">
    <cfRule type="expression" dxfId="23" priority="10">
      <formula>AND(J56=1, ROW(J56)*256+COLUMN(J56)=MIN(IF($J$56:$L$58=1, ROW($J$56:$L$58)*256+COLUMN($J$56:$L$58))))</formula>
    </cfRule>
  </conditionalFormatting>
  <conditionalFormatting sqref="K29">
    <cfRule type="containsText" dxfId="22" priority="6" operator="containsText" text="Error">
      <formula>NOT(ISERROR(SEARCH("Error",K29)))</formula>
    </cfRule>
  </conditionalFormatting>
  <conditionalFormatting sqref="K45">
    <cfRule type="containsText" dxfId="21" priority="3" operator="containsText" text="Error">
      <formula>NOT(ISERROR(SEARCH("Error",K45)))</formula>
    </cfRule>
  </conditionalFormatting>
  <conditionalFormatting sqref="P33:R38">
    <cfRule type="expression" dxfId="20" priority="25">
      <formula>AND(P33=1, ROW(P33)*256+COLUMN(P33)=MIN(IF($P$33:$R$38=1, ROW($P$33:$R$38)*256+COLUMN($P$33:$R$38))))</formula>
    </cfRule>
  </conditionalFormatting>
  <conditionalFormatting sqref="P40:R42">
    <cfRule type="expression" dxfId="19" priority="12">
      <formula>AND(P40=1, ROW(P40)*256+COLUMN(P40)=MIN(IF($P$40:$R$42=1, ROW($P$40:$R$42)*256+COLUMN($P$40:$R$42))))</formula>
    </cfRule>
  </conditionalFormatting>
  <conditionalFormatting sqref="P49:R54">
    <cfRule type="expression" dxfId="18" priority="15">
      <formula>AND(P49=1, ROW(P49)*256+COLUMN(P49)=MIN(IF($P$49:$R$54=1, ROW($P$49:$R$54)*256+COLUMN($P$49:$R$54))))</formula>
    </cfRule>
  </conditionalFormatting>
  <conditionalFormatting sqref="P56:R58">
    <cfRule type="expression" dxfId="17" priority="11">
      <formula>AND(P56=1, ROW(P56)*256+COLUMN(P56)=MIN(IF($P$56:$R$58=1, ROW($P$56:$R$58)*256+COLUMN($P$56:$R$58))))</formula>
    </cfRule>
  </conditionalFormatting>
  <conditionalFormatting sqref="Q29">
    <cfRule type="containsText" dxfId="16" priority="5" operator="containsText" text="Error">
      <formula>NOT(ISERROR(SEARCH("Error",Q29)))</formula>
    </cfRule>
  </conditionalFormatting>
  <conditionalFormatting sqref="Q45">
    <cfRule type="containsText" dxfId="15" priority="2" operator="containsText" text="Error">
      <formula>NOT(ISERROR(SEARCH("Error",Q45)))</formula>
    </cfRule>
  </conditionalFormatting>
  <conditionalFormatting sqref="V17">
    <cfRule type="cellIs" dxfId="14" priority="7" operator="greaterThan">
      <formula>2</formula>
    </cfRule>
  </conditionalFormatting>
  <dataValidations count="1">
    <dataValidation type="whole" allowBlank="1" showInputMessage="1" showErrorMessage="1" sqref="J29" xr:uid="{D98D740E-61E8-4D7D-A779-D8BEF5F01D07}">
      <formula1>0</formula1>
      <formula2>1500</formula2>
    </dataValidation>
  </dataValidations>
  <hyperlinks>
    <hyperlink ref="B18" location="'Toolkit Instructions'!A1" display="Click here to return to the Toolkit Instructions" xr:uid="{10DA3D41-88A1-4050-BB05-31AFBD632982}"/>
    <hyperlink ref="B18:E18" location="'User Manual'!A1" display="Click here to return to the Toolkit Instructions" xr:uid="{871C576C-1B2F-4BF3-9C98-A18BDDAACBE1}"/>
  </hyperlinks>
  <pageMargins left="0.7" right="0.7" top="0.75" bottom="0.75" header="0.3" footer="0.3"/>
  <pageSetup scale="4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13A405-112E-4FBE-AA66-DB5E28650C49}">
  <sheetPr>
    <tabColor rgb="FF0070C0"/>
  </sheetPr>
  <dimension ref="A1:Q66"/>
  <sheetViews>
    <sheetView workbookViewId="0"/>
  </sheetViews>
  <sheetFormatPr defaultColWidth="9.140625" defaultRowHeight="15"/>
  <cols>
    <col min="1" max="1" width="3.140625" style="5" customWidth="1"/>
    <col min="2" max="2" width="20.28515625" style="5" customWidth="1"/>
    <col min="3" max="3" width="17.85546875" style="5" bestFit="1" customWidth="1"/>
    <col min="4" max="4" width="15.28515625" style="5" bestFit="1" customWidth="1"/>
    <col min="5" max="5" width="21.140625" style="5" customWidth="1"/>
    <col min="6" max="6" width="8.7109375" style="5" customWidth="1"/>
    <col min="7" max="7" width="20.85546875" style="5" customWidth="1"/>
    <col min="8" max="8" width="17.85546875" style="5" bestFit="1" customWidth="1"/>
    <col min="9" max="9" width="15.28515625" style="5" bestFit="1" customWidth="1"/>
    <col min="10" max="10" width="20.5703125" style="5" customWidth="1"/>
    <col min="11" max="11" width="9.140625" style="5"/>
    <col min="12" max="12" width="18.7109375" style="5" customWidth="1"/>
    <col min="13" max="13" width="17.85546875" style="5" bestFit="1" customWidth="1"/>
    <col min="14" max="14" width="15.28515625" style="5" bestFit="1" customWidth="1"/>
    <col min="15" max="15" width="16.28515625" style="5" bestFit="1" customWidth="1"/>
    <col min="16" max="16384" width="9.140625" style="5"/>
  </cols>
  <sheetData>
    <row r="1" spans="1:15">
      <c r="A1" s="4" t="str" cm="1">
        <f t="array" aca="1" ref="A1" ca="1">RIGHT(CELL("filename",A1),LEN(CELL("filename",A1))-SEARCH("]",CELL("filename",A1)))</f>
        <v>Container Cost Calculator</v>
      </c>
    </row>
    <row r="2" spans="1:15">
      <c r="A2" s="4"/>
    </row>
    <row r="3" spans="1:15">
      <c r="A3" s="4" t="s">
        <v>72</v>
      </c>
    </row>
    <row r="4" spans="1:15" ht="29.25" customHeight="1">
      <c r="A4" s="4"/>
      <c r="B4" s="500" t="s">
        <v>384</v>
      </c>
      <c r="C4" s="500"/>
      <c r="D4" s="500"/>
      <c r="E4" s="500"/>
      <c r="F4" s="500"/>
      <c r="G4" s="500"/>
      <c r="H4" s="500"/>
      <c r="I4" s="500"/>
      <c r="J4" s="500"/>
    </row>
    <row r="5" spans="1:15">
      <c r="A5" s="4"/>
    </row>
    <row r="6" spans="1:15">
      <c r="A6" s="4" t="s">
        <v>127</v>
      </c>
    </row>
    <row r="7" spans="1:15">
      <c r="A7" s="4"/>
      <c r="B7" s="125" t="s">
        <v>253</v>
      </c>
      <c r="G7" s="125" t="s">
        <v>254</v>
      </c>
      <c r="L7" s="125" t="s">
        <v>255</v>
      </c>
    </row>
    <row r="8" spans="1:15" ht="46.5" customHeight="1">
      <c r="B8" s="537" t="s">
        <v>632</v>
      </c>
      <c r="C8" s="537"/>
      <c r="D8" s="537"/>
      <c r="E8" s="537"/>
      <c r="F8" s="127"/>
      <c r="G8" s="537" t="s">
        <v>635</v>
      </c>
      <c r="H8" s="537"/>
      <c r="I8" s="537"/>
      <c r="J8" s="537"/>
      <c r="L8" s="537" t="s">
        <v>638</v>
      </c>
      <c r="M8" s="537"/>
      <c r="N8" s="537"/>
      <c r="O8" s="537"/>
    </row>
    <row r="9" spans="1:15">
      <c r="B9" s="127"/>
      <c r="C9" s="127"/>
      <c r="D9" s="127"/>
      <c r="E9" s="127"/>
    </row>
    <row r="10" spans="1:15" ht="109.5" customHeight="1">
      <c r="B10" s="552" t="s">
        <v>633</v>
      </c>
      <c r="C10" s="552"/>
      <c r="D10" s="552"/>
      <c r="E10" s="552"/>
      <c r="F10" s="193"/>
      <c r="G10" s="552" t="s">
        <v>636</v>
      </c>
      <c r="H10" s="552"/>
      <c r="I10" s="552"/>
      <c r="J10" s="552"/>
      <c r="L10" s="537" t="s">
        <v>662</v>
      </c>
      <c r="M10" s="537"/>
      <c r="N10" s="537"/>
      <c r="O10" s="537"/>
    </row>
    <row r="11" spans="1:15" ht="15" customHeight="1">
      <c r="B11" s="70"/>
      <c r="C11" s="70"/>
      <c r="D11" s="70"/>
      <c r="E11" s="70"/>
      <c r="F11" s="127"/>
      <c r="G11" s="70"/>
      <c r="H11" s="70"/>
      <c r="I11" s="70"/>
      <c r="J11" s="70"/>
      <c r="L11" s="70"/>
      <c r="M11" s="70"/>
      <c r="N11" s="70"/>
      <c r="O11" s="70"/>
    </row>
    <row r="12" spans="1:15" ht="124.5" customHeight="1">
      <c r="B12" s="552" t="s">
        <v>634</v>
      </c>
      <c r="C12" s="552"/>
      <c r="D12" s="552"/>
      <c r="E12" s="552"/>
      <c r="F12" s="127"/>
      <c r="G12" s="552" t="s">
        <v>637</v>
      </c>
      <c r="H12" s="552"/>
      <c r="I12" s="552"/>
      <c r="J12" s="552"/>
      <c r="L12" s="552" t="s">
        <v>639</v>
      </c>
      <c r="M12" s="552"/>
      <c r="N12" s="552"/>
      <c r="O12" s="552"/>
    </row>
    <row r="13" spans="1:15" ht="15" customHeight="1">
      <c r="B13" s="70"/>
      <c r="C13" s="70"/>
      <c r="D13" s="70"/>
      <c r="E13" s="70"/>
      <c r="F13" s="127"/>
      <c r="G13" s="70"/>
      <c r="H13" s="70"/>
      <c r="I13" s="70"/>
      <c r="J13" s="70"/>
      <c r="L13" s="70"/>
      <c r="M13" s="70"/>
      <c r="N13" s="70"/>
      <c r="O13" s="70"/>
    </row>
    <row r="14" spans="1:15" ht="46.5" customHeight="1">
      <c r="B14" s="552" t="str">
        <f>'Container Capacity Calculator'!B16:R16</f>
        <v>Note that for each table below, rolloffs are analyzed separately from carts and dumpsters. In some cases, roll-offs may be the most cost-effective option. However, many business locations do not have room for a roll-off container. If the Container Capacity Calculator and Cost Calculator recommend a roll-off container and the user's business has space for a roll-off container, the user may pursue the rolloff size and pickup frequency recommended by the Container Capacity Calculator and Cost Calculator. If the user's business does not have space for a rolloff container, then choose a cart or dumpster with the smallest size, lowest pickup frequency, and lowest cost that provides sufficient service.</v>
      </c>
      <c r="C14" s="552"/>
      <c r="D14" s="552"/>
      <c r="E14" s="552"/>
      <c r="F14" s="552"/>
      <c r="G14" s="552"/>
      <c r="H14" s="552"/>
      <c r="I14" s="552"/>
      <c r="J14" s="552"/>
      <c r="K14" s="552"/>
      <c r="L14" s="552"/>
      <c r="M14" s="552"/>
      <c r="N14" s="552"/>
      <c r="O14" s="552"/>
    </row>
    <row r="15" spans="1:15" ht="15" customHeight="1">
      <c r="B15" s="70"/>
      <c r="C15" s="218"/>
      <c r="D15" s="70"/>
      <c r="E15" s="70"/>
      <c r="F15" s="127"/>
      <c r="G15" s="70"/>
      <c r="H15" s="70"/>
      <c r="I15" s="70"/>
      <c r="J15" s="70"/>
      <c r="L15" s="70"/>
      <c r="M15" s="70"/>
      <c r="N15" s="70"/>
      <c r="O15" s="70"/>
    </row>
    <row r="16" spans="1:15" ht="15" customHeight="1">
      <c r="B16" s="515" t="s">
        <v>125</v>
      </c>
      <c r="C16" s="515"/>
      <c r="D16" s="515"/>
      <c r="E16" s="70"/>
      <c r="F16" s="127"/>
      <c r="G16" s="70"/>
      <c r="H16" s="70"/>
      <c r="I16" s="70"/>
      <c r="J16" s="70"/>
      <c r="L16" s="70"/>
      <c r="M16" s="70"/>
      <c r="N16" s="70"/>
      <c r="O16" s="70"/>
    </row>
    <row r="17" spans="2:15" ht="15" customHeight="1" thickBot="1">
      <c r="B17" s="137"/>
      <c r="C17" s="137"/>
      <c r="D17" s="137"/>
      <c r="E17" s="70"/>
      <c r="F17" s="127"/>
      <c r="G17" s="70"/>
      <c r="H17" s="70"/>
      <c r="I17" s="70"/>
      <c r="J17" s="70"/>
      <c r="L17" s="70"/>
      <c r="M17" s="70"/>
      <c r="N17" s="70"/>
      <c r="O17" s="70"/>
    </row>
    <row r="18" spans="2:15" ht="27" thickBot="1">
      <c r="B18" s="452" t="s">
        <v>673</v>
      </c>
      <c r="C18" s="453"/>
      <c r="D18" s="453"/>
      <c r="E18" s="453"/>
      <c r="F18" s="453"/>
      <c r="G18" s="453"/>
      <c r="H18" s="453"/>
      <c r="I18" s="453"/>
      <c r="J18" s="453"/>
      <c r="K18" s="453"/>
      <c r="L18" s="453"/>
      <c r="M18" s="453"/>
      <c r="N18" s="453"/>
      <c r="O18" s="454"/>
    </row>
    <row r="19" spans="2:15" ht="26.25">
      <c r="B19" s="703" t="s">
        <v>385</v>
      </c>
      <c r="C19" s="704"/>
      <c r="D19" s="704"/>
      <c r="E19" s="705"/>
      <c r="G19" s="703" t="s">
        <v>386</v>
      </c>
      <c r="H19" s="704"/>
      <c r="I19" s="704"/>
      <c r="J19" s="705"/>
      <c r="L19" s="70"/>
      <c r="M19" s="70"/>
      <c r="N19" s="70"/>
      <c r="O19" s="374"/>
    </row>
    <row r="20" spans="2:15">
      <c r="B20" s="148"/>
      <c r="C20" s="136" t="s">
        <v>131</v>
      </c>
      <c r="D20" s="136" t="s">
        <v>132</v>
      </c>
      <c r="E20" s="196" t="s">
        <v>133</v>
      </c>
      <c r="G20" s="148"/>
      <c r="H20" s="136" t="s">
        <v>131</v>
      </c>
      <c r="I20" s="136" t="s">
        <v>132</v>
      </c>
      <c r="J20" s="196" t="s">
        <v>133</v>
      </c>
      <c r="L20" s="70"/>
      <c r="M20" s="70"/>
      <c r="N20" s="70"/>
      <c r="O20" s="374"/>
    </row>
    <row r="21" spans="2:15" ht="15" customHeight="1">
      <c r="B21" s="368" t="s">
        <v>387</v>
      </c>
      <c r="C21" s="367">
        <f>MIN(C29:E34)</f>
        <v>0</v>
      </c>
      <c r="D21" s="367">
        <f>MIN(C42:E47)</f>
        <v>0</v>
      </c>
      <c r="E21" s="369">
        <f>D21-C21</f>
        <v>0</v>
      </c>
      <c r="G21" s="368" t="s">
        <v>387</v>
      </c>
      <c r="H21" s="367">
        <f>MIN(C36:E38)</f>
        <v>0</v>
      </c>
      <c r="I21" s="367">
        <f>MIN(C49:E51)</f>
        <v>0</v>
      </c>
      <c r="J21" s="369">
        <f>I21-H21</f>
        <v>0</v>
      </c>
      <c r="L21" s="70"/>
      <c r="M21" s="70"/>
      <c r="N21" s="70"/>
      <c r="O21" s="374"/>
    </row>
    <row r="22" spans="2:15" ht="15" customHeight="1">
      <c r="B22" s="370" t="s">
        <v>388</v>
      </c>
      <c r="C22" s="367">
        <f>MIN(H29:J34)</f>
        <v>0</v>
      </c>
      <c r="D22" s="367">
        <f>MIN(H42:J47)</f>
        <v>0</v>
      </c>
      <c r="E22" s="369">
        <f t="shared" ref="E22:E24" si="0">D22-C22</f>
        <v>0</v>
      </c>
      <c r="G22" s="370" t="s">
        <v>388</v>
      </c>
      <c r="H22" s="367">
        <f>MIN(H36:J38)</f>
        <v>0</v>
      </c>
      <c r="I22" s="367">
        <f>MIN(H49:J51)</f>
        <v>0</v>
      </c>
      <c r="J22" s="369">
        <f t="shared" ref="J22:J24" si="1">I22-H22</f>
        <v>0</v>
      </c>
      <c r="L22" s="70"/>
      <c r="M22" s="70"/>
      <c r="N22" s="70"/>
      <c r="O22" s="374"/>
    </row>
    <row r="23" spans="2:15" ht="15" customHeight="1">
      <c r="B23" s="371" t="s">
        <v>389</v>
      </c>
      <c r="C23" s="367">
        <f>MIN(M29:O34)</f>
        <v>0</v>
      </c>
      <c r="D23" s="367">
        <f>MIN(M42:O47)</f>
        <v>0</v>
      </c>
      <c r="E23" s="369">
        <f t="shared" si="0"/>
        <v>0</v>
      </c>
      <c r="G23" s="371" t="s">
        <v>389</v>
      </c>
      <c r="H23" s="367">
        <f>MIN(M36:O38)</f>
        <v>0</v>
      </c>
      <c r="I23" s="367">
        <f>MIN(M49:O51)</f>
        <v>0</v>
      </c>
      <c r="J23" s="369">
        <f t="shared" si="1"/>
        <v>0</v>
      </c>
      <c r="L23" s="70"/>
      <c r="M23" s="70"/>
      <c r="N23" s="70"/>
      <c r="O23" s="374"/>
    </row>
    <row r="24" spans="2:15" ht="15" customHeight="1" thickBot="1">
      <c r="B24" s="251" t="s">
        <v>177</v>
      </c>
      <c r="C24" s="372">
        <f>SUM(C21:C23)</f>
        <v>0</v>
      </c>
      <c r="D24" s="372">
        <f>SUM(D21:D23)</f>
        <v>0</v>
      </c>
      <c r="E24" s="373">
        <f t="shared" si="0"/>
        <v>0</v>
      </c>
      <c r="G24" s="251" t="s">
        <v>177</v>
      </c>
      <c r="H24" s="372">
        <f>SUM(H21:H23)</f>
        <v>0</v>
      </c>
      <c r="I24" s="372">
        <f>SUM(I21:I23)</f>
        <v>0</v>
      </c>
      <c r="J24" s="373">
        <f t="shared" si="1"/>
        <v>0</v>
      </c>
      <c r="L24" s="70"/>
      <c r="M24" s="70"/>
      <c r="N24" s="70"/>
      <c r="O24" s="374"/>
    </row>
    <row r="25" spans="2:15">
      <c r="B25" s="107"/>
      <c r="O25" s="131"/>
    </row>
    <row r="26" spans="2:15" ht="15.75" thickBot="1">
      <c r="B26" s="107"/>
      <c r="O26" s="131"/>
    </row>
    <row r="27" spans="2:15" ht="15.75" thickBot="1">
      <c r="B27" s="688" t="s">
        <v>390</v>
      </c>
      <c r="C27" s="689"/>
      <c r="D27" s="689"/>
      <c r="E27" s="690"/>
      <c r="F27" s="630"/>
      <c r="G27" s="691" t="s">
        <v>391</v>
      </c>
      <c r="H27" s="692"/>
      <c r="I27" s="692"/>
      <c r="J27" s="693"/>
      <c r="L27" s="709" t="s">
        <v>392</v>
      </c>
      <c r="M27" s="710"/>
      <c r="N27" s="710"/>
      <c r="O27" s="711"/>
    </row>
    <row r="28" spans="2:15">
      <c r="B28" s="39" t="s">
        <v>359</v>
      </c>
      <c r="C28" s="19" t="s">
        <v>393</v>
      </c>
      <c r="D28" s="19" t="s">
        <v>394</v>
      </c>
      <c r="E28" s="40" t="s">
        <v>362</v>
      </c>
      <c r="F28" s="630"/>
      <c r="G28" s="39" t="s">
        <v>359</v>
      </c>
      <c r="H28" s="19" t="s">
        <v>393</v>
      </c>
      <c r="I28" s="19" t="s">
        <v>394</v>
      </c>
      <c r="J28" s="40" t="s">
        <v>362</v>
      </c>
      <c r="L28" s="255" t="s">
        <v>359</v>
      </c>
      <c r="M28" s="256" t="s">
        <v>393</v>
      </c>
      <c r="N28" s="256" t="s">
        <v>394</v>
      </c>
      <c r="O28" s="257" t="s">
        <v>362</v>
      </c>
    </row>
    <row r="29" spans="2:15" ht="15.75">
      <c r="B29" s="41" t="s">
        <v>364</v>
      </c>
      <c r="C29" s="3">
        <f>C55*'Container Capacity Calculator'!D33</f>
        <v>0</v>
      </c>
      <c r="D29" s="3">
        <f>D55*'Container Capacity Calculator'!E33</f>
        <v>0</v>
      </c>
      <c r="E29" s="42">
        <f>E55*'Container Capacity Calculator'!F33</f>
        <v>0</v>
      </c>
      <c r="F29" s="630"/>
      <c r="G29" s="41" t="s">
        <v>364</v>
      </c>
      <c r="H29" s="3">
        <f>H55*'Container Capacity Calculator'!J33</f>
        <v>0</v>
      </c>
      <c r="I29" s="3">
        <f>I55*'Container Capacity Calculator'!K33</f>
        <v>0</v>
      </c>
      <c r="J29" s="42">
        <f>J55*'Container Capacity Calculator'!L33</f>
        <v>0</v>
      </c>
      <c r="L29" s="41" t="s">
        <v>364</v>
      </c>
      <c r="M29" s="3">
        <f>M55*'Container Capacity Calculator'!P33</f>
        <v>0</v>
      </c>
      <c r="N29" s="3">
        <f>N55*'Container Capacity Calculator'!Q33</f>
        <v>0</v>
      </c>
      <c r="O29" s="42">
        <f>O55*'Container Capacity Calculator'!R33</f>
        <v>0</v>
      </c>
    </row>
    <row r="30" spans="2:15" ht="15.75">
      <c r="B30" s="41" t="s">
        <v>365</v>
      </c>
      <c r="C30" s="3">
        <f>C56*'Container Capacity Calculator'!D34</f>
        <v>0</v>
      </c>
      <c r="D30" s="3">
        <f>D56*'Container Capacity Calculator'!E34</f>
        <v>0</v>
      </c>
      <c r="E30" s="42">
        <f>E56*'Container Capacity Calculator'!F34</f>
        <v>0</v>
      </c>
      <c r="F30" s="630"/>
      <c r="G30" s="41" t="s">
        <v>365</v>
      </c>
      <c r="H30" s="3">
        <f>H56*'Container Capacity Calculator'!J34</f>
        <v>0</v>
      </c>
      <c r="I30" s="3">
        <f>I56*'Container Capacity Calculator'!K34</f>
        <v>0</v>
      </c>
      <c r="J30" s="42">
        <f>J56*'Container Capacity Calculator'!L34</f>
        <v>0</v>
      </c>
      <c r="L30" s="41" t="s">
        <v>365</v>
      </c>
      <c r="M30" s="3">
        <f>M56*'Container Capacity Calculator'!P34</f>
        <v>0</v>
      </c>
      <c r="N30" s="3">
        <f>N56*'Container Capacity Calculator'!Q34</f>
        <v>0</v>
      </c>
      <c r="O30" s="42">
        <f>O56*'Container Capacity Calculator'!R34</f>
        <v>0</v>
      </c>
    </row>
    <row r="31" spans="2:15" ht="15.75">
      <c r="B31" s="41" t="s">
        <v>367</v>
      </c>
      <c r="C31" s="3">
        <f>C57*'Container Capacity Calculator'!D35</f>
        <v>0</v>
      </c>
      <c r="D31" s="3">
        <f>D57*'Container Capacity Calculator'!E35</f>
        <v>0</v>
      </c>
      <c r="E31" s="42">
        <f>E57*'Container Capacity Calculator'!F35</f>
        <v>0</v>
      </c>
      <c r="F31" s="630"/>
      <c r="G31" s="41" t="s">
        <v>367</v>
      </c>
      <c r="H31" s="3">
        <f>H57*'Container Capacity Calculator'!J35</f>
        <v>0</v>
      </c>
      <c r="I31" s="3">
        <f>I57*'Container Capacity Calculator'!K35</f>
        <v>0</v>
      </c>
      <c r="J31" s="42">
        <f>J57*'Container Capacity Calculator'!L35</f>
        <v>0</v>
      </c>
      <c r="L31" s="41" t="s">
        <v>367</v>
      </c>
      <c r="M31" s="3">
        <f>M57*'Container Capacity Calculator'!P35</f>
        <v>0</v>
      </c>
      <c r="N31" s="3">
        <f>N57*'Container Capacity Calculator'!Q35</f>
        <v>0</v>
      </c>
      <c r="O31" s="42">
        <f>O57*'Container Capacity Calculator'!R35</f>
        <v>0</v>
      </c>
    </row>
    <row r="32" spans="2:15" ht="15.75">
      <c r="B32" s="41" t="s">
        <v>368</v>
      </c>
      <c r="C32" s="3">
        <f>C58*'Container Capacity Calculator'!D36</f>
        <v>0</v>
      </c>
      <c r="D32" s="3">
        <f>D58*'Container Capacity Calculator'!E36</f>
        <v>0</v>
      </c>
      <c r="E32" s="42">
        <f>E58*'Container Capacity Calculator'!F36</f>
        <v>0</v>
      </c>
      <c r="F32" s="630"/>
      <c r="G32" s="41" t="s">
        <v>368</v>
      </c>
      <c r="H32" s="3">
        <f>H58*'Container Capacity Calculator'!J36</f>
        <v>0</v>
      </c>
      <c r="I32" s="3">
        <f>I58*'Container Capacity Calculator'!K36</f>
        <v>0</v>
      </c>
      <c r="J32" s="42">
        <f>J58*'Container Capacity Calculator'!L36</f>
        <v>0</v>
      </c>
      <c r="L32" s="41" t="s">
        <v>368</v>
      </c>
      <c r="M32" s="3">
        <f>M58*'Container Capacity Calculator'!P36</f>
        <v>0</v>
      </c>
      <c r="N32" s="3">
        <f>N58*'Container Capacity Calculator'!Q36</f>
        <v>0</v>
      </c>
      <c r="O32" s="42">
        <f>O58*'Container Capacity Calculator'!R36</f>
        <v>0</v>
      </c>
    </row>
    <row r="33" spans="2:17" ht="15.75">
      <c r="B33" s="41" t="s">
        <v>369</v>
      </c>
      <c r="C33" s="3">
        <f>C59*'Container Capacity Calculator'!D37</f>
        <v>0</v>
      </c>
      <c r="D33" s="3">
        <f>D59*'Container Capacity Calculator'!E37</f>
        <v>0</v>
      </c>
      <c r="E33" s="42">
        <f>E59*'Container Capacity Calculator'!F37</f>
        <v>0</v>
      </c>
      <c r="F33" s="630"/>
      <c r="G33" s="41" t="s">
        <v>369</v>
      </c>
      <c r="H33" s="3">
        <f>H59*'Container Capacity Calculator'!J37</f>
        <v>0</v>
      </c>
      <c r="I33" s="3">
        <f>I59*'Container Capacity Calculator'!K37</f>
        <v>0</v>
      </c>
      <c r="J33" s="42">
        <f>J59*'Container Capacity Calculator'!L37</f>
        <v>0</v>
      </c>
      <c r="L33" s="41" t="s">
        <v>369</v>
      </c>
      <c r="M33" s="3">
        <f>M59*'Container Capacity Calculator'!P37</f>
        <v>0</v>
      </c>
      <c r="N33" s="3">
        <f>N59*'Container Capacity Calculator'!Q37</f>
        <v>0</v>
      </c>
      <c r="O33" s="42">
        <f>O59*'Container Capacity Calculator'!R37</f>
        <v>0</v>
      </c>
    </row>
    <row r="34" spans="2:17" ht="15.75">
      <c r="B34" s="41" t="s">
        <v>370</v>
      </c>
      <c r="C34" s="3">
        <f>C60*'Container Capacity Calculator'!D38</f>
        <v>0</v>
      </c>
      <c r="D34" s="3">
        <f>D60*'Container Capacity Calculator'!E38</f>
        <v>0</v>
      </c>
      <c r="E34" s="42">
        <f>E60*'Container Capacity Calculator'!F38</f>
        <v>0</v>
      </c>
      <c r="F34" s="630"/>
      <c r="G34" s="41" t="s">
        <v>370</v>
      </c>
      <c r="H34" s="3">
        <f>H60*'Container Capacity Calculator'!J38</f>
        <v>0</v>
      </c>
      <c r="I34" s="3">
        <f>I60*'Container Capacity Calculator'!K38</f>
        <v>0</v>
      </c>
      <c r="J34" s="42">
        <f>J60*'Container Capacity Calculator'!L38</f>
        <v>0</v>
      </c>
      <c r="K34" s="126"/>
      <c r="L34" s="41" t="s">
        <v>370</v>
      </c>
      <c r="M34" s="3">
        <f>M60*'Container Capacity Calculator'!P38</f>
        <v>0</v>
      </c>
      <c r="N34" s="3">
        <f>N60*'Container Capacity Calculator'!Q38</f>
        <v>0</v>
      </c>
      <c r="O34" s="42">
        <f>O60*'Container Capacity Calculator'!R38</f>
        <v>0</v>
      </c>
    </row>
    <row r="35" spans="2:17" ht="15.75">
      <c r="B35" s="697"/>
      <c r="C35" s="698"/>
      <c r="D35" s="698"/>
      <c r="E35" s="699"/>
      <c r="F35" s="630"/>
      <c r="G35" s="697"/>
      <c r="H35" s="698"/>
      <c r="I35" s="698"/>
      <c r="J35" s="699"/>
      <c r="K35" s="126"/>
      <c r="L35" s="697"/>
      <c r="M35" s="698"/>
      <c r="N35" s="698"/>
      <c r="O35" s="699"/>
    </row>
    <row r="36" spans="2:17" ht="15.75">
      <c r="B36" s="43" t="s">
        <v>395</v>
      </c>
      <c r="C36" s="3">
        <f>C62*'Container Capacity Calculator'!D40</f>
        <v>0</v>
      </c>
      <c r="D36" s="3">
        <f>D62*'Container Capacity Calculator'!E40</f>
        <v>0</v>
      </c>
      <c r="E36" s="42">
        <f>E62*'Container Capacity Calculator'!F40</f>
        <v>0</v>
      </c>
      <c r="F36" s="630"/>
      <c r="G36" s="43" t="s">
        <v>395</v>
      </c>
      <c r="H36" s="3">
        <f>H62*'Container Capacity Calculator'!J40</f>
        <v>0</v>
      </c>
      <c r="I36" s="3">
        <f>I62*'Container Capacity Calculator'!K40</f>
        <v>0</v>
      </c>
      <c r="J36" s="42">
        <f>J62*'Container Capacity Calculator'!L40</f>
        <v>0</v>
      </c>
      <c r="L36" s="43" t="s">
        <v>395</v>
      </c>
      <c r="M36" s="3">
        <f>M62*'Container Capacity Calculator'!P40</f>
        <v>0</v>
      </c>
      <c r="N36" s="3">
        <f>N62*'Container Capacity Calculator'!Q40</f>
        <v>0</v>
      </c>
      <c r="O36" s="42">
        <f>O62*'Container Capacity Calculator'!R40</f>
        <v>0</v>
      </c>
    </row>
    <row r="37" spans="2:17" ht="15.75">
      <c r="B37" s="43" t="s">
        <v>396</v>
      </c>
      <c r="C37" s="3">
        <f>C63*'Container Capacity Calculator'!D41</f>
        <v>0</v>
      </c>
      <c r="D37" s="3">
        <f>D63*'Container Capacity Calculator'!E41</f>
        <v>0</v>
      </c>
      <c r="E37" s="42">
        <f>E63*'Container Capacity Calculator'!F41</f>
        <v>0</v>
      </c>
      <c r="F37" s="630"/>
      <c r="G37" s="43" t="s">
        <v>396</v>
      </c>
      <c r="H37" s="3">
        <f>H63*'Container Capacity Calculator'!J41</f>
        <v>0</v>
      </c>
      <c r="I37" s="3">
        <f>I63*'Container Capacity Calculator'!K41</f>
        <v>0</v>
      </c>
      <c r="J37" s="42">
        <f>J63*'Container Capacity Calculator'!L41</f>
        <v>0</v>
      </c>
      <c r="L37" s="43" t="s">
        <v>396</v>
      </c>
      <c r="M37" s="3">
        <f>M63*'Container Capacity Calculator'!P41</f>
        <v>0</v>
      </c>
      <c r="N37" s="3">
        <f>N63*'Container Capacity Calculator'!Q41</f>
        <v>0</v>
      </c>
      <c r="O37" s="42">
        <f>O63*'Container Capacity Calculator'!R41</f>
        <v>0</v>
      </c>
    </row>
    <row r="38" spans="2:17" ht="32.25" thickBot="1">
      <c r="B38" s="44" t="s">
        <v>374</v>
      </c>
      <c r="C38" s="45">
        <f>C64*'Container Capacity Calculator'!D42</f>
        <v>0</v>
      </c>
      <c r="D38" s="45">
        <f>D64*'Container Capacity Calculator'!E42</f>
        <v>0</v>
      </c>
      <c r="E38" s="46">
        <f>E64*'Container Capacity Calculator'!F42</f>
        <v>0</v>
      </c>
      <c r="F38" s="630"/>
      <c r="G38" s="44" t="s">
        <v>374</v>
      </c>
      <c r="H38" s="45">
        <f>H64*'Container Capacity Calculator'!J42</f>
        <v>0</v>
      </c>
      <c r="I38" s="45">
        <f>I64*'Container Capacity Calculator'!K42</f>
        <v>0</v>
      </c>
      <c r="J38" s="46">
        <f>J64*'Container Capacity Calculator'!L42</f>
        <v>0</v>
      </c>
      <c r="L38" s="44" t="s">
        <v>374</v>
      </c>
      <c r="M38" s="45">
        <f>M64*'Container Capacity Calculator'!P42</f>
        <v>0</v>
      </c>
      <c r="N38" s="45">
        <f>N64*'Container Capacity Calculator'!Q42</f>
        <v>0</v>
      </c>
      <c r="O38" s="46">
        <f>O64*'Container Capacity Calculator'!R42</f>
        <v>0</v>
      </c>
    </row>
    <row r="39" spans="2:17" ht="16.5" thickBot="1">
      <c r="B39" s="253"/>
      <c r="C39" s="217"/>
      <c r="D39" s="217"/>
      <c r="E39" s="217"/>
      <c r="F39" s="194"/>
      <c r="G39" s="375"/>
      <c r="H39" s="217"/>
      <c r="I39" s="217"/>
      <c r="J39" s="217"/>
      <c r="L39" s="375"/>
      <c r="M39" s="217"/>
      <c r="N39" s="217"/>
      <c r="O39" s="252"/>
    </row>
    <row r="40" spans="2:17">
      <c r="B40" s="694" t="s">
        <v>397</v>
      </c>
      <c r="C40" s="695"/>
      <c r="D40" s="695"/>
      <c r="E40" s="696"/>
      <c r="F40" s="194"/>
      <c r="G40" s="691" t="s">
        <v>398</v>
      </c>
      <c r="H40" s="692"/>
      <c r="I40" s="692"/>
      <c r="J40" s="693"/>
      <c r="L40" s="706" t="s">
        <v>399</v>
      </c>
      <c r="M40" s="707"/>
      <c r="N40" s="707"/>
      <c r="O40" s="708"/>
    </row>
    <row r="41" spans="2:17">
      <c r="B41" s="39" t="s">
        <v>359</v>
      </c>
      <c r="C41" s="19" t="s">
        <v>393</v>
      </c>
      <c r="D41" s="19" t="s">
        <v>394</v>
      </c>
      <c r="E41" s="40" t="s">
        <v>362</v>
      </c>
      <c r="F41" s="194"/>
      <c r="G41" s="39" t="s">
        <v>359</v>
      </c>
      <c r="H41" s="19" t="s">
        <v>393</v>
      </c>
      <c r="I41" s="19" t="s">
        <v>394</v>
      </c>
      <c r="J41" s="40" t="s">
        <v>362</v>
      </c>
      <c r="L41" s="39" t="s">
        <v>359</v>
      </c>
      <c r="M41" s="19" t="s">
        <v>393</v>
      </c>
      <c r="N41" s="19" t="s">
        <v>394</v>
      </c>
      <c r="O41" s="40" t="s">
        <v>362</v>
      </c>
    </row>
    <row r="42" spans="2:17" ht="15.75">
      <c r="B42" s="41" t="s">
        <v>364</v>
      </c>
      <c r="C42" s="3">
        <f>C55*'Container Capacity Calculator'!D49</f>
        <v>0</v>
      </c>
      <c r="D42" s="3">
        <f>D55*'Container Capacity Calculator'!E49</f>
        <v>0</v>
      </c>
      <c r="E42" s="42">
        <f>E55*'Container Capacity Calculator'!F49</f>
        <v>0</v>
      </c>
      <c r="F42" s="194"/>
      <c r="G42" s="41" t="s">
        <v>364</v>
      </c>
      <c r="H42" s="3">
        <f>H55*'Container Capacity Calculator'!J49</f>
        <v>0</v>
      </c>
      <c r="I42" s="3">
        <f>I55*'Container Capacity Calculator'!K49</f>
        <v>0</v>
      </c>
      <c r="J42" s="42">
        <f>J55*'Container Capacity Calculator'!L49</f>
        <v>0</v>
      </c>
      <c r="L42" s="41" t="s">
        <v>364</v>
      </c>
      <c r="M42" s="3">
        <f>M55*'Container Capacity Calculator'!P49</f>
        <v>0</v>
      </c>
      <c r="N42" s="3">
        <f>N55*'Container Capacity Calculator'!Q49</f>
        <v>0</v>
      </c>
      <c r="O42" s="42">
        <f>O55*'Container Capacity Calculator'!R49</f>
        <v>0</v>
      </c>
      <c r="Q42" s="126"/>
    </row>
    <row r="43" spans="2:17" ht="15.75">
      <c r="B43" s="41" t="s">
        <v>365</v>
      </c>
      <c r="C43" s="3">
        <f>C56*'Container Capacity Calculator'!D50</f>
        <v>0</v>
      </c>
      <c r="D43" s="3">
        <f>D56*'Container Capacity Calculator'!E50</f>
        <v>0</v>
      </c>
      <c r="E43" s="42">
        <f>E56*'Container Capacity Calculator'!F50</f>
        <v>0</v>
      </c>
      <c r="F43" s="194"/>
      <c r="G43" s="41" t="s">
        <v>365</v>
      </c>
      <c r="H43" s="3">
        <f>H56*'Container Capacity Calculator'!J50</f>
        <v>0</v>
      </c>
      <c r="I43" s="3">
        <f>I56*'Container Capacity Calculator'!K50</f>
        <v>0</v>
      </c>
      <c r="J43" s="42">
        <f>J56*'Container Capacity Calculator'!L50</f>
        <v>0</v>
      </c>
      <c r="L43" s="41" t="s">
        <v>365</v>
      </c>
      <c r="M43" s="3">
        <f>M56*'Container Capacity Calculator'!P50</f>
        <v>0</v>
      </c>
      <c r="N43" s="3">
        <f>N56*'Container Capacity Calculator'!Q50</f>
        <v>0</v>
      </c>
      <c r="O43" s="42">
        <f>O56*'Container Capacity Calculator'!R50</f>
        <v>0</v>
      </c>
      <c r="Q43" s="126"/>
    </row>
    <row r="44" spans="2:17" ht="15.75">
      <c r="B44" s="41" t="s">
        <v>367</v>
      </c>
      <c r="C44" s="3">
        <f>C57*'Container Capacity Calculator'!D51</f>
        <v>0</v>
      </c>
      <c r="D44" s="3">
        <f>D57*'Container Capacity Calculator'!E51</f>
        <v>0</v>
      </c>
      <c r="E44" s="42">
        <f>E57*'Container Capacity Calculator'!F51</f>
        <v>0</v>
      </c>
      <c r="F44" s="194"/>
      <c r="G44" s="41" t="s">
        <v>367</v>
      </c>
      <c r="H44" s="3">
        <f>H57*'Container Capacity Calculator'!J51</f>
        <v>0</v>
      </c>
      <c r="I44" s="3">
        <f>I57*'Container Capacity Calculator'!K51</f>
        <v>0</v>
      </c>
      <c r="J44" s="42">
        <f>J57*'Container Capacity Calculator'!L51</f>
        <v>0</v>
      </c>
      <c r="L44" s="41" t="s">
        <v>367</v>
      </c>
      <c r="M44" s="3">
        <f>M57*'Container Capacity Calculator'!P51</f>
        <v>0</v>
      </c>
      <c r="N44" s="3">
        <f>N57*'Container Capacity Calculator'!Q51</f>
        <v>0</v>
      </c>
      <c r="O44" s="42">
        <f>O57*'Container Capacity Calculator'!R51</f>
        <v>0</v>
      </c>
    </row>
    <row r="45" spans="2:17" ht="15.75">
      <c r="B45" s="41" t="s">
        <v>368</v>
      </c>
      <c r="C45" s="3">
        <f>C58*'Container Capacity Calculator'!D52</f>
        <v>0</v>
      </c>
      <c r="D45" s="3">
        <f>D58*'Container Capacity Calculator'!E52</f>
        <v>0</v>
      </c>
      <c r="E45" s="42">
        <f>E58*'Container Capacity Calculator'!F52</f>
        <v>0</v>
      </c>
      <c r="F45" s="194"/>
      <c r="G45" s="41" t="s">
        <v>368</v>
      </c>
      <c r="H45" s="3">
        <f>H58*'Container Capacity Calculator'!J52</f>
        <v>0</v>
      </c>
      <c r="I45" s="3">
        <f>I58*'Container Capacity Calculator'!K52</f>
        <v>0</v>
      </c>
      <c r="J45" s="42">
        <f>J58*'Container Capacity Calculator'!L52</f>
        <v>0</v>
      </c>
      <c r="L45" s="41" t="s">
        <v>368</v>
      </c>
      <c r="M45" s="3">
        <f>M58*'Container Capacity Calculator'!P52</f>
        <v>0</v>
      </c>
      <c r="N45" s="3">
        <f>N58*'Container Capacity Calculator'!Q52</f>
        <v>0</v>
      </c>
      <c r="O45" s="42">
        <f>O58*'Container Capacity Calculator'!R52</f>
        <v>0</v>
      </c>
    </row>
    <row r="46" spans="2:17" ht="15.75">
      <c r="B46" s="41" t="s">
        <v>369</v>
      </c>
      <c r="C46" s="3">
        <f>C59*'Container Capacity Calculator'!D53</f>
        <v>0</v>
      </c>
      <c r="D46" s="3">
        <f>D59*'Container Capacity Calculator'!E53</f>
        <v>0</v>
      </c>
      <c r="E46" s="42">
        <f>E59*'Container Capacity Calculator'!F53</f>
        <v>0</v>
      </c>
      <c r="F46" s="194"/>
      <c r="G46" s="41" t="s">
        <v>369</v>
      </c>
      <c r="H46" s="3">
        <f>H59*'Container Capacity Calculator'!J53</f>
        <v>0</v>
      </c>
      <c r="I46" s="3">
        <f>I59*'Container Capacity Calculator'!K53</f>
        <v>0</v>
      </c>
      <c r="J46" s="42">
        <f>J59*'Container Capacity Calculator'!L53</f>
        <v>0</v>
      </c>
      <c r="L46" s="41" t="s">
        <v>369</v>
      </c>
      <c r="M46" s="3">
        <f>M59*'Container Capacity Calculator'!P53</f>
        <v>0</v>
      </c>
      <c r="N46" s="3">
        <f>N59*'Container Capacity Calculator'!Q53</f>
        <v>0</v>
      </c>
      <c r="O46" s="42">
        <f>O59*'Container Capacity Calculator'!R53</f>
        <v>0</v>
      </c>
    </row>
    <row r="47" spans="2:17" ht="15.75">
      <c r="B47" s="41" t="s">
        <v>370</v>
      </c>
      <c r="C47" s="3">
        <f>C60*'Container Capacity Calculator'!D54</f>
        <v>0</v>
      </c>
      <c r="D47" s="3">
        <f>D60*'Container Capacity Calculator'!E54</f>
        <v>0</v>
      </c>
      <c r="E47" s="42">
        <f>E60*'Container Capacity Calculator'!F54</f>
        <v>0</v>
      </c>
      <c r="F47" s="194"/>
      <c r="G47" s="41" t="s">
        <v>370</v>
      </c>
      <c r="H47" s="3">
        <f>H60*'Container Capacity Calculator'!J54</f>
        <v>0</v>
      </c>
      <c r="I47" s="3">
        <f>I60*'Container Capacity Calculator'!K54</f>
        <v>0</v>
      </c>
      <c r="J47" s="42">
        <f>J60*'Container Capacity Calculator'!L54</f>
        <v>0</v>
      </c>
      <c r="L47" s="41" t="s">
        <v>370</v>
      </c>
      <c r="M47" s="3">
        <f>M60*'Container Capacity Calculator'!P54</f>
        <v>0</v>
      </c>
      <c r="N47" s="3">
        <f>N60*'Container Capacity Calculator'!Q54</f>
        <v>0</v>
      </c>
      <c r="O47" s="42">
        <f>O60*'Container Capacity Calculator'!R54</f>
        <v>0</v>
      </c>
    </row>
    <row r="48" spans="2:17" ht="15.75">
      <c r="B48" s="700"/>
      <c r="C48" s="701"/>
      <c r="D48" s="701"/>
      <c r="E48" s="702"/>
      <c r="F48" s="194"/>
      <c r="G48" s="700"/>
      <c r="H48" s="701"/>
      <c r="I48" s="701"/>
      <c r="J48" s="702"/>
      <c r="L48" s="700"/>
      <c r="M48" s="701"/>
      <c r="N48" s="701"/>
      <c r="O48" s="702"/>
    </row>
    <row r="49" spans="2:15" ht="15.75">
      <c r="B49" s="43" t="s">
        <v>395</v>
      </c>
      <c r="C49" s="3">
        <f>C62*'Container Capacity Calculator'!D56</f>
        <v>0</v>
      </c>
      <c r="D49" s="3">
        <f>D62*'Container Capacity Calculator'!E56</f>
        <v>0</v>
      </c>
      <c r="E49" s="42">
        <f>E62*'Container Capacity Calculator'!F56</f>
        <v>0</v>
      </c>
      <c r="F49" s="194"/>
      <c r="G49" s="43" t="s">
        <v>395</v>
      </c>
      <c r="H49" s="3">
        <f>H62*'Container Capacity Calculator'!J56</f>
        <v>0</v>
      </c>
      <c r="I49" s="3">
        <f>I62*'Container Capacity Calculator'!K56</f>
        <v>0</v>
      </c>
      <c r="J49" s="42">
        <f>J62*'Container Capacity Calculator'!L56</f>
        <v>0</v>
      </c>
      <c r="L49" s="43" t="s">
        <v>395</v>
      </c>
      <c r="M49" s="3">
        <f>M62*'Container Capacity Calculator'!P56</f>
        <v>0</v>
      </c>
      <c r="N49" s="3">
        <f>N62*'Container Capacity Calculator'!Q56</f>
        <v>0</v>
      </c>
      <c r="O49" s="42">
        <f>O62*'Container Capacity Calculator'!R56</f>
        <v>0</v>
      </c>
    </row>
    <row r="50" spans="2:15" ht="15.75">
      <c r="B50" s="43" t="s">
        <v>396</v>
      </c>
      <c r="C50" s="3">
        <f>C63*'Container Capacity Calculator'!D57</f>
        <v>0</v>
      </c>
      <c r="D50" s="3">
        <f>D63*'Container Capacity Calculator'!E57</f>
        <v>0</v>
      </c>
      <c r="E50" s="42">
        <f>E63*'Container Capacity Calculator'!F57</f>
        <v>0</v>
      </c>
      <c r="F50" s="194"/>
      <c r="G50" s="43" t="s">
        <v>396</v>
      </c>
      <c r="H50" s="3">
        <f>H63*'Container Capacity Calculator'!J57</f>
        <v>0</v>
      </c>
      <c r="I50" s="3">
        <f>I63*'Container Capacity Calculator'!K57</f>
        <v>0</v>
      </c>
      <c r="J50" s="42">
        <f>J63*'Container Capacity Calculator'!L57</f>
        <v>0</v>
      </c>
      <c r="L50" s="43" t="s">
        <v>396</v>
      </c>
      <c r="M50" s="3">
        <f>M63*'Container Capacity Calculator'!P57</f>
        <v>0</v>
      </c>
      <c r="N50" s="3">
        <f>N63*'Container Capacity Calculator'!Q57</f>
        <v>0</v>
      </c>
      <c r="O50" s="42">
        <f>O63*'Container Capacity Calculator'!R57</f>
        <v>0</v>
      </c>
    </row>
    <row r="51" spans="2:15" ht="32.25" thickBot="1">
      <c r="B51" s="44" t="s">
        <v>374</v>
      </c>
      <c r="C51" s="45">
        <f>C64*'Container Capacity Calculator'!D58</f>
        <v>0</v>
      </c>
      <c r="D51" s="45">
        <f>D64*'Container Capacity Calculator'!E58</f>
        <v>0</v>
      </c>
      <c r="E51" s="46">
        <f>E64*'Container Capacity Calculator'!F58</f>
        <v>0</v>
      </c>
      <c r="F51" s="194"/>
      <c r="G51" s="44" t="s">
        <v>374</v>
      </c>
      <c r="H51" s="45">
        <f>H64*'Container Capacity Calculator'!J58</f>
        <v>0</v>
      </c>
      <c r="I51" s="45">
        <f>I64*'Container Capacity Calculator'!K58</f>
        <v>0</v>
      </c>
      <c r="J51" s="46">
        <f>J64*'Container Capacity Calculator'!L58</f>
        <v>0</v>
      </c>
      <c r="L51" s="44" t="s">
        <v>374</v>
      </c>
      <c r="M51" s="45">
        <f>M64*'Container Capacity Calculator'!P58</f>
        <v>0</v>
      </c>
      <c r="N51" s="45">
        <f>N64*'Container Capacity Calculator'!Q58</f>
        <v>0</v>
      </c>
      <c r="O51" s="46">
        <f>O64*'Container Capacity Calculator'!R58</f>
        <v>0</v>
      </c>
    </row>
    <row r="52" spans="2:15" ht="16.5" thickBot="1">
      <c r="B52" s="253"/>
      <c r="C52" s="217"/>
      <c r="D52" s="217"/>
      <c r="E52" s="217"/>
      <c r="F52" s="194"/>
      <c r="G52" s="375"/>
      <c r="H52" s="217"/>
      <c r="I52" s="217"/>
      <c r="J52" s="217"/>
      <c r="L52" s="375"/>
      <c r="M52" s="217"/>
      <c r="N52" s="217"/>
      <c r="O52" s="252"/>
    </row>
    <row r="53" spans="2:15" ht="16.5">
      <c r="B53" s="688" t="s">
        <v>400</v>
      </c>
      <c r="C53" s="689"/>
      <c r="D53" s="689"/>
      <c r="E53" s="690"/>
      <c r="F53" s="630"/>
      <c r="G53" s="691" t="s">
        <v>401</v>
      </c>
      <c r="H53" s="692"/>
      <c r="I53" s="692"/>
      <c r="J53" s="693"/>
      <c r="L53" s="706" t="s">
        <v>402</v>
      </c>
      <c r="M53" s="707"/>
      <c r="N53" s="707"/>
      <c r="O53" s="708"/>
    </row>
    <row r="54" spans="2:15">
      <c r="B54" s="39" t="s">
        <v>359</v>
      </c>
      <c r="C54" s="19" t="s">
        <v>393</v>
      </c>
      <c r="D54" s="19" t="s">
        <v>394</v>
      </c>
      <c r="E54" s="40" t="s">
        <v>362</v>
      </c>
      <c r="F54" s="630"/>
      <c r="G54" s="39" t="s">
        <v>359</v>
      </c>
      <c r="H54" s="19" t="s">
        <v>393</v>
      </c>
      <c r="I54" s="19" t="s">
        <v>394</v>
      </c>
      <c r="J54" s="40" t="s">
        <v>362</v>
      </c>
      <c r="L54" s="39" t="s">
        <v>359</v>
      </c>
      <c r="M54" s="19" t="s">
        <v>393</v>
      </c>
      <c r="N54" s="19" t="s">
        <v>394</v>
      </c>
      <c r="O54" s="40" t="s">
        <v>362</v>
      </c>
    </row>
    <row r="55" spans="2:15" ht="15.75">
      <c r="B55" s="41" t="s">
        <v>364</v>
      </c>
      <c r="C55" s="279">
        <v>14.4</v>
      </c>
      <c r="D55" s="279">
        <v>27.3</v>
      </c>
      <c r="E55" s="280">
        <v>55.8</v>
      </c>
      <c r="F55" s="630"/>
      <c r="G55" s="41" t="s">
        <v>364</v>
      </c>
      <c r="H55" s="279">
        <v>7.2</v>
      </c>
      <c r="I55" s="279">
        <v>13.65</v>
      </c>
      <c r="J55" s="280">
        <v>27.9</v>
      </c>
      <c r="L55" s="41" t="s">
        <v>364</v>
      </c>
      <c r="M55" s="279">
        <v>6.84</v>
      </c>
      <c r="N55" s="74">
        <v>12.967500000000001</v>
      </c>
      <c r="O55" s="75">
        <v>26.504999999999999</v>
      </c>
    </row>
    <row r="56" spans="2:15" ht="15.75">
      <c r="B56" s="41" t="s">
        <v>365</v>
      </c>
      <c r="C56" s="279">
        <v>20.399999999999999</v>
      </c>
      <c r="D56" s="279">
        <v>38.22</v>
      </c>
      <c r="E56" s="280">
        <v>78.11999999999999</v>
      </c>
      <c r="F56" s="630"/>
      <c r="G56" s="41" t="s">
        <v>365</v>
      </c>
      <c r="H56" s="279">
        <v>10.199999999999999</v>
      </c>
      <c r="I56" s="279">
        <v>19.11</v>
      </c>
      <c r="J56" s="280">
        <v>39.059999999999995</v>
      </c>
      <c r="L56" s="41" t="s">
        <v>365</v>
      </c>
      <c r="M56" s="279">
        <v>9.69</v>
      </c>
      <c r="N56" s="74">
        <v>18.154499999999999</v>
      </c>
      <c r="O56" s="75">
        <v>37.106999999999992</v>
      </c>
    </row>
    <row r="57" spans="2:15" ht="15.75">
      <c r="B57" s="41" t="s">
        <v>367</v>
      </c>
      <c r="C57" s="279">
        <f>C58*0.5</f>
        <v>69</v>
      </c>
      <c r="D57" s="279">
        <f t="shared" ref="D57:E57" si="2">D58*0.5</f>
        <v>126.14999999999999</v>
      </c>
      <c r="E57" s="280">
        <f t="shared" si="2"/>
        <v>167.4</v>
      </c>
      <c r="F57" s="630"/>
      <c r="G57" s="41" t="s">
        <v>367</v>
      </c>
      <c r="H57" s="279">
        <v>34.5</v>
      </c>
      <c r="I57" s="279">
        <v>63.074999999999996</v>
      </c>
      <c r="J57" s="280">
        <v>83.7</v>
      </c>
      <c r="L57" s="41" t="s">
        <v>367</v>
      </c>
      <c r="M57" s="279">
        <v>32.774999999999999</v>
      </c>
      <c r="N57" s="279">
        <v>59.921249999999993</v>
      </c>
      <c r="O57" s="75">
        <v>79.515000000000001</v>
      </c>
    </row>
    <row r="58" spans="2:15" ht="15.75">
      <c r="B58" s="41" t="s">
        <v>368</v>
      </c>
      <c r="C58" s="279">
        <v>138</v>
      </c>
      <c r="D58" s="279">
        <v>252.29999999999998</v>
      </c>
      <c r="E58" s="280">
        <v>334.8</v>
      </c>
      <c r="F58" s="630"/>
      <c r="G58" s="41" t="s">
        <v>368</v>
      </c>
      <c r="H58" s="279">
        <v>69</v>
      </c>
      <c r="I58" s="279">
        <v>126.14999999999999</v>
      </c>
      <c r="J58" s="280">
        <v>167.4</v>
      </c>
      <c r="L58" s="41" t="s">
        <v>368</v>
      </c>
      <c r="M58" s="279">
        <v>65.55</v>
      </c>
      <c r="N58" s="74">
        <v>119.84249999999999</v>
      </c>
      <c r="O58" s="75">
        <v>159.03</v>
      </c>
    </row>
    <row r="59" spans="2:15" ht="15.75">
      <c r="B59" s="41" t="s">
        <v>369</v>
      </c>
      <c r="C59" s="279">
        <v>144</v>
      </c>
      <c r="D59" s="279">
        <v>281.25</v>
      </c>
      <c r="E59" s="280">
        <v>382.8</v>
      </c>
      <c r="F59" s="630"/>
      <c r="G59" s="41" t="s">
        <v>369</v>
      </c>
      <c r="H59" s="279">
        <v>72</v>
      </c>
      <c r="I59" s="279">
        <v>140.625</v>
      </c>
      <c r="J59" s="280">
        <v>191.4</v>
      </c>
      <c r="L59" s="41" t="s">
        <v>369</v>
      </c>
      <c r="M59" s="279">
        <v>68.400000000000006</v>
      </c>
      <c r="N59" s="74">
        <v>133.59375</v>
      </c>
      <c r="O59" s="75">
        <v>181.83</v>
      </c>
    </row>
    <row r="60" spans="2:15" ht="15.75">
      <c r="B60" s="41" t="s">
        <v>370</v>
      </c>
      <c r="C60" s="279">
        <v>156</v>
      </c>
      <c r="D60" s="279">
        <v>310.2</v>
      </c>
      <c r="E60" s="280">
        <v>430.8</v>
      </c>
      <c r="F60" s="630"/>
      <c r="G60" s="41" t="s">
        <v>370</v>
      </c>
      <c r="H60" s="279">
        <v>78</v>
      </c>
      <c r="I60" s="279">
        <v>155.1</v>
      </c>
      <c r="J60" s="280">
        <v>215.4</v>
      </c>
      <c r="L60" s="41" t="s">
        <v>370</v>
      </c>
      <c r="M60" s="279">
        <v>74.099999999999994</v>
      </c>
      <c r="N60" s="74">
        <v>147.345</v>
      </c>
      <c r="O60" s="75">
        <v>204.63</v>
      </c>
    </row>
    <row r="61" spans="2:15" ht="15.75">
      <c r="B61" s="697"/>
      <c r="C61" s="698"/>
      <c r="D61" s="698"/>
      <c r="E61" s="699"/>
      <c r="F61" s="630"/>
      <c r="G61" s="697"/>
      <c r="H61" s="698"/>
      <c r="I61" s="698"/>
      <c r="J61" s="699"/>
      <c r="L61" s="697"/>
      <c r="M61" s="698"/>
      <c r="N61" s="698"/>
      <c r="O61" s="699"/>
    </row>
    <row r="62" spans="2:15" ht="15.75">
      <c r="B62" s="43" t="s">
        <v>395</v>
      </c>
      <c r="C62" s="279">
        <v>175</v>
      </c>
      <c r="D62" s="279">
        <v>210</v>
      </c>
      <c r="E62" s="280">
        <v>416.7</v>
      </c>
      <c r="F62" s="630"/>
      <c r="G62" s="43" t="s">
        <v>395</v>
      </c>
      <c r="H62" s="279">
        <v>87.5</v>
      </c>
      <c r="I62" s="279">
        <v>105</v>
      </c>
      <c r="J62" s="280">
        <v>208.35</v>
      </c>
      <c r="L62" s="43" t="s">
        <v>395</v>
      </c>
      <c r="M62" s="279">
        <v>83.125</v>
      </c>
      <c r="N62" s="74">
        <v>99.75</v>
      </c>
      <c r="O62" s="75">
        <v>197.9325</v>
      </c>
    </row>
    <row r="63" spans="2:15" ht="15.75">
      <c r="B63" s="43" t="s">
        <v>396</v>
      </c>
      <c r="C63" s="279">
        <v>233.5</v>
      </c>
      <c r="D63" s="279">
        <v>280.2</v>
      </c>
      <c r="E63" s="280">
        <v>562.79999999999995</v>
      </c>
      <c r="F63" s="630"/>
      <c r="G63" s="43" t="s">
        <v>396</v>
      </c>
      <c r="H63" s="279">
        <v>116.75</v>
      </c>
      <c r="I63" s="279">
        <v>140.1</v>
      </c>
      <c r="J63" s="280">
        <v>281.39999999999998</v>
      </c>
      <c r="L63" s="43" t="s">
        <v>396</v>
      </c>
      <c r="M63" s="279">
        <v>110.91249999999999</v>
      </c>
      <c r="N63" s="74">
        <v>133.095</v>
      </c>
      <c r="O63" s="75">
        <v>267.33</v>
      </c>
    </row>
    <row r="64" spans="2:15" ht="32.25" thickBot="1">
      <c r="B64" s="44" t="s">
        <v>374</v>
      </c>
      <c r="C64" s="281">
        <v>303.55</v>
      </c>
      <c r="D64" s="281">
        <v>364.26</v>
      </c>
      <c r="E64" s="282">
        <v>731.64</v>
      </c>
      <c r="F64" s="630"/>
      <c r="G64" s="44" t="s">
        <v>374</v>
      </c>
      <c r="H64" s="281">
        <v>151.77500000000001</v>
      </c>
      <c r="I64" s="281">
        <v>182.13</v>
      </c>
      <c r="J64" s="282">
        <v>365.82</v>
      </c>
      <c r="L64" s="44" t="s">
        <v>374</v>
      </c>
      <c r="M64" s="281">
        <v>144.18625</v>
      </c>
      <c r="N64" s="281">
        <v>173.02349999999998</v>
      </c>
      <c r="O64" s="282">
        <v>347.529</v>
      </c>
    </row>
    <row r="65" spans="2:15" ht="60" customHeight="1" thickBot="1">
      <c r="B65" s="109"/>
      <c r="C65" s="110"/>
      <c r="D65" s="254"/>
      <c r="E65" s="110"/>
      <c r="F65" s="110"/>
      <c r="G65" s="110"/>
      <c r="H65" s="110"/>
      <c r="I65" s="110"/>
      <c r="J65" s="110"/>
      <c r="K65" s="110"/>
      <c r="L65" s="523" t="s">
        <v>403</v>
      </c>
      <c r="M65" s="523"/>
      <c r="N65" s="523"/>
      <c r="O65" s="524"/>
    </row>
    <row r="66" spans="2:15">
      <c r="D66" s="192"/>
    </row>
  </sheetData>
  <sheetProtection sheet="1" objects="1" scenarios="1" formatColumns="0" formatRows="0"/>
  <mergeCells count="36">
    <mergeCell ref="L65:O65"/>
    <mergeCell ref="L53:O53"/>
    <mergeCell ref="L27:O27"/>
    <mergeCell ref="G61:J61"/>
    <mergeCell ref="L61:O61"/>
    <mergeCell ref="L48:O48"/>
    <mergeCell ref="G48:J48"/>
    <mergeCell ref="L8:O8"/>
    <mergeCell ref="L10:O10"/>
    <mergeCell ref="B14:O14"/>
    <mergeCell ref="B12:E12"/>
    <mergeCell ref="B48:E48"/>
    <mergeCell ref="F27:F38"/>
    <mergeCell ref="B16:D16"/>
    <mergeCell ref="B35:E35"/>
    <mergeCell ref="G12:J12"/>
    <mergeCell ref="L12:O12"/>
    <mergeCell ref="G35:J35"/>
    <mergeCell ref="L35:O35"/>
    <mergeCell ref="B19:E19"/>
    <mergeCell ref="G19:J19"/>
    <mergeCell ref="B18:O18"/>
    <mergeCell ref="L40:O40"/>
    <mergeCell ref="B4:J4"/>
    <mergeCell ref="B53:E53"/>
    <mergeCell ref="G53:J53"/>
    <mergeCell ref="G27:J27"/>
    <mergeCell ref="B27:E27"/>
    <mergeCell ref="F53:F64"/>
    <mergeCell ref="B8:E8"/>
    <mergeCell ref="B10:E10"/>
    <mergeCell ref="G8:J8"/>
    <mergeCell ref="G10:J10"/>
    <mergeCell ref="B40:E40"/>
    <mergeCell ref="G40:J40"/>
    <mergeCell ref="B61:E61"/>
  </mergeCells>
  <conditionalFormatting sqref="C29:E34">
    <cfRule type="expression" dxfId="13" priority="12">
      <formula>C29=MIN($C$29:$E$34)</formula>
    </cfRule>
  </conditionalFormatting>
  <conditionalFormatting sqref="C36:E38">
    <cfRule type="expression" dxfId="12" priority="11">
      <formula>C36=MIN($C$36:$E$38)</formula>
    </cfRule>
  </conditionalFormatting>
  <conditionalFormatting sqref="C42:E47">
    <cfRule type="expression" dxfId="11" priority="10">
      <formula>C42=MIN($C$42:$E$47)</formula>
    </cfRule>
  </conditionalFormatting>
  <conditionalFormatting sqref="C49:E51">
    <cfRule type="expression" dxfId="10" priority="9">
      <formula>C49=MIN($C$49:$E$51)</formula>
    </cfRule>
  </conditionalFormatting>
  <conditionalFormatting sqref="H29:J34">
    <cfRule type="expression" dxfId="9" priority="5">
      <formula>H29=MIN($H$29:$L$34)</formula>
    </cfRule>
  </conditionalFormatting>
  <conditionalFormatting sqref="H36:J38">
    <cfRule type="expression" dxfId="8" priority="6">
      <formula>H36=MIN($H$36:$L$38)</formula>
    </cfRule>
  </conditionalFormatting>
  <conditionalFormatting sqref="H42:J47">
    <cfRule type="expression" dxfId="7" priority="7">
      <formula>H42=MIN($H$42:$L$47)</formula>
    </cfRule>
  </conditionalFormatting>
  <conditionalFormatting sqref="H49:J51">
    <cfRule type="expression" dxfId="6" priority="8">
      <formula>H49=MIN($H$49:$L$51)</formula>
    </cfRule>
  </conditionalFormatting>
  <conditionalFormatting sqref="M29:O34">
    <cfRule type="expression" dxfId="5" priority="4">
      <formula>M29=MIN($M$29:$O$34)</formula>
    </cfRule>
  </conditionalFormatting>
  <conditionalFormatting sqref="M36:O38">
    <cfRule type="expression" dxfId="4" priority="3">
      <formula>M36=MIN($M$36:$O$38)</formula>
    </cfRule>
  </conditionalFormatting>
  <conditionalFormatting sqref="M42:O47">
    <cfRule type="expression" dxfId="3" priority="2">
      <formula>M42=MIN($M$42:$O$47)</formula>
    </cfRule>
  </conditionalFormatting>
  <conditionalFormatting sqref="M49:O51">
    <cfRule type="expression" dxfId="2" priority="1">
      <formula>M49=MIN($M$49:$O$51)</formula>
    </cfRule>
  </conditionalFormatting>
  <hyperlinks>
    <hyperlink ref="B16" location="'Toolkit Instructions'!A1" display="Click here to return to the Toolkit Instructions" xr:uid="{B9AF6E3F-EFCD-4288-B3A8-281363DA2116}"/>
    <hyperlink ref="B16:D16" location="'User Manual'!A1" display="Click here to return to the Toolkit Instructions" xr:uid="{D8AE0F73-7425-48F9-B1DA-B16BB97B5FF5}"/>
  </hyperlinks>
  <pageMargins left="0.7" right="0.7" top="0.75" bottom="0.75" header="0.3" footer="0.3"/>
  <pageSetup scale="56"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10B3A-A8B3-4B6F-BF73-720A2BE86707}">
  <sheetPr>
    <tabColor rgb="FF7030A0"/>
  </sheetPr>
  <dimension ref="A1:L120"/>
  <sheetViews>
    <sheetView topLeftCell="A18" zoomScaleNormal="100" workbookViewId="0">
      <selection activeCell="B42" sqref="B42"/>
    </sheetView>
  </sheetViews>
  <sheetFormatPr defaultColWidth="9.140625" defaultRowHeight="15"/>
  <cols>
    <col min="1" max="1" width="1.5703125" style="5" customWidth="1"/>
    <col min="2" max="2" width="51.85546875" style="5" customWidth="1"/>
    <col min="3" max="3" width="19.5703125" style="5" bestFit="1" customWidth="1"/>
    <col min="4" max="4" width="16.140625" style="5" customWidth="1"/>
    <col min="5" max="5" width="19.140625" style="5" customWidth="1"/>
    <col min="6" max="6" width="9.140625" style="5"/>
    <col min="7" max="7" width="32.140625" style="5" customWidth="1"/>
    <col min="8" max="10" width="9.140625" style="5"/>
    <col min="11" max="11" width="33.7109375" style="5" bestFit="1" customWidth="1"/>
    <col min="12" max="12" width="8.85546875" style="124" bestFit="1" customWidth="1"/>
    <col min="13" max="13" width="10.140625" style="5" bestFit="1" customWidth="1"/>
    <col min="14" max="16384" width="9.140625" style="5"/>
  </cols>
  <sheetData>
    <row r="1" spans="1:5">
      <c r="A1" s="4" t="str" cm="1">
        <f t="array" aca="1" ref="A1" ca="1">RIGHT(CELL("filename",A1),LEN(CELL("filename",A1))-SEARCH("]",CELL("filename",A1)))</f>
        <v>Financial Calculator</v>
      </c>
    </row>
    <row r="2" spans="1:5">
      <c r="B2" s="4"/>
    </row>
    <row r="3" spans="1:5">
      <c r="A3" s="4" t="s">
        <v>72</v>
      </c>
    </row>
    <row r="4" spans="1:5" ht="78" customHeight="1">
      <c r="B4" s="500" t="s">
        <v>404</v>
      </c>
      <c r="C4" s="500"/>
      <c r="D4" s="500"/>
      <c r="E4" s="500"/>
    </row>
    <row r="6" spans="1:5">
      <c r="A6" s="4" t="s">
        <v>127</v>
      </c>
    </row>
    <row r="7" spans="1:5">
      <c r="A7" s="4"/>
      <c r="B7" s="125" t="s">
        <v>405</v>
      </c>
    </row>
    <row r="8" spans="1:5" ht="35.25" customHeight="1">
      <c r="A8" s="4"/>
      <c r="B8" s="537" t="s">
        <v>640</v>
      </c>
      <c r="C8" s="537"/>
      <c r="D8" s="537"/>
      <c r="E8" s="537"/>
    </row>
    <row r="9" spans="1:5">
      <c r="A9" s="4"/>
      <c r="B9" s="4"/>
    </row>
    <row r="10" spans="1:5" ht="31.5" customHeight="1">
      <c r="A10" s="4"/>
      <c r="B10" s="537" t="s">
        <v>641</v>
      </c>
      <c r="C10" s="537"/>
      <c r="D10" s="537"/>
      <c r="E10" s="537"/>
    </row>
    <row r="11" spans="1:5">
      <c r="A11" s="4"/>
      <c r="B11" s="4"/>
    </row>
    <row r="12" spans="1:5" ht="30.75" customHeight="1">
      <c r="A12" s="4"/>
      <c r="B12" s="537" t="s">
        <v>642</v>
      </c>
      <c r="C12" s="537"/>
      <c r="D12" s="537"/>
      <c r="E12" s="537"/>
    </row>
    <row r="13" spans="1:5">
      <c r="A13" s="4"/>
      <c r="B13" s="4"/>
    </row>
    <row r="14" spans="1:5" ht="63" customHeight="1">
      <c r="A14" s="4"/>
      <c r="B14" s="537" t="s">
        <v>643</v>
      </c>
      <c r="C14" s="537"/>
      <c r="D14" s="537"/>
      <c r="E14" s="537"/>
    </row>
    <row r="15" spans="1:5">
      <c r="A15" s="4"/>
      <c r="B15" s="78"/>
      <c r="C15" s="78"/>
      <c r="D15" s="78"/>
      <c r="E15" s="78"/>
    </row>
    <row r="16" spans="1:5" ht="46.5" customHeight="1">
      <c r="A16" s="4"/>
      <c r="B16" s="537" t="s">
        <v>663</v>
      </c>
      <c r="C16" s="537"/>
      <c r="D16" s="537"/>
      <c r="E16" s="537"/>
    </row>
    <row r="18" spans="2:5" ht="64.5" customHeight="1">
      <c r="B18" s="552" t="s">
        <v>644</v>
      </c>
      <c r="C18" s="552"/>
      <c r="D18" s="552"/>
      <c r="E18" s="552"/>
    </row>
    <row r="19" spans="2:5" ht="15" customHeight="1">
      <c r="B19" s="70"/>
      <c r="C19" s="70"/>
      <c r="D19" s="70"/>
      <c r="E19" s="70"/>
    </row>
    <row r="20" spans="2:5" ht="30.75" customHeight="1">
      <c r="B20" s="537" t="s">
        <v>645</v>
      </c>
      <c r="C20" s="537"/>
      <c r="D20" s="537"/>
      <c r="E20" s="537"/>
    </row>
    <row r="22" spans="2:5">
      <c r="B22" s="125" t="s">
        <v>406</v>
      </c>
    </row>
    <row r="23" spans="2:5" ht="30" customHeight="1">
      <c r="B23" s="537" t="s">
        <v>646</v>
      </c>
      <c r="C23" s="537"/>
      <c r="D23" s="537"/>
      <c r="E23" s="537"/>
    </row>
    <row r="25" spans="2:5">
      <c r="B25" s="537" t="s">
        <v>407</v>
      </c>
      <c r="C25" s="537"/>
      <c r="D25" s="537"/>
      <c r="E25" s="537"/>
    </row>
    <row r="27" spans="2:5">
      <c r="B27" s="537" t="s">
        <v>408</v>
      </c>
      <c r="C27" s="537"/>
      <c r="D27" s="537"/>
      <c r="E27" s="537"/>
    </row>
    <row r="29" spans="2:5">
      <c r="B29" s="537" t="s">
        <v>409</v>
      </c>
      <c r="C29" s="537"/>
      <c r="D29" s="537"/>
      <c r="E29" s="537"/>
    </row>
    <row r="31" spans="2:5">
      <c r="B31" s="537" t="s">
        <v>410</v>
      </c>
      <c r="C31" s="537"/>
      <c r="D31" s="537"/>
      <c r="E31" s="537"/>
    </row>
    <row r="33" spans="1:5">
      <c r="A33" s="4"/>
      <c r="B33" s="537" t="s">
        <v>411</v>
      </c>
      <c r="C33" s="537"/>
      <c r="D33" s="537"/>
      <c r="E33" s="537"/>
    </row>
    <row r="34" spans="1:5">
      <c r="A34" s="4"/>
    </row>
    <row r="35" spans="1:5">
      <c r="A35" s="4"/>
      <c r="B35" s="537" t="s">
        <v>412</v>
      </c>
      <c r="C35" s="537"/>
      <c r="D35" s="537"/>
      <c r="E35" s="537"/>
    </row>
    <row r="36" spans="1:5">
      <c r="A36" s="4"/>
    </row>
    <row r="37" spans="1:5">
      <c r="B37" s="537" t="s">
        <v>413</v>
      </c>
      <c r="C37" s="537"/>
      <c r="D37" s="537"/>
      <c r="E37" s="537"/>
    </row>
    <row r="38" spans="1:5">
      <c r="B38" s="4"/>
    </row>
    <row r="39" spans="1:5">
      <c r="B39" s="125" t="s">
        <v>414</v>
      </c>
    </row>
    <row r="40" spans="1:5" ht="28.5" customHeight="1">
      <c r="B40" s="564" t="s">
        <v>647</v>
      </c>
      <c r="C40" s="564"/>
      <c r="D40" s="564"/>
      <c r="E40" s="564"/>
    </row>
    <row r="41" spans="1:5" ht="15" customHeight="1">
      <c r="B41" s="70"/>
      <c r="C41" s="70"/>
      <c r="D41" s="70"/>
      <c r="E41" s="70"/>
    </row>
    <row r="42" spans="1:5" ht="15" customHeight="1">
      <c r="B42" s="137" t="s">
        <v>125</v>
      </c>
      <c r="C42" s="70"/>
      <c r="D42" s="70"/>
      <c r="E42" s="70"/>
    </row>
    <row r="43" spans="1:5" ht="15.75" thickBot="1">
      <c r="B43" s="4"/>
    </row>
    <row r="44" spans="1:5" ht="27" thickBot="1">
      <c r="B44" s="670" t="s">
        <v>415</v>
      </c>
      <c r="C44" s="671"/>
      <c r="D44" s="671"/>
      <c r="E44" s="718"/>
    </row>
    <row r="45" spans="1:5" ht="26.25">
      <c r="B45" s="567" t="s">
        <v>416</v>
      </c>
      <c r="C45" s="569"/>
      <c r="D45" s="489"/>
      <c r="E45" s="490"/>
    </row>
    <row r="46" spans="1:5">
      <c r="B46" s="721" t="s">
        <v>417</v>
      </c>
      <c r="C46" s="722"/>
      <c r="D46" s="489"/>
      <c r="E46" s="490"/>
    </row>
    <row r="47" spans="1:5">
      <c r="B47" s="47" t="s">
        <v>418</v>
      </c>
      <c r="C47" s="258">
        <f>D62</f>
        <v>0</v>
      </c>
      <c r="D47" s="489"/>
      <c r="E47" s="490"/>
    </row>
    <row r="48" spans="1:5">
      <c r="B48" s="47" t="s">
        <v>419</v>
      </c>
      <c r="C48" s="258">
        <f>D67</f>
        <v>0</v>
      </c>
      <c r="D48" s="489"/>
      <c r="E48" s="490"/>
    </row>
    <row r="49" spans="2:6">
      <c r="B49" s="47" t="s">
        <v>420</v>
      </c>
      <c r="C49" s="258">
        <f>D69</f>
        <v>0</v>
      </c>
      <c r="D49" s="489"/>
      <c r="E49" s="490"/>
    </row>
    <row r="50" spans="2:6">
      <c r="B50" s="47" t="s">
        <v>421</v>
      </c>
      <c r="C50" s="258">
        <f>C120</f>
        <v>0</v>
      </c>
      <c r="D50" s="489"/>
      <c r="E50" s="490"/>
    </row>
    <row r="51" spans="2:6">
      <c r="B51" s="47" t="s">
        <v>422</v>
      </c>
      <c r="C51" s="259">
        <f>C49+C50</f>
        <v>0</v>
      </c>
      <c r="D51" s="489"/>
      <c r="E51" s="490"/>
    </row>
    <row r="52" spans="2:6">
      <c r="B52" s="721" t="s">
        <v>423</v>
      </c>
      <c r="C52" s="722"/>
      <c r="D52" s="489"/>
      <c r="E52" s="490"/>
    </row>
    <row r="53" spans="2:6">
      <c r="B53" s="47" t="s">
        <v>423</v>
      </c>
      <c r="C53" s="258">
        <f>C79</f>
        <v>-4160</v>
      </c>
      <c r="D53" s="489"/>
      <c r="E53" s="490"/>
    </row>
    <row r="54" spans="2:6">
      <c r="B54" s="47" t="s">
        <v>424</v>
      </c>
      <c r="C54" s="258">
        <f>C84</f>
        <v>0</v>
      </c>
      <c r="D54" s="489"/>
      <c r="E54" s="490"/>
    </row>
    <row r="55" spans="2:6" ht="15.75" thickBot="1">
      <c r="B55" s="232" t="s">
        <v>425</v>
      </c>
      <c r="C55" s="260" t="str">
        <f>C85</f>
        <v>N/A - No Revenue</v>
      </c>
      <c r="D55" s="489"/>
      <c r="E55" s="490"/>
    </row>
    <row r="56" spans="2:6" ht="15.75" thickBot="1">
      <c r="B56" s="107"/>
      <c r="E56" s="131"/>
    </row>
    <row r="57" spans="2:6">
      <c r="B57" s="730" t="s">
        <v>426</v>
      </c>
      <c r="C57" s="731"/>
      <c r="D57" s="732"/>
      <c r="E57" s="131"/>
    </row>
    <row r="58" spans="2:6">
      <c r="B58" s="47"/>
      <c r="C58" s="12" t="s">
        <v>427</v>
      </c>
      <c r="D58" s="50" t="s">
        <v>428</v>
      </c>
      <c r="E58" s="131"/>
    </row>
    <row r="59" spans="2:6">
      <c r="B59" s="47" t="s">
        <v>429</v>
      </c>
      <c r="C59" s="283"/>
      <c r="D59" s="264">
        <f>C59*12</f>
        <v>0</v>
      </c>
      <c r="E59" s="131"/>
    </row>
    <row r="60" spans="2:6">
      <c r="B60" s="47" t="s">
        <v>430</v>
      </c>
      <c r="C60" s="283"/>
      <c r="D60" s="264">
        <f>C60*12</f>
        <v>0</v>
      </c>
      <c r="E60" s="131"/>
    </row>
    <row r="61" spans="2:6">
      <c r="B61" s="47" t="s">
        <v>431</v>
      </c>
      <c r="C61" s="283"/>
      <c r="D61" s="264">
        <f>C61*12</f>
        <v>0</v>
      </c>
      <c r="E61" s="131"/>
      <c r="F61"/>
    </row>
    <row r="62" spans="2:6">
      <c r="B62" s="49" t="s">
        <v>432</v>
      </c>
      <c r="C62" s="11">
        <f>SUM(C59:C61)</f>
        <v>0</v>
      </c>
      <c r="D62" s="265">
        <f>SUM(D59:D61)</f>
        <v>0</v>
      </c>
      <c r="E62" s="131"/>
    </row>
    <row r="63" spans="2:6">
      <c r="B63" s="47"/>
      <c r="C63" s="3"/>
      <c r="D63" s="42"/>
      <c r="E63" s="131"/>
    </row>
    <row r="64" spans="2:6">
      <c r="B64" s="47" t="s">
        <v>433</v>
      </c>
      <c r="C64" s="283"/>
      <c r="D64" s="264">
        <f>C64*12</f>
        <v>0</v>
      </c>
      <c r="E64" s="131"/>
    </row>
    <row r="65" spans="2:5">
      <c r="B65" s="47" t="s">
        <v>434</v>
      </c>
      <c r="C65" s="283"/>
      <c r="D65" s="264">
        <f>C65*12</f>
        <v>0</v>
      </c>
      <c r="E65" s="131"/>
    </row>
    <row r="66" spans="2:5">
      <c r="B66" s="47" t="s">
        <v>435</v>
      </c>
      <c r="C66" s="283"/>
      <c r="D66" s="264">
        <f>C66*12</f>
        <v>0</v>
      </c>
      <c r="E66" s="131"/>
    </row>
    <row r="67" spans="2:5">
      <c r="B67" s="49" t="s">
        <v>436</v>
      </c>
      <c r="C67" s="11">
        <f>SUM(C64:C66)</f>
        <v>0</v>
      </c>
      <c r="D67" s="265">
        <f>SUM(D64:D66)</f>
        <v>0</v>
      </c>
      <c r="E67" s="131"/>
    </row>
    <row r="68" spans="2:5">
      <c r="B68" s="47"/>
      <c r="C68" s="3"/>
      <c r="D68" s="42"/>
      <c r="E68" s="131"/>
    </row>
    <row r="69" spans="2:5" ht="15.75" thickBot="1">
      <c r="B69" s="262" t="s">
        <v>437</v>
      </c>
      <c r="C69" s="266">
        <f>C67-C62</f>
        <v>0</v>
      </c>
      <c r="D69" s="267">
        <f>D67-D62</f>
        <v>0</v>
      </c>
      <c r="E69" s="131"/>
    </row>
    <row r="70" spans="2:5" ht="15.75" thickBot="1">
      <c r="B70" s="733"/>
      <c r="C70" s="630"/>
      <c r="E70" s="131"/>
    </row>
    <row r="71" spans="2:5">
      <c r="B71" s="730" t="s">
        <v>438</v>
      </c>
      <c r="C71" s="731"/>
      <c r="D71" s="731"/>
      <c r="E71" s="732"/>
    </row>
    <row r="72" spans="2:5" ht="15" customHeight="1">
      <c r="B72" s="728" t="s">
        <v>439</v>
      </c>
      <c r="C72" s="729"/>
      <c r="E72" s="132"/>
    </row>
    <row r="73" spans="2:5">
      <c r="B73" s="47" t="s">
        <v>440</v>
      </c>
      <c r="C73" s="394">
        <f>D69</f>
        <v>0</v>
      </c>
      <c r="D73" s="399"/>
      <c r="E73" s="132"/>
    </row>
    <row r="74" spans="2:5" ht="15" customHeight="1">
      <c r="B74" s="47" t="s">
        <v>441</v>
      </c>
      <c r="C74" s="74">
        <f>-(2080*20*0.1)</f>
        <v>-4160</v>
      </c>
      <c r="D74" s="719" t="s">
        <v>664</v>
      </c>
      <c r="E74" s="720"/>
    </row>
    <row r="75" spans="2:5">
      <c r="B75" s="47" t="s">
        <v>442</v>
      </c>
      <c r="C75" s="283"/>
      <c r="D75" s="719"/>
      <c r="E75" s="720"/>
    </row>
    <row r="76" spans="2:5">
      <c r="B76" s="47" t="s">
        <v>443</v>
      </c>
      <c r="C76" s="283"/>
      <c r="D76" s="719"/>
      <c r="E76" s="720"/>
    </row>
    <row r="77" spans="2:5">
      <c r="B77" s="47" t="s">
        <v>444</v>
      </c>
      <c r="C77" s="283"/>
      <c r="D77" s="719"/>
      <c r="E77" s="720"/>
    </row>
    <row r="78" spans="2:5">
      <c r="B78" s="47" t="s">
        <v>445</v>
      </c>
      <c r="C78" s="283"/>
      <c r="D78" s="719"/>
      <c r="E78" s="720"/>
    </row>
    <row r="79" spans="2:5">
      <c r="B79" s="49" t="s">
        <v>446</v>
      </c>
      <c r="C79" s="11">
        <f>SUM(C73:C78)</f>
        <v>-4160</v>
      </c>
      <c r="D79" s="719"/>
      <c r="E79" s="720"/>
    </row>
    <row r="80" spans="2:5">
      <c r="B80" s="726" t="s">
        <v>424</v>
      </c>
      <c r="C80" s="727"/>
      <c r="E80" s="131"/>
    </row>
    <row r="81" spans="2:5">
      <c r="B81" s="47" t="s">
        <v>447</v>
      </c>
      <c r="C81" s="395"/>
      <c r="E81" s="131"/>
    </row>
    <row r="82" spans="2:5">
      <c r="B82" s="47" t="s">
        <v>448</v>
      </c>
      <c r="C82" s="396"/>
      <c r="E82" s="131"/>
    </row>
    <row r="83" spans="2:5">
      <c r="B83" s="47" t="s">
        <v>449</v>
      </c>
      <c r="C83" s="397">
        <f>C81*C82</f>
        <v>0</v>
      </c>
      <c r="E83" s="131"/>
    </row>
    <row r="84" spans="2:5">
      <c r="B84" s="49" t="s">
        <v>450</v>
      </c>
      <c r="C84" s="11">
        <f>C83*12</f>
        <v>0</v>
      </c>
      <c r="E84" s="131"/>
    </row>
    <row r="85" spans="2:5">
      <c r="B85" s="49" t="s">
        <v>451</v>
      </c>
      <c r="C85" s="398" t="str">
        <f>IFERROR(C79/C84,"N/A - No Revenue")</f>
        <v>N/A - No Revenue</v>
      </c>
      <c r="E85" s="131"/>
    </row>
    <row r="86" spans="2:5" ht="15.75" thickBot="1">
      <c r="B86" s="734"/>
      <c r="C86" s="631"/>
      <c r="D86" s="110"/>
      <c r="E86" s="156"/>
    </row>
    <row r="87" spans="2:5">
      <c r="B87" s="712" t="s">
        <v>452</v>
      </c>
      <c r="C87" s="713"/>
      <c r="D87" s="713"/>
      <c r="E87" s="714"/>
    </row>
    <row r="88" spans="2:5" ht="46.5" customHeight="1">
      <c r="B88" s="83" t="s">
        <v>283</v>
      </c>
      <c r="C88" s="16" t="s">
        <v>453</v>
      </c>
      <c r="D88" s="16" t="s">
        <v>454</v>
      </c>
      <c r="E88" s="34" t="s">
        <v>455</v>
      </c>
    </row>
    <row r="89" spans="2:5">
      <c r="B89" s="120" t="str">
        <f>'Waste Composition'!B48</f>
        <v>Cardboard</v>
      </c>
      <c r="C89" s="316">
        <f>'Waste Composition'!D48+'Waste Composition'!L48+'Waste Composition'!T48</f>
        <v>0</v>
      </c>
      <c r="D89" s="316">
        <f>'Waste Composition'!H48+'Waste Composition'!P48+'Waste Composition'!X48</f>
        <v>0</v>
      </c>
      <c r="E89" s="54">
        <f t="shared" ref="E89:E117" si="0">C89-D89</f>
        <v>0</v>
      </c>
    </row>
    <row r="90" spans="2:5">
      <c r="B90" s="120" t="str">
        <f>'Waste Composition'!B49</f>
        <v>Mixed Paper</v>
      </c>
      <c r="C90" s="316">
        <f>'Waste Composition'!D49+'Waste Composition'!L49+'Waste Composition'!T49</f>
        <v>0</v>
      </c>
      <c r="D90" s="316">
        <f>'Waste Composition'!H49+'Waste Composition'!P49+'Waste Composition'!X49</f>
        <v>0</v>
      </c>
      <c r="E90" s="54">
        <f t="shared" si="0"/>
        <v>0</v>
      </c>
    </row>
    <row r="91" spans="2:5">
      <c r="B91" s="120" t="str">
        <f>'Waste Composition'!B50</f>
        <v>Office Paper</v>
      </c>
      <c r="C91" s="316">
        <f>'Waste Composition'!D50+'Waste Composition'!L50+'Waste Composition'!T50</f>
        <v>0</v>
      </c>
      <c r="D91" s="316">
        <f>'Waste Composition'!H50+'Waste Composition'!P50+'Waste Composition'!X50</f>
        <v>0</v>
      </c>
      <c r="E91" s="54">
        <f t="shared" si="0"/>
        <v>0</v>
      </c>
    </row>
    <row r="92" spans="2:5">
      <c r="B92" s="120" t="str">
        <f>'Waste Composition'!B51</f>
        <v>Plastic #1 PET</v>
      </c>
      <c r="C92" s="316">
        <f>'Waste Composition'!D51+'Waste Composition'!L51+'Waste Composition'!T51</f>
        <v>0</v>
      </c>
      <c r="D92" s="316">
        <f>'Waste Composition'!H51+'Waste Composition'!P51+'Waste Composition'!X51</f>
        <v>0</v>
      </c>
      <c r="E92" s="54">
        <f t="shared" si="0"/>
        <v>0</v>
      </c>
    </row>
    <row r="93" spans="2:5">
      <c r="B93" s="120" t="str">
        <f>'Waste Composition'!B52</f>
        <v>Plastic #2 HDPE</v>
      </c>
      <c r="C93" s="316">
        <f>'Waste Composition'!D52+'Waste Composition'!L52+'Waste Composition'!T52</f>
        <v>0</v>
      </c>
      <c r="D93" s="316">
        <f>'Waste Composition'!H52+'Waste Composition'!P52+'Waste Composition'!X52</f>
        <v>0</v>
      </c>
      <c r="E93" s="54">
        <f t="shared" si="0"/>
        <v>0</v>
      </c>
    </row>
    <row r="94" spans="2:5">
      <c r="B94" s="120" t="str">
        <f>'Waste Composition'!B53</f>
        <v>Plastic #5 PP</v>
      </c>
      <c r="C94" s="316">
        <f>'Waste Composition'!D53+'Waste Composition'!L53+'Waste Composition'!T53</f>
        <v>0</v>
      </c>
      <c r="D94" s="316">
        <f>'Waste Composition'!H53+'Waste Composition'!P53+'Waste Composition'!X53</f>
        <v>0</v>
      </c>
      <c r="E94" s="54">
        <f t="shared" si="0"/>
        <v>0</v>
      </c>
    </row>
    <row r="95" spans="2:5">
      <c r="B95" s="120" t="str">
        <f>'Waste Composition'!B54</f>
        <v>Plastic #3-7 Mixed</v>
      </c>
      <c r="C95" s="316">
        <f>'Waste Composition'!D54+'Waste Composition'!L54+'Waste Composition'!T54</f>
        <v>0</v>
      </c>
      <c r="D95" s="316">
        <f>'Waste Composition'!H54+'Waste Composition'!P54+'Waste Composition'!X54</f>
        <v>0</v>
      </c>
      <c r="E95" s="54">
        <f t="shared" si="0"/>
        <v>0</v>
      </c>
    </row>
    <row r="96" spans="2:5">
      <c r="B96" s="120" t="str">
        <f>'Waste Composition'!B55</f>
        <v>Plastic Film/Bags</v>
      </c>
      <c r="C96" s="316">
        <f>'Waste Composition'!D55+'Waste Composition'!L55+'Waste Composition'!T55</f>
        <v>0</v>
      </c>
      <c r="D96" s="316">
        <f>'Waste Composition'!H55+'Waste Composition'!P55+'Waste Composition'!X55</f>
        <v>0</v>
      </c>
      <c r="E96" s="54">
        <f t="shared" si="0"/>
        <v>0</v>
      </c>
    </row>
    <row r="97" spans="2:5">
      <c r="B97" s="120" t="str">
        <f>'Waste Composition'!B56</f>
        <v>Plastic Foam</v>
      </c>
      <c r="C97" s="316">
        <f>'Waste Composition'!D56+'Waste Composition'!L56+'Waste Composition'!T56</f>
        <v>0</v>
      </c>
      <c r="D97" s="316">
        <f>'Waste Composition'!H56+'Waste Composition'!P56+'Waste Composition'!X56</f>
        <v>0</v>
      </c>
      <c r="E97" s="54">
        <f t="shared" si="0"/>
        <v>0</v>
      </c>
    </row>
    <row r="98" spans="2:5">
      <c r="B98" s="120" t="str">
        <f>'Waste Composition'!B57</f>
        <v>Other Plastics</v>
      </c>
      <c r="C98" s="316">
        <f>'Waste Composition'!D57+'Waste Composition'!L57+'Waste Composition'!T57</f>
        <v>0</v>
      </c>
      <c r="D98" s="316">
        <f>'Waste Composition'!H57+'Waste Composition'!P57+'Waste Composition'!X57</f>
        <v>0</v>
      </c>
      <c r="E98" s="54">
        <f t="shared" si="0"/>
        <v>0</v>
      </c>
    </row>
    <row r="99" spans="2:5">
      <c r="B99" s="120" t="str">
        <f>'Waste Composition'!B58</f>
        <v>Glass Containers</v>
      </c>
      <c r="C99" s="316">
        <f>'Waste Composition'!D58+'Waste Composition'!L58+'Waste Composition'!T58</f>
        <v>0</v>
      </c>
      <c r="D99" s="316">
        <f>'Waste Composition'!H58+'Waste Composition'!P58+'Waste Composition'!X58</f>
        <v>0</v>
      </c>
      <c r="E99" s="54">
        <f t="shared" si="0"/>
        <v>0</v>
      </c>
    </row>
    <row r="100" spans="2:5">
      <c r="B100" s="120" t="str">
        <f>'Waste Composition'!B59</f>
        <v>Other Glass</v>
      </c>
      <c r="C100" s="316">
        <f>'Waste Composition'!D59+'Waste Composition'!L59+'Waste Composition'!T59</f>
        <v>0</v>
      </c>
      <c r="D100" s="316">
        <f>'Waste Composition'!H59+'Waste Composition'!P59+'Waste Composition'!X59</f>
        <v>0</v>
      </c>
      <c r="E100" s="54">
        <f t="shared" si="0"/>
        <v>0</v>
      </c>
    </row>
    <row r="101" spans="2:5">
      <c r="B101" s="120" t="str">
        <f>'Waste Composition'!B60</f>
        <v>Aluminum Cans</v>
      </c>
      <c r="C101" s="316">
        <f>'Waste Composition'!D60+'Waste Composition'!L60+'Waste Composition'!T60</f>
        <v>0</v>
      </c>
      <c r="D101" s="316">
        <f>'Waste Composition'!H60+'Waste Composition'!P60+'Waste Composition'!X60</f>
        <v>0</v>
      </c>
      <c r="E101" s="54">
        <f t="shared" si="0"/>
        <v>0</v>
      </c>
    </row>
    <row r="102" spans="2:5">
      <c r="B102" s="120" t="str">
        <f>'Waste Composition'!B61</f>
        <v>Steel/Tin Cans</v>
      </c>
      <c r="C102" s="316">
        <f>'Waste Composition'!D61+'Waste Composition'!L61+'Waste Composition'!T61</f>
        <v>0</v>
      </c>
      <c r="D102" s="316">
        <f>'Waste Composition'!H61+'Waste Composition'!P61+'Waste Composition'!X61</f>
        <v>0</v>
      </c>
      <c r="E102" s="54">
        <f t="shared" si="0"/>
        <v>0</v>
      </c>
    </row>
    <row r="103" spans="2:5">
      <c r="B103" s="120" t="str">
        <f>'Waste Composition'!B62</f>
        <v>Ferrous Metal</v>
      </c>
      <c r="C103" s="316">
        <f>'Waste Composition'!D62+'Waste Composition'!L62+'Waste Composition'!T62</f>
        <v>0</v>
      </c>
      <c r="D103" s="316">
        <f>'Waste Composition'!H62+'Waste Composition'!P62+'Waste Composition'!X62</f>
        <v>0</v>
      </c>
      <c r="E103" s="54">
        <f t="shared" si="0"/>
        <v>0</v>
      </c>
    </row>
    <row r="104" spans="2:5">
      <c r="B104" s="120" t="str">
        <f>'Waste Composition'!B63</f>
        <v>Non-Ferrous Metal</v>
      </c>
      <c r="C104" s="316">
        <f>'Waste Composition'!D63+'Waste Composition'!L63+'Waste Composition'!T63</f>
        <v>0</v>
      </c>
      <c r="D104" s="316">
        <f>'Waste Composition'!H63+'Waste Composition'!P63+'Waste Composition'!X63</f>
        <v>0</v>
      </c>
      <c r="E104" s="54">
        <f t="shared" si="0"/>
        <v>0</v>
      </c>
    </row>
    <row r="105" spans="2:5">
      <c r="B105" s="120" t="str">
        <f>'Waste Composition'!B64</f>
        <v>Batteries</v>
      </c>
      <c r="C105" s="316">
        <f>'Waste Composition'!D64+'Waste Composition'!L64+'Waste Composition'!T64</f>
        <v>0</v>
      </c>
      <c r="D105" s="316">
        <f>'Waste Composition'!H64+'Waste Composition'!P64+'Waste Composition'!X64</f>
        <v>0</v>
      </c>
      <c r="E105" s="54">
        <f t="shared" si="0"/>
        <v>0</v>
      </c>
    </row>
    <row r="106" spans="2:5">
      <c r="B106" s="120" t="str">
        <f>'Waste Composition'!B65</f>
        <v>Appliances</v>
      </c>
      <c r="C106" s="316">
        <f>'Waste Composition'!D65+'Waste Composition'!L65+'Waste Composition'!T65</f>
        <v>0</v>
      </c>
      <c r="D106" s="316">
        <f>'Waste Composition'!H65+'Waste Composition'!P65+'Waste Composition'!X65</f>
        <v>0</v>
      </c>
      <c r="E106" s="54">
        <f t="shared" si="0"/>
        <v>0</v>
      </c>
    </row>
    <row r="107" spans="2:5">
      <c r="B107" s="120" t="str">
        <f>'Waste Composition'!B66</f>
        <v>Electronics</v>
      </c>
      <c r="C107" s="316">
        <f>'Waste Composition'!D66+'Waste Composition'!L66+'Waste Composition'!T66</f>
        <v>0</v>
      </c>
      <c r="D107" s="316">
        <f>'Waste Composition'!H66+'Waste Composition'!P66+'Waste Composition'!X66</f>
        <v>0</v>
      </c>
      <c r="E107" s="54">
        <f t="shared" si="0"/>
        <v>0</v>
      </c>
    </row>
    <row r="108" spans="2:5">
      <c r="B108" s="120" t="str">
        <f>'Waste Composition'!B67</f>
        <v>Tires</v>
      </c>
      <c r="C108" s="316">
        <f>'Waste Composition'!D67+'Waste Composition'!L67+'Waste Composition'!T67</f>
        <v>0</v>
      </c>
      <c r="D108" s="316">
        <f>'Waste Composition'!H67+'Waste Composition'!P67+'Waste Composition'!X67</f>
        <v>0</v>
      </c>
      <c r="E108" s="54">
        <f t="shared" si="0"/>
        <v>0</v>
      </c>
    </row>
    <row r="109" spans="2:5">
      <c r="B109" s="120" t="str">
        <f>'Waste Composition'!B68</f>
        <v>Textiles</v>
      </c>
      <c r="C109" s="316">
        <f>'Waste Composition'!D68+'Waste Composition'!L68+'Waste Composition'!T68</f>
        <v>0</v>
      </c>
      <c r="D109" s="316">
        <f>'Waste Composition'!H68+'Waste Composition'!P68+'Waste Composition'!X68</f>
        <v>0</v>
      </c>
      <c r="E109" s="54">
        <f t="shared" si="0"/>
        <v>0</v>
      </c>
    </row>
    <row r="110" spans="2:5">
      <c r="B110" s="120" t="str">
        <f>'Waste Composition'!B69</f>
        <v>Other Recyclable Materials</v>
      </c>
      <c r="C110" s="316">
        <f>'Waste Composition'!D69+'Waste Composition'!L69+'Waste Composition'!T69</f>
        <v>0</v>
      </c>
      <c r="D110" s="316">
        <f>'Waste Composition'!H69+'Waste Composition'!P69+'Waste Composition'!X69</f>
        <v>0</v>
      </c>
      <c r="E110" s="54">
        <f t="shared" si="0"/>
        <v>0</v>
      </c>
    </row>
    <row r="111" spans="2:5">
      <c r="B111" s="120" t="str">
        <f>'Waste Composition'!B70</f>
        <v>Wood Pallets</v>
      </c>
      <c r="C111" s="316">
        <f>'Waste Composition'!D70+'Waste Composition'!L70+'Waste Composition'!T70</f>
        <v>0</v>
      </c>
      <c r="D111" s="316">
        <f>'Waste Composition'!H70+'Waste Composition'!P70+'Waste Composition'!X70</f>
        <v>0</v>
      </c>
      <c r="E111" s="54">
        <f t="shared" si="0"/>
        <v>0</v>
      </c>
    </row>
    <row r="112" spans="2:5">
      <c r="B112" s="120" t="str">
        <f>'Waste Composition'!B71</f>
        <v>Food Waste</v>
      </c>
      <c r="C112" s="316">
        <f>'Waste Composition'!D71+'Waste Composition'!L71+'Waste Composition'!T71</f>
        <v>0</v>
      </c>
      <c r="D112" s="316">
        <f>'Waste Composition'!H71+'Waste Composition'!P71+'Waste Composition'!X71</f>
        <v>0</v>
      </c>
      <c r="E112" s="54">
        <f t="shared" si="0"/>
        <v>0</v>
      </c>
    </row>
    <row r="113" spans="2:5">
      <c r="B113" s="120" t="str">
        <f>'Waste Composition'!B72</f>
        <v>Yard Waste</v>
      </c>
      <c r="C113" s="316">
        <f>'Waste Composition'!D72+'Waste Composition'!L72+'Waste Composition'!T72</f>
        <v>0</v>
      </c>
      <c r="D113" s="316">
        <f>'Waste Composition'!H72+'Waste Composition'!P72+'Waste Composition'!X72</f>
        <v>0</v>
      </c>
      <c r="E113" s="54">
        <f t="shared" si="0"/>
        <v>0</v>
      </c>
    </row>
    <row r="114" spans="2:5">
      <c r="B114" s="120" t="s">
        <v>316</v>
      </c>
      <c r="C114" s="316">
        <f>'Waste Composition'!D73+'Waste Composition'!L73+'Waste Composition'!T73</f>
        <v>0</v>
      </c>
      <c r="D114" s="316">
        <f>'Waste Composition'!H73+'Waste Composition'!P73+'Waste Composition'!X73</f>
        <v>0</v>
      </c>
      <c r="E114" s="54">
        <f t="shared" si="0"/>
        <v>0</v>
      </c>
    </row>
    <row r="115" spans="2:5">
      <c r="B115" s="120" t="str">
        <f>'Waste Composition'!B74</f>
        <v>Other Organics</v>
      </c>
      <c r="C115" s="316">
        <f>'Waste Composition'!D74+'Waste Composition'!L74+'Waste Composition'!T74</f>
        <v>0</v>
      </c>
      <c r="D115" s="316">
        <f>'Waste Composition'!H74+'Waste Composition'!P74+'Waste Composition'!X74</f>
        <v>0</v>
      </c>
      <c r="E115" s="54">
        <f t="shared" si="0"/>
        <v>0</v>
      </c>
    </row>
    <row r="116" spans="2:5">
      <c r="B116" s="120" t="s">
        <v>319</v>
      </c>
      <c r="C116" s="316">
        <f>'Waste Composition'!D76+'Waste Composition'!L76+'Waste Composition'!T76</f>
        <v>0</v>
      </c>
      <c r="D116" s="316">
        <f>'Waste Composition'!H76+'Waste Composition'!P76+'Waste Composition'!X76</f>
        <v>0</v>
      </c>
      <c r="E116" s="54">
        <f t="shared" si="0"/>
        <v>0</v>
      </c>
    </row>
    <row r="117" spans="2:5">
      <c r="B117" s="120" t="s">
        <v>320</v>
      </c>
      <c r="C117" s="316">
        <f>'Waste Composition'!D77+'Waste Composition'!L77+'Waste Composition'!T77</f>
        <v>0</v>
      </c>
      <c r="D117" s="316">
        <f>'Waste Composition'!H77+'Waste Composition'!P77+'Waste Composition'!X77</f>
        <v>0</v>
      </c>
      <c r="E117" s="54">
        <f t="shared" si="0"/>
        <v>0</v>
      </c>
    </row>
    <row r="118" spans="2:5">
      <c r="B118" s="133" t="s">
        <v>456</v>
      </c>
      <c r="C118" s="111">
        <f>SUM(C89:C117)</f>
        <v>0</v>
      </c>
      <c r="D118" s="111">
        <f>SUM(D89:D117)</f>
        <v>0</v>
      </c>
      <c r="E118" s="157">
        <f>SUM(E89:E117)</f>
        <v>0</v>
      </c>
    </row>
    <row r="119" spans="2:5">
      <c r="B119" s="133" t="s">
        <v>457</v>
      </c>
      <c r="C119" s="715">
        <f>-AVERAGE('Container Cost Calculator'!C57:E60)/5</f>
        <v>-46.545000000000002</v>
      </c>
      <c r="D119" s="716"/>
      <c r="E119" s="717"/>
    </row>
    <row r="120" spans="2:5" ht="15.75" thickBot="1">
      <c r="B120" s="134" t="s">
        <v>458</v>
      </c>
      <c r="C120" s="723">
        <f>E118*C119</f>
        <v>0</v>
      </c>
      <c r="D120" s="724"/>
      <c r="E120" s="725"/>
    </row>
  </sheetData>
  <sheetProtection sheet="1" objects="1" scenarios="1" formatColumns="0" formatRows="0"/>
  <mergeCells count="32">
    <mergeCell ref="C120:E120"/>
    <mergeCell ref="B80:C80"/>
    <mergeCell ref="B72:C72"/>
    <mergeCell ref="B57:D57"/>
    <mergeCell ref="B70:C70"/>
    <mergeCell ref="B86:C86"/>
    <mergeCell ref="B71:E71"/>
    <mergeCell ref="B4:E4"/>
    <mergeCell ref="B14:E14"/>
    <mergeCell ref="B16:E16"/>
    <mergeCell ref="B87:E87"/>
    <mergeCell ref="C119:E119"/>
    <mergeCell ref="B45:C45"/>
    <mergeCell ref="B44:E44"/>
    <mergeCell ref="B23:E23"/>
    <mergeCell ref="B20:E20"/>
    <mergeCell ref="D45:E55"/>
    <mergeCell ref="D74:E79"/>
    <mergeCell ref="B40:E40"/>
    <mergeCell ref="B18:E18"/>
    <mergeCell ref="B46:C46"/>
    <mergeCell ref="B52:C52"/>
    <mergeCell ref="B8:E8"/>
    <mergeCell ref="B31:E31"/>
    <mergeCell ref="B33:E33"/>
    <mergeCell ref="B35:E35"/>
    <mergeCell ref="B37:E37"/>
    <mergeCell ref="B10:E10"/>
    <mergeCell ref="B12:E12"/>
    <mergeCell ref="B25:E25"/>
    <mergeCell ref="B27:E27"/>
    <mergeCell ref="B29:E29"/>
  </mergeCells>
  <hyperlinks>
    <hyperlink ref="B42" location="'User Manual'!A1" display="Click here to return to the Toolkit Instructions" xr:uid="{E045561B-8364-419B-AB14-4055BC95782E}"/>
  </hyperlinks>
  <pageMargins left="0.7" right="0.7" top="0.75" bottom="0.75" header="0.3" footer="0.3"/>
  <pageSetup scale="5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CD98AC-339D-49A9-918D-09DCB7FA7ACE}">
  <sheetPr>
    <tabColor rgb="FFFFC000"/>
  </sheetPr>
  <dimension ref="A1:G84"/>
  <sheetViews>
    <sheetView zoomScaleNormal="100" workbookViewId="0">
      <selection activeCell="B17" sqref="B17:C17"/>
    </sheetView>
  </sheetViews>
  <sheetFormatPr defaultColWidth="9.140625" defaultRowHeight="15"/>
  <cols>
    <col min="1" max="1" width="1.5703125" style="5" customWidth="1"/>
    <col min="2" max="2" width="39.28515625" style="5" customWidth="1"/>
    <col min="3" max="3" width="17.85546875" style="5" customWidth="1"/>
    <col min="4" max="4" width="19.28515625" style="5" customWidth="1"/>
    <col min="5" max="5" width="21.7109375" style="5" customWidth="1"/>
    <col min="6" max="6" width="9.140625" style="5"/>
    <col min="7" max="7" width="12.85546875" style="5" customWidth="1"/>
    <col min="8" max="8" width="13.7109375" style="5" bestFit="1" customWidth="1"/>
    <col min="9" max="9" width="18.140625" style="5" bestFit="1" customWidth="1"/>
    <col min="10" max="10" width="9.140625" style="5" customWidth="1"/>
    <col min="11" max="11" width="8.5703125" style="5" bestFit="1" customWidth="1"/>
    <col min="12" max="12" width="13" style="5" customWidth="1"/>
    <col min="13" max="13" width="14.42578125" style="5" bestFit="1" customWidth="1"/>
    <col min="14" max="16" width="9.140625" style="5"/>
    <col min="17" max="17" width="19" style="5" bestFit="1" customWidth="1"/>
    <col min="18" max="16384" width="9.140625" style="5"/>
  </cols>
  <sheetData>
    <row r="1" spans="1:7">
      <c r="A1" s="4" t="str" cm="1">
        <f t="array" aca="1" ref="A1" ca="1">RIGHT(CELL("filename",A1),LEN(CELL("filename",A1))-SEARCH("]",CELL("filename",A1)))</f>
        <v>Job Creation Calculator</v>
      </c>
    </row>
    <row r="2" spans="1:7">
      <c r="B2" s="4"/>
    </row>
    <row r="3" spans="1:7">
      <c r="A3" s="4" t="s">
        <v>72</v>
      </c>
    </row>
    <row r="4" spans="1:7" ht="30" customHeight="1">
      <c r="B4" s="500" t="s">
        <v>459</v>
      </c>
      <c r="C4" s="500"/>
      <c r="D4" s="500"/>
      <c r="E4" s="500"/>
      <c r="F4" s="500"/>
      <c r="G4" s="500"/>
    </row>
    <row r="6" spans="1:7">
      <c r="A6" s="4" t="s">
        <v>127</v>
      </c>
    </row>
    <row r="7" spans="1:7" ht="80.25" customHeight="1">
      <c r="A7" s="4"/>
      <c r="B7" s="552" t="s">
        <v>460</v>
      </c>
      <c r="C7" s="552"/>
      <c r="D7" s="552"/>
      <c r="E7" s="552"/>
      <c r="F7" s="552"/>
      <c r="G7" s="552"/>
    </row>
    <row r="8" spans="1:7">
      <c r="A8" s="4"/>
    </row>
    <row r="9" spans="1:7" ht="91.5" customHeight="1">
      <c r="B9" s="552" t="s">
        <v>648</v>
      </c>
      <c r="C9" s="552"/>
      <c r="D9" s="552"/>
      <c r="E9" s="552"/>
      <c r="F9" s="552"/>
      <c r="G9" s="552"/>
    </row>
    <row r="10" spans="1:7" ht="15" customHeight="1">
      <c r="B10" s="70"/>
      <c r="C10" s="70"/>
      <c r="D10" s="70"/>
      <c r="E10" s="70"/>
    </row>
    <row r="11" spans="1:7">
      <c r="B11" s="552" t="s">
        <v>461</v>
      </c>
      <c r="C11" s="552"/>
      <c r="D11" s="552"/>
      <c r="E11" s="552"/>
      <c r="F11" s="552"/>
      <c r="G11" s="552"/>
    </row>
    <row r="12" spans="1:7">
      <c r="B12" s="4"/>
    </row>
    <row r="13" spans="1:7" ht="76.5" customHeight="1">
      <c r="B13" s="552" t="s">
        <v>649</v>
      </c>
      <c r="C13" s="552"/>
      <c r="D13" s="552"/>
      <c r="E13" s="552"/>
      <c r="F13" s="552"/>
      <c r="G13" s="552"/>
    </row>
    <row r="14" spans="1:7" ht="15" customHeight="1">
      <c r="B14" s="4"/>
    </row>
    <row r="15" spans="1:7" ht="16.5" customHeight="1">
      <c r="B15" s="552" t="s">
        <v>462</v>
      </c>
      <c r="C15" s="552"/>
      <c r="D15" s="552"/>
      <c r="E15" s="552"/>
      <c r="F15" s="552"/>
      <c r="G15" s="552"/>
    </row>
    <row r="17" spans="2:7" ht="15" customHeight="1">
      <c r="B17" s="515" t="s">
        <v>125</v>
      </c>
      <c r="C17" s="515"/>
      <c r="D17" s="70"/>
      <c r="E17" s="70"/>
    </row>
    <row r="18" spans="2:7" ht="15.75" thickBot="1"/>
    <row r="19" spans="2:7" ht="27" thickBot="1">
      <c r="B19" s="452" t="s">
        <v>60</v>
      </c>
      <c r="C19" s="453"/>
      <c r="D19" s="453"/>
      <c r="E19" s="453"/>
      <c r="F19" s="453"/>
      <c r="G19" s="454"/>
    </row>
    <row r="20" spans="2:7" ht="24">
      <c r="B20" s="735" t="s">
        <v>259</v>
      </c>
      <c r="C20" s="735"/>
      <c r="D20" s="735"/>
      <c r="E20" s="735"/>
      <c r="G20" s="131"/>
    </row>
    <row r="21" spans="2:7">
      <c r="B21" s="2"/>
      <c r="C21" s="9" t="s">
        <v>131</v>
      </c>
      <c r="D21" s="9" t="s">
        <v>132</v>
      </c>
      <c r="E21" s="9" t="s">
        <v>133</v>
      </c>
      <c r="G21" s="131"/>
    </row>
    <row r="22" spans="2:7">
      <c r="B22" s="2" t="s">
        <v>463</v>
      </c>
      <c r="C22" s="31">
        <f>C58+C65</f>
        <v>0</v>
      </c>
      <c r="D22" s="31">
        <f>D58+D65</f>
        <v>0</v>
      </c>
      <c r="E22" s="31">
        <f>D22-C22</f>
        <v>0</v>
      </c>
      <c r="G22" s="131"/>
    </row>
    <row r="23" spans="2:7">
      <c r="B23" s="2" t="s">
        <v>464</v>
      </c>
      <c r="C23" s="31">
        <f>C72</f>
        <v>0</v>
      </c>
      <c r="D23" s="31">
        <f>D72</f>
        <v>0</v>
      </c>
      <c r="E23" s="31">
        <f>D23-C23</f>
        <v>0</v>
      </c>
      <c r="G23" s="131"/>
    </row>
    <row r="24" spans="2:7">
      <c r="B24" s="269" t="s">
        <v>465</v>
      </c>
      <c r="C24" s="112">
        <f>SUM(C22:C23)</f>
        <v>0</v>
      </c>
      <c r="D24" s="112">
        <f>SUM(D22:D23)</f>
        <v>0</v>
      </c>
      <c r="E24" s="112">
        <f>D24-C24</f>
        <v>0</v>
      </c>
      <c r="G24" s="131"/>
    </row>
    <row r="25" spans="2:7" ht="15.75" thickBot="1">
      <c r="B25" s="107"/>
      <c r="G25" s="131"/>
    </row>
    <row r="26" spans="2:7">
      <c r="B26" s="712" t="s">
        <v>466</v>
      </c>
      <c r="C26" s="713"/>
      <c r="D26" s="713"/>
      <c r="E26" s="714"/>
      <c r="G26" s="131"/>
    </row>
    <row r="27" spans="2:7">
      <c r="B27" s="47"/>
      <c r="C27" s="9" t="s">
        <v>131</v>
      </c>
      <c r="D27" s="9" t="s">
        <v>132</v>
      </c>
      <c r="E27" s="50" t="s">
        <v>133</v>
      </c>
      <c r="G27" s="131"/>
    </row>
    <row r="28" spans="2:7">
      <c r="B28" s="736" t="s">
        <v>467</v>
      </c>
      <c r="C28" s="737"/>
      <c r="D28" s="737"/>
      <c r="E28" s="738"/>
      <c r="G28" s="131"/>
    </row>
    <row r="29" spans="2:7">
      <c r="B29" s="47" t="s">
        <v>468</v>
      </c>
      <c r="C29" s="413">
        <f>IFERROR((('Waste Composition'!M61+'Waste Composition'!M62)/2000)*4.33*12,0)</f>
        <v>0</v>
      </c>
      <c r="D29" s="413">
        <f>IFERROR((('Waste Composition'!E61+'Waste Composition'!E62+'Waste Composition'!M61+'Waste Composition'!M62+'Waste Composition'!U61+'Waste Composition'!U62)/2000)*4.33*12,0)</f>
        <v>0</v>
      </c>
      <c r="E29" s="261">
        <f t="shared" ref="E29:E56" si="0">D29-C29</f>
        <v>0</v>
      </c>
      <c r="G29" s="131"/>
    </row>
    <row r="30" spans="2:7">
      <c r="B30" s="47" t="s">
        <v>469</v>
      </c>
      <c r="C30" s="31">
        <f>C29/1000</f>
        <v>0</v>
      </c>
      <c r="D30" s="31">
        <f>D29/1000</f>
        <v>0</v>
      </c>
      <c r="E30" s="261">
        <f t="shared" si="0"/>
        <v>0</v>
      </c>
      <c r="G30" s="131"/>
    </row>
    <row r="31" spans="2:7">
      <c r="B31" s="47" t="s">
        <v>470</v>
      </c>
      <c r="C31" s="31">
        <f>$C$79</f>
        <v>1.302576277711829</v>
      </c>
      <c r="D31" s="31">
        <f>$C$79</f>
        <v>1.302576277711829</v>
      </c>
      <c r="E31" s="241"/>
      <c r="G31" s="131"/>
    </row>
    <row r="32" spans="2:7">
      <c r="B32" s="47" t="s">
        <v>147</v>
      </c>
      <c r="C32" s="31">
        <f>C30*C31</f>
        <v>0</v>
      </c>
      <c r="D32" s="31">
        <f>D30*D31</f>
        <v>0</v>
      </c>
      <c r="E32" s="261">
        <f t="shared" si="0"/>
        <v>0</v>
      </c>
      <c r="G32" s="131"/>
    </row>
    <row r="33" spans="2:7">
      <c r="B33" s="742"/>
      <c r="C33" s="743"/>
      <c r="D33" s="743"/>
      <c r="E33" s="744"/>
      <c r="G33" s="131"/>
    </row>
    <row r="34" spans="2:7">
      <c r="B34" s="736" t="s">
        <v>471</v>
      </c>
      <c r="C34" s="737"/>
      <c r="D34" s="737"/>
      <c r="E34" s="738"/>
      <c r="G34" s="131"/>
    </row>
    <row r="35" spans="2:7">
      <c r="B35" s="47" t="s">
        <v>468</v>
      </c>
      <c r="C35" s="413">
        <f>IFERROR((('Waste Composition'!M60+'Waste Composition'!M63)/2000)*4.33*12,0)</f>
        <v>0</v>
      </c>
      <c r="D35" s="413">
        <f>IFERROR((('Waste Composition'!E63+'Waste Composition'!M63+'Waste Composition'!U63+'Waste Composition'!E60+'Waste Composition'!M60+'Waste Composition'!U60)/2000)*4.33*12,0)</f>
        <v>0</v>
      </c>
      <c r="E35" s="261">
        <f>D35-C35</f>
        <v>0</v>
      </c>
      <c r="G35" s="131"/>
    </row>
    <row r="36" spans="2:7">
      <c r="B36" s="47" t="s">
        <v>469</v>
      </c>
      <c r="C36" s="31">
        <f>C35/1000</f>
        <v>0</v>
      </c>
      <c r="D36" s="31">
        <f>D35/1000</f>
        <v>0</v>
      </c>
      <c r="E36" s="261">
        <f>D36-C36</f>
        <v>0</v>
      </c>
      <c r="G36" s="131"/>
    </row>
    <row r="37" spans="2:7">
      <c r="B37" s="47" t="s">
        <v>470</v>
      </c>
      <c r="C37" s="31">
        <f>$D$79</f>
        <v>3.625966299842625</v>
      </c>
      <c r="D37" s="31">
        <f>$D$79</f>
        <v>3.625966299842625</v>
      </c>
      <c r="E37" s="241"/>
      <c r="G37" s="131"/>
    </row>
    <row r="38" spans="2:7">
      <c r="B38" s="47" t="s">
        <v>147</v>
      </c>
      <c r="C38" s="31">
        <f>C36*C37</f>
        <v>0</v>
      </c>
      <c r="D38" s="31">
        <f>D36*D37</f>
        <v>0</v>
      </c>
      <c r="E38" s="261">
        <f>D38-C38</f>
        <v>0</v>
      </c>
      <c r="G38" s="131"/>
    </row>
    <row r="39" spans="2:7">
      <c r="B39" s="742"/>
      <c r="C39" s="743"/>
      <c r="D39" s="743"/>
      <c r="E39" s="744"/>
      <c r="G39" s="131"/>
    </row>
    <row r="40" spans="2:7">
      <c r="B40" s="736" t="s">
        <v>472</v>
      </c>
      <c r="C40" s="737"/>
      <c r="D40" s="737"/>
      <c r="E40" s="738"/>
      <c r="G40" s="131"/>
    </row>
    <row r="41" spans="2:7">
      <c r="B41" s="47" t="s">
        <v>468</v>
      </c>
      <c r="C41" s="413">
        <f>IFERROR(SUM('Waste Composition'!M58:M59)/2000*4.33*12,0)</f>
        <v>0</v>
      </c>
      <c r="D41" s="413">
        <f>IFERROR((SUM('Waste Composition'!E58:E59)+SUM('Waste Composition'!M58:M59)+SUM('Waste Composition'!U58:U59))/2000*4.33*12,0)</f>
        <v>0</v>
      </c>
      <c r="E41" s="261">
        <f>D41-C41</f>
        <v>0</v>
      </c>
      <c r="G41" s="131"/>
    </row>
    <row r="42" spans="2:7">
      <c r="B42" s="47" t="s">
        <v>469</v>
      </c>
      <c r="C42" s="31">
        <f>C41/1000</f>
        <v>0</v>
      </c>
      <c r="D42" s="31">
        <f>D41/1000</f>
        <v>0</v>
      </c>
      <c r="E42" s="261">
        <f>D42-C42</f>
        <v>0</v>
      </c>
      <c r="G42" s="131"/>
    </row>
    <row r="43" spans="2:7">
      <c r="B43" s="47" t="s">
        <v>470</v>
      </c>
      <c r="C43" s="31">
        <f>$E$79</f>
        <v>11.526916149689814</v>
      </c>
      <c r="D43" s="31">
        <f>$E$79</f>
        <v>11.526916149689814</v>
      </c>
      <c r="E43" s="241"/>
      <c r="G43" s="131"/>
    </row>
    <row r="44" spans="2:7">
      <c r="B44" s="47" t="s">
        <v>147</v>
      </c>
      <c r="C44" s="31">
        <f>C42*C43</f>
        <v>0</v>
      </c>
      <c r="D44" s="31">
        <f>D42*D43</f>
        <v>0</v>
      </c>
      <c r="E44" s="261">
        <f>D44-C44</f>
        <v>0</v>
      </c>
      <c r="G44" s="131"/>
    </row>
    <row r="45" spans="2:7">
      <c r="B45" s="742"/>
      <c r="C45" s="743"/>
      <c r="D45" s="743"/>
      <c r="E45" s="744"/>
      <c r="G45" s="131"/>
    </row>
    <row r="46" spans="2:7">
      <c r="B46" s="736" t="s">
        <v>473</v>
      </c>
      <c r="C46" s="737"/>
      <c r="D46" s="737"/>
      <c r="E46" s="738"/>
      <c r="G46" s="131"/>
    </row>
    <row r="47" spans="2:7">
      <c r="B47" s="47" t="s">
        <v>468</v>
      </c>
      <c r="C47" s="413">
        <f>IFERROR(SUM('Waste Composition'!M48:M50)/2000*4.33*12,0)</f>
        <v>0</v>
      </c>
      <c r="D47" s="413">
        <f>IFERROR((SUM('Waste Composition'!E48:E50)+SUM('Waste Composition'!M48:M50)+SUM('Waste Composition'!U48:U50))/2000*4.33*12,0)</f>
        <v>0</v>
      </c>
      <c r="E47" s="261">
        <f>D47-C47</f>
        <v>0</v>
      </c>
      <c r="G47" s="131"/>
    </row>
    <row r="48" spans="2:7">
      <c r="B48" s="47" t="s">
        <v>469</v>
      </c>
      <c r="C48" s="31">
        <f>C47/1000</f>
        <v>0</v>
      </c>
      <c r="D48" s="31">
        <f>D47/1000</f>
        <v>0</v>
      </c>
      <c r="E48" s="261">
        <f>D48-C48</f>
        <v>0</v>
      </c>
      <c r="G48" s="131"/>
    </row>
    <row r="49" spans="2:7">
      <c r="B49" s="47" t="s">
        <v>470</v>
      </c>
      <c r="C49" s="31">
        <f>$F$79</f>
        <v>2.8226560032995431</v>
      </c>
      <c r="D49" s="31">
        <f>$F$79</f>
        <v>2.8226560032995431</v>
      </c>
      <c r="E49" s="241"/>
      <c r="G49" s="131"/>
    </row>
    <row r="50" spans="2:7">
      <c r="B50" s="47" t="s">
        <v>147</v>
      </c>
      <c r="C50" s="31">
        <f>C48*C49</f>
        <v>0</v>
      </c>
      <c r="D50" s="31">
        <f>D48*D49</f>
        <v>0</v>
      </c>
      <c r="E50" s="261">
        <f>D50-C50</f>
        <v>0</v>
      </c>
      <c r="G50" s="131"/>
    </row>
    <row r="51" spans="2:7">
      <c r="B51" s="742"/>
      <c r="C51" s="743"/>
      <c r="D51" s="743"/>
      <c r="E51" s="744"/>
      <c r="G51" s="131"/>
    </row>
    <row r="52" spans="2:7">
      <c r="B52" s="736" t="s">
        <v>474</v>
      </c>
      <c r="C52" s="737"/>
      <c r="D52" s="737"/>
      <c r="E52" s="738"/>
      <c r="G52" s="131"/>
    </row>
    <row r="53" spans="2:7">
      <c r="B53" s="47" t="s">
        <v>468</v>
      </c>
      <c r="C53" s="413">
        <f>IFERROR(SUM('Waste Composition'!M51:M57)/2000*4.33*12,0)</f>
        <v>0</v>
      </c>
      <c r="D53" s="413">
        <f>IFERROR((SUM('Waste Composition'!E51:E57)+SUM('Waste Composition'!M51:M57)+SUM('Waste Composition'!U51:U57))/2000*4.33*12,0)</f>
        <v>0</v>
      </c>
      <c r="E53" s="261">
        <f t="shared" si="0"/>
        <v>0</v>
      </c>
      <c r="G53" s="131"/>
    </row>
    <row r="54" spans="2:7">
      <c r="B54" s="47" t="s">
        <v>469</v>
      </c>
      <c r="C54" s="31">
        <f>C53/1000</f>
        <v>0</v>
      </c>
      <c r="D54" s="31">
        <f>D53/1000</f>
        <v>0</v>
      </c>
      <c r="E54" s="261">
        <f t="shared" si="0"/>
        <v>0</v>
      </c>
      <c r="G54" s="131"/>
    </row>
    <row r="55" spans="2:7">
      <c r="B55" s="47" t="s">
        <v>470</v>
      </c>
      <c r="C55" s="31">
        <f>$G$79</f>
        <v>0.287292817679558</v>
      </c>
      <c r="D55" s="31">
        <f>$G$79</f>
        <v>0.287292817679558</v>
      </c>
      <c r="E55" s="241"/>
      <c r="G55" s="131"/>
    </row>
    <row r="56" spans="2:7">
      <c r="B56" s="47" t="s">
        <v>147</v>
      </c>
      <c r="C56" s="31">
        <f>C54*C55</f>
        <v>0</v>
      </c>
      <c r="D56" s="31">
        <f>D54*D55</f>
        <v>0</v>
      </c>
      <c r="E56" s="261">
        <f t="shared" si="0"/>
        <v>0</v>
      </c>
      <c r="G56" s="131"/>
    </row>
    <row r="57" spans="2:7">
      <c r="B57" s="739"/>
      <c r="C57" s="740"/>
      <c r="D57" s="740"/>
      <c r="E57" s="741"/>
      <c r="G57" s="131"/>
    </row>
    <row r="58" spans="2:7" ht="15.75" thickBot="1">
      <c r="B58" s="262" t="s">
        <v>475</v>
      </c>
      <c r="C58" s="168">
        <f>C32+C56+C44+C50+C38</f>
        <v>0</v>
      </c>
      <c r="D58" s="168">
        <f>D32+D56+D44+D50+D38</f>
        <v>0</v>
      </c>
      <c r="E58" s="263">
        <f>D58-C58</f>
        <v>0</v>
      </c>
      <c r="G58" s="131"/>
    </row>
    <row r="59" spans="2:7" ht="15.75" thickBot="1">
      <c r="B59" s="107"/>
      <c r="G59" s="131"/>
    </row>
    <row r="60" spans="2:7">
      <c r="B60" s="712" t="s">
        <v>476</v>
      </c>
      <c r="C60" s="713"/>
      <c r="D60" s="713"/>
      <c r="E60" s="714"/>
      <c r="G60" s="131"/>
    </row>
    <row r="61" spans="2:7">
      <c r="B61" s="52"/>
      <c r="C61" s="9" t="s">
        <v>131</v>
      </c>
      <c r="D61" s="9" t="s">
        <v>132</v>
      </c>
      <c r="E61" s="50" t="s">
        <v>133</v>
      </c>
      <c r="G61" s="131"/>
    </row>
    <row r="62" spans="2:7">
      <c r="B62" s="47" t="s">
        <v>468</v>
      </c>
      <c r="C62" s="413">
        <f>IFERROR((SUM('Waste Composition'!M64:M70)/2000)*4.33*12,0)</f>
        <v>0</v>
      </c>
      <c r="D62" s="284" cm="1">
        <f t="array" ref="D62">IFERROR((SUM('Waste Composition'!E64:E70+'Waste Composition'!M64:M70+'Waste Composition'!U64:U70)/2000)*4.33*12,0)</f>
        <v>0</v>
      </c>
      <c r="E62" s="261">
        <f>D62-C62</f>
        <v>0</v>
      </c>
      <c r="G62" s="131"/>
    </row>
    <row r="63" spans="2:7">
      <c r="B63" s="47" t="s">
        <v>469</v>
      </c>
      <c r="C63" s="31">
        <f>C62/1000</f>
        <v>0</v>
      </c>
      <c r="D63" s="31">
        <f>D62/1000</f>
        <v>0</v>
      </c>
      <c r="E63" s="261">
        <f>D63-C63</f>
        <v>0</v>
      </c>
      <c r="G63" s="131"/>
    </row>
    <row r="64" spans="2:7" ht="16.5">
      <c r="B64" s="47" t="s">
        <v>477</v>
      </c>
      <c r="C64" s="284">
        <v>1.17</v>
      </c>
      <c r="D64" s="376">
        <f>C64</f>
        <v>1.17</v>
      </c>
      <c r="E64" s="241"/>
      <c r="G64" s="131"/>
    </row>
    <row r="65" spans="2:7" ht="15.75" thickBot="1">
      <c r="B65" s="262" t="s">
        <v>147</v>
      </c>
      <c r="C65" s="168">
        <f>C64*C63</f>
        <v>0</v>
      </c>
      <c r="D65" s="168">
        <f>D64*D63</f>
        <v>0</v>
      </c>
      <c r="E65" s="263">
        <f>D65-C65</f>
        <v>0</v>
      </c>
      <c r="G65" s="131"/>
    </row>
    <row r="66" spans="2:7" ht="15.75" thickBot="1">
      <c r="B66" s="107"/>
      <c r="G66" s="131"/>
    </row>
    <row r="67" spans="2:7">
      <c r="B67" s="712" t="s">
        <v>478</v>
      </c>
      <c r="C67" s="713"/>
      <c r="D67" s="713"/>
      <c r="E67" s="714"/>
      <c r="G67" s="131"/>
    </row>
    <row r="68" spans="2:7">
      <c r="B68" s="47"/>
      <c r="C68" s="9" t="s">
        <v>131</v>
      </c>
      <c r="D68" s="9" t="s">
        <v>132</v>
      </c>
      <c r="E68" s="50" t="s">
        <v>133</v>
      </c>
      <c r="G68" s="131"/>
    </row>
    <row r="69" spans="2:7">
      <c r="B69" s="47" t="s">
        <v>479</v>
      </c>
      <c r="C69" s="413">
        <f>IFERROR((('Waste Composition'!U80)/2000)*4.33*12,0)</f>
        <v>0</v>
      </c>
      <c r="D69" s="284">
        <f>IFERROR(('Waste Composition'!E80+'Waste Composition'!M80+'Waste Composition'!U80)/2000*4.33*12,0)</f>
        <v>0</v>
      </c>
      <c r="E69" s="261">
        <f>D69-C69</f>
        <v>0</v>
      </c>
      <c r="G69" s="131"/>
    </row>
    <row r="70" spans="2:7">
      <c r="B70" s="47" t="s">
        <v>480</v>
      </c>
      <c r="C70" s="31">
        <f>C69/1000</f>
        <v>0</v>
      </c>
      <c r="D70" s="31">
        <f>D69/1000</f>
        <v>0</v>
      </c>
      <c r="E70" s="261">
        <f t="shared" ref="E70" si="1">D70-C70</f>
        <v>0</v>
      </c>
      <c r="F70" s="146"/>
      <c r="G70" s="147"/>
    </row>
    <row r="71" spans="2:7" ht="16.5">
      <c r="B71" s="47" t="s">
        <v>481</v>
      </c>
      <c r="C71" s="284">
        <v>0.5</v>
      </c>
      <c r="D71" s="376">
        <f>C71</f>
        <v>0.5</v>
      </c>
      <c r="E71" s="241"/>
      <c r="G71" s="131"/>
    </row>
    <row r="72" spans="2:7" ht="13.5" customHeight="1" thickBot="1">
      <c r="B72" s="262" t="s">
        <v>147</v>
      </c>
      <c r="C72" s="168">
        <f>C71*C70</f>
        <v>0</v>
      </c>
      <c r="D72" s="168">
        <f>D71*D70</f>
        <v>0</v>
      </c>
      <c r="E72" s="263">
        <f t="shared" ref="E72" si="2">D72-C72</f>
        <v>0</v>
      </c>
      <c r="G72" s="131"/>
    </row>
    <row r="73" spans="2:7" ht="13.5" customHeight="1" thickBot="1">
      <c r="B73" s="107"/>
      <c r="G73" s="131"/>
    </row>
    <row r="74" spans="2:7">
      <c r="B74" s="712" t="s">
        <v>482</v>
      </c>
      <c r="C74" s="713"/>
      <c r="D74" s="713"/>
      <c r="E74" s="713"/>
      <c r="F74" s="713"/>
      <c r="G74" s="714"/>
    </row>
    <row r="75" spans="2:7">
      <c r="B75" s="49"/>
      <c r="C75" s="9" t="s">
        <v>467</v>
      </c>
      <c r="D75" s="9" t="s">
        <v>471</v>
      </c>
      <c r="E75" s="9" t="s">
        <v>472</v>
      </c>
      <c r="F75" s="9" t="s">
        <v>473</v>
      </c>
      <c r="G75" s="50" t="s">
        <v>474</v>
      </c>
    </row>
    <row r="76" spans="2:7" ht="16.5">
      <c r="B76" s="148" t="s">
        <v>483</v>
      </c>
      <c r="C76" s="150">
        <v>155845</v>
      </c>
      <c r="D76" s="150">
        <v>173471</v>
      </c>
      <c r="E76" s="150">
        <v>24985</v>
      </c>
      <c r="F76" s="150">
        <v>155173</v>
      </c>
      <c r="G76" s="151">
        <v>950250</v>
      </c>
    </row>
    <row r="77" spans="2:7" ht="16.5">
      <c r="B77" s="148" t="s">
        <v>484</v>
      </c>
      <c r="C77" s="150">
        <v>203</v>
      </c>
      <c r="D77" s="150">
        <v>629</v>
      </c>
      <c r="E77" s="150">
        <v>288</v>
      </c>
      <c r="F77" s="150">
        <v>438</v>
      </c>
      <c r="G77" s="151">
        <v>273</v>
      </c>
    </row>
    <row r="78" spans="2:7" ht="16.5">
      <c r="B78" s="148" t="s">
        <v>485</v>
      </c>
      <c r="C78" s="145">
        <f>C77/C76</f>
        <v>1.302576277711829E-3</v>
      </c>
      <c r="D78" s="145">
        <f>D77/D76</f>
        <v>3.6259662998426251E-3</v>
      </c>
      <c r="E78" s="55">
        <f>E77/E76</f>
        <v>1.1526916149689814E-2</v>
      </c>
      <c r="F78" s="145">
        <f>F77/F76</f>
        <v>2.8226560032995431E-3</v>
      </c>
      <c r="G78" s="318">
        <f>G77/G76</f>
        <v>2.8729281767955799E-4</v>
      </c>
    </row>
    <row r="79" spans="2:7" ht="17.25" thickBot="1">
      <c r="B79" s="149" t="s">
        <v>486</v>
      </c>
      <c r="C79" s="377">
        <f>C78*1000</f>
        <v>1.302576277711829</v>
      </c>
      <c r="D79" s="377">
        <f>D78*1000</f>
        <v>3.625966299842625</v>
      </c>
      <c r="E79" s="377">
        <f>E78*1000</f>
        <v>11.526916149689814</v>
      </c>
      <c r="F79" s="377">
        <f>F78*1000</f>
        <v>2.8226560032995431</v>
      </c>
      <c r="G79" s="378">
        <f>G78*1000</f>
        <v>0.287292817679558</v>
      </c>
    </row>
    <row r="80" spans="2:7">
      <c r="B80" s="107"/>
      <c r="G80" s="131"/>
    </row>
    <row r="81" spans="2:7">
      <c r="B81" s="268" t="s">
        <v>487</v>
      </c>
      <c r="G81" s="131"/>
    </row>
    <row r="82" spans="2:7">
      <c r="B82" s="749" t="s">
        <v>488</v>
      </c>
      <c r="C82" s="521"/>
      <c r="D82" s="750" t="s">
        <v>489</v>
      </c>
      <c r="E82" s="750"/>
      <c r="F82" s="750"/>
      <c r="G82" s="751"/>
    </row>
    <row r="83" spans="2:7" ht="78.75" customHeight="1">
      <c r="B83" s="455" t="s">
        <v>490</v>
      </c>
      <c r="C83" s="425"/>
      <c r="D83" s="750" t="s">
        <v>491</v>
      </c>
      <c r="E83" s="750"/>
      <c r="F83" s="750"/>
      <c r="G83" s="751"/>
    </row>
    <row r="84" spans="2:7" ht="30.75" customHeight="1" thickBot="1">
      <c r="B84" s="747" t="s">
        <v>492</v>
      </c>
      <c r="C84" s="748"/>
      <c r="D84" s="745" t="s">
        <v>493</v>
      </c>
      <c r="E84" s="745"/>
      <c r="F84" s="745"/>
      <c r="G84" s="746"/>
    </row>
  </sheetData>
  <sheetProtection sheet="1" objects="1" scenarios="1" formatColumns="0" formatRows="0"/>
  <mergeCells count="29">
    <mergeCell ref="D84:G84"/>
    <mergeCell ref="B84:C84"/>
    <mergeCell ref="B83:C83"/>
    <mergeCell ref="B82:C82"/>
    <mergeCell ref="B7:G7"/>
    <mergeCell ref="B9:G9"/>
    <mergeCell ref="B11:G11"/>
    <mergeCell ref="B13:G13"/>
    <mergeCell ref="B15:G15"/>
    <mergeCell ref="B26:E26"/>
    <mergeCell ref="B67:E67"/>
    <mergeCell ref="B17:C17"/>
    <mergeCell ref="D82:G82"/>
    <mergeCell ref="D83:G83"/>
    <mergeCell ref="B19:G19"/>
    <mergeCell ref="B45:E45"/>
    <mergeCell ref="B4:G4"/>
    <mergeCell ref="B74:G74"/>
    <mergeCell ref="B20:E20"/>
    <mergeCell ref="B60:E60"/>
    <mergeCell ref="B28:E28"/>
    <mergeCell ref="B52:E52"/>
    <mergeCell ref="B40:E40"/>
    <mergeCell ref="B46:E46"/>
    <mergeCell ref="B34:E34"/>
    <mergeCell ref="B57:E57"/>
    <mergeCell ref="B39:E39"/>
    <mergeCell ref="B33:E33"/>
    <mergeCell ref="B51:E51"/>
  </mergeCells>
  <hyperlinks>
    <hyperlink ref="D82" r:id="rId1" xr:uid="{0F654937-C60E-487D-B2E1-24A8EB359427}"/>
    <hyperlink ref="D83" r:id="rId2" location=":~:text=Processing%20of%20recyclables%20(2%20jobs%20per%201%2C000,1%2C000%20tons)%20is%20somewhat%20more%20labor%20intensive.&amp;text=The%20Green%20Economy%20Scenario%20with%20a%2075,1.5%20million%20more%20jobs%20than%20in%202008." display="https://tellus.org/wp-content/uploads/2023/05/More-Jobs-Less-Pollution-Growing-the-Recycling-Economy-in-the-US.pdf#:~:text=Processing%20of%20recyclables%20(2%20jobs%20per%201%2C000,1%2C000%20tons)%20is%20somewhat%20more%20labor%20intensive.&amp;text=The%20Green%20Economy%20Scenario%20with%20a%2075,1.5%20million%20more%20jobs%20than%20in%202008." xr:uid="{4A8D3776-FDED-41C9-B50C-19D2BC603340}"/>
    <hyperlink ref="B17" location="'Toolkit Instructions'!A1" display="Click here to return to the Toolkit Instructions" xr:uid="{509CA87C-09D2-4966-91E4-229F89150D60}"/>
    <hyperlink ref="D84" r:id="rId3" xr:uid="{EE06A539-4D1A-433D-9278-91FDF32BC3D0}"/>
    <hyperlink ref="B17:C17" location="'User Manual'!A1" display="Click here to return to the Toolkit Instructions" xr:uid="{D56958EA-262F-47DC-9832-9BD350C5E750}"/>
  </hyperlinks>
  <pageMargins left="0.7" right="0.7" top="0.75" bottom="0.75" header="0.3" footer="0.3"/>
  <pageSetup scale="49" orientation="portrait"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928B75-60CC-4613-8AA6-86308F156A16}">
  <sheetPr>
    <tabColor rgb="FF92D050"/>
  </sheetPr>
  <dimension ref="A1:X140"/>
  <sheetViews>
    <sheetView zoomScaleNormal="100" workbookViewId="0">
      <selection activeCell="B24" sqref="B24:D24"/>
    </sheetView>
  </sheetViews>
  <sheetFormatPr defaultColWidth="9.140625" defaultRowHeight="15"/>
  <cols>
    <col min="1" max="1" width="1.5703125" style="5" customWidth="1"/>
    <col min="2" max="2" width="28.5703125" style="5" customWidth="1"/>
    <col min="3" max="3" width="20.7109375" style="5" customWidth="1"/>
    <col min="4" max="4" width="17.5703125" style="5" customWidth="1"/>
    <col min="5" max="5" width="21.5703125" style="5" customWidth="1"/>
    <col min="6" max="6" width="18" style="5" customWidth="1"/>
    <col min="7" max="7" width="10.140625" style="113" customWidth="1"/>
    <col min="8" max="8" width="18.140625" style="5" customWidth="1"/>
    <col min="9" max="9" width="9.5703125" style="5" customWidth="1"/>
    <col min="10" max="10" width="25" style="5" customWidth="1"/>
    <col min="11" max="11" width="20.7109375" style="5" customWidth="1"/>
    <col min="12" max="12" width="17.42578125" style="5" customWidth="1"/>
    <col min="13" max="13" width="14.85546875" style="5" customWidth="1"/>
    <col min="14" max="14" width="16.42578125" style="5" customWidth="1"/>
    <col min="15" max="15" width="10.42578125" style="5" customWidth="1"/>
    <col min="16" max="16" width="19.140625" style="5" customWidth="1"/>
    <col min="17" max="17" width="9.140625" style="5"/>
    <col min="18" max="18" width="25.140625" style="5" customWidth="1"/>
    <col min="19" max="19" width="21" style="5" customWidth="1"/>
    <col min="20" max="20" width="16.28515625" style="5" customWidth="1"/>
    <col min="21" max="21" width="13.85546875" style="5" customWidth="1"/>
    <col min="22" max="22" width="16.85546875" style="5" customWidth="1"/>
    <col min="23" max="23" width="13.28515625" style="5" customWidth="1"/>
    <col min="24" max="24" width="19.5703125" style="5" customWidth="1"/>
    <col min="25" max="16384" width="9.140625" style="5"/>
  </cols>
  <sheetData>
    <row r="1" spans="1:15">
      <c r="A1" s="4" t="str" cm="1">
        <f t="array" aca="1" ref="A1" ca="1">RIGHT(CELL("filename",A1),LEN(CELL("filename",A1))-SEARCH("]",CELL("filename",A1)))</f>
        <v>Carbon Calculator</v>
      </c>
    </row>
    <row r="2" spans="1:15">
      <c r="A2" s="4"/>
    </row>
    <row r="3" spans="1:15">
      <c r="A3" s="4" t="s">
        <v>72</v>
      </c>
    </row>
    <row r="4" spans="1:15" ht="51.75" customHeight="1">
      <c r="A4" s="4"/>
      <c r="B4" s="425" t="s">
        <v>494</v>
      </c>
      <c r="C4" s="425"/>
      <c r="D4" s="425"/>
      <c r="E4" s="425"/>
      <c r="F4" s="425"/>
      <c r="G4" s="425"/>
      <c r="H4" s="425"/>
      <c r="I4" s="73"/>
      <c r="J4" s="73"/>
      <c r="K4" s="73"/>
      <c r="L4" s="73"/>
      <c r="M4" s="73"/>
      <c r="N4" s="73"/>
      <c r="O4" s="73"/>
    </row>
    <row r="5" spans="1:15">
      <c r="A5" s="4"/>
    </row>
    <row r="6" spans="1:15">
      <c r="A6" s="1" t="s">
        <v>127</v>
      </c>
      <c r="B6"/>
    </row>
    <row r="7" spans="1:15" ht="32.25" customHeight="1">
      <c r="B7" s="537" t="s">
        <v>495</v>
      </c>
      <c r="C7" s="537"/>
      <c r="D7" s="537"/>
      <c r="E7" s="537"/>
      <c r="F7" s="537"/>
      <c r="G7" s="537"/>
      <c r="H7" s="537"/>
    </row>
    <row r="8" spans="1:15" ht="15" customHeight="1">
      <c r="B8" s="70"/>
      <c r="C8" s="70"/>
      <c r="D8" s="70"/>
      <c r="E8" s="70"/>
      <c r="F8" s="70"/>
      <c r="G8" s="70"/>
      <c r="H8" s="70"/>
    </row>
    <row r="9" spans="1:15" ht="36.75" customHeight="1">
      <c r="B9" s="552" t="s">
        <v>650</v>
      </c>
      <c r="C9" s="552"/>
      <c r="D9" s="552"/>
      <c r="E9" s="552"/>
      <c r="F9" s="552"/>
      <c r="G9" s="552"/>
      <c r="H9" s="552"/>
    </row>
    <row r="10" spans="1:15" ht="15" customHeight="1">
      <c r="B10" s="70"/>
      <c r="C10" s="70"/>
      <c r="D10" s="70"/>
      <c r="E10" s="70"/>
      <c r="F10" s="70"/>
      <c r="G10" s="70"/>
      <c r="H10" s="70"/>
    </row>
    <row r="11" spans="1:15" ht="32.25" customHeight="1">
      <c r="B11" s="537" t="s">
        <v>665</v>
      </c>
      <c r="C11" s="537"/>
      <c r="D11" s="537"/>
      <c r="E11" s="537"/>
      <c r="F11" s="537"/>
      <c r="G11" s="537"/>
      <c r="H11" s="537"/>
    </row>
    <row r="13" spans="1:15" ht="33" customHeight="1">
      <c r="B13" s="537" t="s">
        <v>651</v>
      </c>
      <c r="C13" s="537"/>
      <c r="D13" s="537"/>
      <c r="E13" s="537"/>
      <c r="F13" s="537"/>
      <c r="G13" s="537"/>
      <c r="H13" s="537"/>
    </row>
    <row r="15" spans="1:15" ht="45.75" customHeight="1">
      <c r="B15" s="537" t="s">
        <v>496</v>
      </c>
      <c r="C15" s="537"/>
      <c r="D15" s="537"/>
      <c r="E15" s="537"/>
      <c r="F15" s="537"/>
      <c r="G15" s="537"/>
      <c r="H15" s="537"/>
    </row>
    <row r="16" spans="1:15" ht="15" customHeight="1">
      <c r="B16" s="70"/>
      <c r="C16" s="70"/>
      <c r="D16" s="70"/>
      <c r="E16" s="70"/>
      <c r="F16" s="70"/>
      <c r="G16" s="70"/>
      <c r="H16" s="70"/>
    </row>
    <row r="17" spans="2:24" ht="15" customHeight="1">
      <c r="B17" s="128" t="s">
        <v>497</v>
      </c>
      <c r="D17" s="129" t="s">
        <v>498</v>
      </c>
      <c r="E17" s="70"/>
      <c r="F17" s="70"/>
      <c r="G17" s="70"/>
      <c r="H17" s="70"/>
    </row>
    <row r="18" spans="2:24" ht="15" customHeight="1">
      <c r="B18" s="70" t="s">
        <v>499</v>
      </c>
      <c r="C18" s="70" t="s">
        <v>500</v>
      </c>
      <c r="D18" s="70" t="s">
        <v>501</v>
      </c>
      <c r="E18" s="70"/>
      <c r="F18" s="70"/>
      <c r="G18" s="70"/>
      <c r="H18" s="70"/>
    </row>
    <row r="19" spans="2:24" ht="15" customHeight="1">
      <c r="B19" s="70" t="s">
        <v>299</v>
      </c>
      <c r="C19" s="70" t="s">
        <v>500</v>
      </c>
      <c r="D19" s="70" t="s">
        <v>501</v>
      </c>
      <c r="E19" s="70"/>
      <c r="F19" s="70"/>
      <c r="G19" s="70"/>
      <c r="H19" s="70"/>
    </row>
    <row r="20" spans="2:24" ht="15" customHeight="1">
      <c r="B20" s="70" t="s">
        <v>307</v>
      </c>
      <c r="C20" s="70" t="s">
        <v>500</v>
      </c>
      <c r="D20" s="77" t="s">
        <v>502</v>
      </c>
      <c r="E20" s="70"/>
      <c r="F20" s="70"/>
      <c r="G20" s="70"/>
      <c r="H20" s="70"/>
    </row>
    <row r="21" spans="2:24" ht="15" customHeight="1">
      <c r="B21" s="70" t="s">
        <v>311</v>
      </c>
      <c r="C21" s="70" t="s">
        <v>500</v>
      </c>
      <c r="D21" s="77" t="s">
        <v>503</v>
      </c>
      <c r="E21" s="70"/>
      <c r="F21" s="70"/>
      <c r="G21" s="70"/>
      <c r="H21" s="70"/>
    </row>
    <row r="22" spans="2:24" ht="15" customHeight="1">
      <c r="B22" s="70" t="s">
        <v>308</v>
      </c>
      <c r="C22" s="70" t="s">
        <v>500</v>
      </c>
      <c r="D22" s="77" t="s">
        <v>504</v>
      </c>
      <c r="E22" s="70"/>
      <c r="F22" s="70"/>
      <c r="G22" s="70"/>
      <c r="H22" s="70"/>
    </row>
    <row r="24" spans="2:24" ht="15" customHeight="1">
      <c r="B24" s="515" t="s">
        <v>125</v>
      </c>
      <c r="C24" s="515"/>
      <c r="D24" s="515"/>
      <c r="E24" s="70"/>
      <c r="F24" s="70"/>
      <c r="G24" s="70"/>
      <c r="H24" s="70"/>
    </row>
    <row r="25" spans="2:24" ht="15.75" thickBot="1"/>
    <row r="26" spans="2:24" ht="27" customHeight="1" thickBot="1">
      <c r="B26" s="767" t="s">
        <v>62</v>
      </c>
      <c r="C26" s="768"/>
      <c r="D26" s="768"/>
      <c r="E26" s="768"/>
      <c r="F26" s="768"/>
      <c r="G26" s="768"/>
      <c r="H26" s="768"/>
      <c r="I26" s="768"/>
      <c r="J26" s="768"/>
      <c r="K26" s="768"/>
      <c r="L26" s="768"/>
      <c r="M26" s="768"/>
      <c r="N26" s="768"/>
      <c r="O26" s="768"/>
      <c r="P26" s="768"/>
      <c r="Q26" s="768"/>
      <c r="R26" s="768"/>
      <c r="S26" s="768"/>
      <c r="T26" s="768"/>
      <c r="U26" s="768"/>
      <c r="V26" s="768"/>
      <c r="W26" s="768"/>
      <c r="X26" s="769"/>
    </row>
    <row r="27" spans="2:24" ht="27" customHeight="1">
      <c r="B27" s="770" t="s">
        <v>505</v>
      </c>
      <c r="C27" s="771"/>
      <c r="D27" s="771"/>
      <c r="E27" s="772"/>
      <c r="G27" s="5"/>
      <c r="X27" s="131"/>
    </row>
    <row r="28" spans="2:24" ht="27" customHeight="1">
      <c r="B28" s="165"/>
      <c r="C28" s="16" t="s">
        <v>131</v>
      </c>
      <c r="D28" s="16" t="s">
        <v>132</v>
      </c>
      <c r="E28" s="34" t="s">
        <v>133</v>
      </c>
      <c r="G28" s="5"/>
      <c r="X28" s="131"/>
    </row>
    <row r="29" spans="2:24" ht="27" customHeight="1">
      <c r="B29" s="148" t="s">
        <v>506</v>
      </c>
      <c r="C29" s="63">
        <f>H68</f>
        <v>0</v>
      </c>
      <c r="D29" s="63">
        <f>H103</f>
        <v>0</v>
      </c>
      <c r="E29" s="154">
        <f>D29-C29</f>
        <v>0</v>
      </c>
      <c r="G29" s="5"/>
      <c r="X29" s="131"/>
    </row>
    <row r="30" spans="2:24" ht="27" customHeight="1">
      <c r="B30" s="148" t="s">
        <v>507</v>
      </c>
      <c r="C30" s="63">
        <f>IFERROR(P68,0)</f>
        <v>0</v>
      </c>
      <c r="D30" s="63">
        <f>IFERROR(P103,0)</f>
        <v>0</v>
      </c>
      <c r="E30" s="154">
        <f t="shared" ref="E30:E32" si="0">D30-C30</f>
        <v>0</v>
      </c>
      <c r="G30" s="5"/>
      <c r="X30" s="131"/>
    </row>
    <row r="31" spans="2:24" ht="27" customHeight="1">
      <c r="B31" s="148" t="s">
        <v>508</v>
      </c>
      <c r="C31" s="63">
        <f>IFERROR(X68,0)</f>
        <v>0</v>
      </c>
      <c r="D31" s="63">
        <f>IFERROR(X103,0)</f>
        <v>0</v>
      </c>
      <c r="E31" s="154">
        <f t="shared" si="0"/>
        <v>0</v>
      </c>
      <c r="G31" s="5"/>
      <c r="X31" s="131"/>
    </row>
    <row r="32" spans="2:24" ht="27" customHeight="1">
      <c r="B32" s="148" t="s">
        <v>509</v>
      </c>
      <c r="C32" s="63">
        <v>0</v>
      </c>
      <c r="D32" s="63">
        <f>I139</f>
        <v>0</v>
      </c>
      <c r="E32" s="154">
        <f t="shared" si="0"/>
        <v>0</v>
      </c>
      <c r="G32" s="5"/>
      <c r="X32" s="131"/>
    </row>
    <row r="33" spans="2:24" ht="27" customHeight="1">
      <c r="B33" s="222" t="s">
        <v>510</v>
      </c>
      <c r="C33" s="339">
        <f>SUM(C29:C32)</f>
        <v>0</v>
      </c>
      <c r="D33" s="221">
        <f>SUM(D29:D32)</f>
        <v>0</v>
      </c>
      <c r="E33" s="223">
        <f>D33-C33</f>
        <v>0</v>
      </c>
      <c r="G33" s="5"/>
      <c r="P33" s="379"/>
      <c r="X33" s="131"/>
    </row>
    <row r="34" spans="2:24" ht="15" customHeight="1" thickBot="1">
      <c r="B34" s="107"/>
      <c r="G34" s="138"/>
      <c r="X34" s="131"/>
    </row>
    <row r="35" spans="2:24">
      <c r="B35" s="712" t="s">
        <v>511</v>
      </c>
      <c r="C35" s="713"/>
      <c r="D35" s="713"/>
      <c r="E35" s="713"/>
      <c r="F35" s="713"/>
      <c r="G35" s="713"/>
      <c r="H35" s="714"/>
      <c r="J35" s="581" t="s">
        <v>512</v>
      </c>
      <c r="K35" s="582"/>
      <c r="L35" s="582"/>
      <c r="M35" s="582"/>
      <c r="N35" s="582"/>
      <c r="O35" s="582"/>
      <c r="P35" s="634"/>
      <c r="R35" s="773" t="s">
        <v>513</v>
      </c>
      <c r="S35" s="774"/>
      <c r="T35" s="774"/>
      <c r="U35" s="774"/>
      <c r="V35" s="774"/>
      <c r="W35" s="774"/>
      <c r="X35" s="775"/>
    </row>
    <row r="36" spans="2:24" ht="63">
      <c r="B36" s="83" t="s">
        <v>283</v>
      </c>
      <c r="C36" s="16" t="s">
        <v>514</v>
      </c>
      <c r="D36" s="16" t="s">
        <v>515</v>
      </c>
      <c r="E36" s="16" t="s">
        <v>516</v>
      </c>
      <c r="F36" s="16" t="s">
        <v>517</v>
      </c>
      <c r="G36" s="190" t="s">
        <v>518</v>
      </c>
      <c r="H36" s="357" t="s">
        <v>519</v>
      </c>
      <c r="J36" s="83" t="s">
        <v>283</v>
      </c>
      <c r="K36" s="16" t="s">
        <v>514</v>
      </c>
      <c r="L36" s="16" t="s">
        <v>520</v>
      </c>
      <c r="M36" s="16" t="s">
        <v>521</v>
      </c>
      <c r="N36" s="16" t="s">
        <v>517</v>
      </c>
      <c r="O36" s="190" t="s">
        <v>522</v>
      </c>
      <c r="P36" s="357" t="s">
        <v>519</v>
      </c>
      <c r="R36" s="83" t="s">
        <v>283</v>
      </c>
      <c r="S36" s="16" t="s">
        <v>514</v>
      </c>
      <c r="T36" s="16" t="s">
        <v>515</v>
      </c>
      <c r="U36" s="16" t="s">
        <v>521</v>
      </c>
      <c r="V36" s="16" t="s">
        <v>523</v>
      </c>
      <c r="W36" s="190" t="s">
        <v>524</v>
      </c>
      <c r="X36" s="357" t="s">
        <v>519</v>
      </c>
    </row>
    <row r="37" spans="2:24" ht="15" customHeight="1">
      <c r="B37" s="761" t="s">
        <v>290</v>
      </c>
      <c r="C37" s="762"/>
      <c r="D37" s="762"/>
      <c r="E37" s="762"/>
      <c r="F37" s="762"/>
      <c r="G37" s="762"/>
      <c r="H37" s="763"/>
      <c r="J37" s="761" t="s">
        <v>290</v>
      </c>
      <c r="K37" s="762"/>
      <c r="L37" s="762"/>
      <c r="M37" s="762"/>
      <c r="N37" s="762"/>
      <c r="O37" s="762"/>
      <c r="P37" s="763"/>
      <c r="R37" s="761" t="s">
        <v>290</v>
      </c>
      <c r="S37" s="762"/>
      <c r="T37" s="762"/>
      <c r="U37" s="762"/>
      <c r="V37" s="762"/>
      <c r="W37" s="762"/>
      <c r="X37" s="763"/>
    </row>
    <row r="38" spans="2:24" ht="15" customHeight="1">
      <c r="B38" s="120" t="str">
        <f>'Waste Composition'!B48</f>
        <v>Cardboard</v>
      </c>
      <c r="C38" s="31">
        <f>'Waste Composition'!E48/2000</f>
        <v>0</v>
      </c>
      <c r="D38" s="31">
        <f>'WARM Results'!J16</f>
        <v>0.18162984857485934</v>
      </c>
      <c r="E38" s="13">
        <f>C38*D38</f>
        <v>0</v>
      </c>
      <c r="F38" s="31">
        <f>'WARM Results'!S16</f>
        <v>-3.1353369086789917</v>
      </c>
      <c r="G38" s="31">
        <v>0</v>
      </c>
      <c r="H38" s="54">
        <f>E38-G38</f>
        <v>0</v>
      </c>
      <c r="J38" s="120" t="str">
        <f>B38</f>
        <v>Cardboard</v>
      </c>
      <c r="K38" s="31">
        <f>'Waste Composition'!M48/2000</f>
        <v>0</v>
      </c>
      <c r="L38" s="141">
        <f>D38</f>
        <v>0.18162984857485934</v>
      </c>
      <c r="M38" s="13">
        <f>K38*L38</f>
        <v>0</v>
      </c>
      <c r="N38" s="13">
        <f>F38</f>
        <v>-3.1353369086789917</v>
      </c>
      <c r="O38" s="31">
        <f>K38*N38</f>
        <v>0</v>
      </c>
      <c r="P38" s="54">
        <f>M38-O38</f>
        <v>0</v>
      </c>
      <c r="R38" s="120" t="str">
        <f>B38</f>
        <v>Cardboard</v>
      </c>
      <c r="S38" s="142">
        <f>'Waste Composition'!U48/2000</f>
        <v>0</v>
      </c>
      <c r="T38" s="63">
        <f>D38</f>
        <v>0.18162984857485934</v>
      </c>
      <c r="U38" s="13">
        <f>S38*T38</f>
        <v>0</v>
      </c>
      <c r="V38" s="13">
        <v>0</v>
      </c>
      <c r="W38" s="31">
        <f>S38*V38</f>
        <v>0</v>
      </c>
      <c r="X38" s="54">
        <f>U38-W38</f>
        <v>0</v>
      </c>
    </row>
    <row r="39" spans="2:24" ht="15" customHeight="1">
      <c r="B39" s="120" t="str">
        <f>'Waste Composition'!B49</f>
        <v>Mixed Paper</v>
      </c>
      <c r="C39" s="31">
        <f>'Waste Composition'!E49/2000</f>
        <v>0</v>
      </c>
      <c r="D39" s="31">
        <f>'WARM Results'!J18</f>
        <v>7.470296200674445E-2</v>
      </c>
      <c r="E39" s="13">
        <f t="shared" ref="E39:E64" si="1">C39*D39</f>
        <v>0</v>
      </c>
      <c r="F39" s="31">
        <f>'WARM Results'!S18</f>
        <v>-3.5455235990647034</v>
      </c>
      <c r="G39" s="31">
        <v>0</v>
      </c>
      <c r="H39" s="54">
        <f t="shared" ref="H39:H64" si="2">E39-G39</f>
        <v>0</v>
      </c>
      <c r="J39" s="120" t="str">
        <f t="shared" ref="J39:J64" si="3">B39</f>
        <v>Mixed Paper</v>
      </c>
      <c r="K39" s="31">
        <f>'Waste Composition'!M49/2000</f>
        <v>0</v>
      </c>
      <c r="L39" s="141">
        <f t="shared" ref="L39:L64" si="4">D39</f>
        <v>7.470296200674445E-2</v>
      </c>
      <c r="M39" s="13">
        <f>K39*L39</f>
        <v>0</v>
      </c>
      <c r="N39" s="13">
        <f t="shared" ref="N39:N64" si="5">F39</f>
        <v>-3.5455235990647034</v>
      </c>
      <c r="O39" s="31">
        <f t="shared" ref="O39:O59" si="6">K39*N39</f>
        <v>0</v>
      </c>
      <c r="P39" s="54">
        <f t="shared" ref="P39:P64" si="7">M39-O39</f>
        <v>0</v>
      </c>
      <c r="R39" s="120" t="str">
        <f t="shared" ref="R39:R64" si="8">B39</f>
        <v>Mixed Paper</v>
      </c>
      <c r="S39" s="142">
        <f>'Waste Composition'!U49/2000</f>
        <v>0</v>
      </c>
      <c r="T39" s="63">
        <f t="shared" ref="T39:T67" si="9">D39</f>
        <v>7.470296200674445E-2</v>
      </c>
      <c r="U39" s="13">
        <f t="shared" ref="U39:U59" si="10">S39*T39</f>
        <v>0</v>
      </c>
      <c r="V39" s="13">
        <v>0</v>
      </c>
      <c r="W39" s="31">
        <f t="shared" ref="W39:W64" si="11">S39*V39</f>
        <v>0</v>
      </c>
      <c r="X39" s="54">
        <f t="shared" ref="X39:X67" si="12">U39-W39</f>
        <v>0</v>
      </c>
    </row>
    <row r="40" spans="2:24" ht="15" customHeight="1">
      <c r="B40" s="120" t="str">
        <f>'Waste Composition'!B50</f>
        <v>Office Paper</v>
      </c>
      <c r="C40" s="31">
        <f>'Waste Composition'!E50/2000</f>
        <v>0</v>
      </c>
      <c r="D40" s="31">
        <f>'WARM Results'!J17</f>
        <v>1.1338746968208027</v>
      </c>
      <c r="E40" s="13">
        <f t="shared" si="1"/>
        <v>0</v>
      </c>
      <c r="F40" s="31">
        <f>'WARM Results'!S17</f>
        <v>-2.8637458899895774</v>
      </c>
      <c r="G40" s="31">
        <v>0</v>
      </c>
      <c r="H40" s="54">
        <f>E40-G40</f>
        <v>0</v>
      </c>
      <c r="J40" s="120" t="str">
        <f t="shared" si="3"/>
        <v>Office Paper</v>
      </c>
      <c r="K40" s="31">
        <f>'Waste Composition'!M50/2000</f>
        <v>0</v>
      </c>
      <c r="L40" s="141">
        <f t="shared" si="4"/>
        <v>1.1338746968208027</v>
      </c>
      <c r="M40" s="13">
        <f>K40*L40</f>
        <v>0</v>
      </c>
      <c r="N40" s="13">
        <f t="shared" si="5"/>
        <v>-2.8637458899895774</v>
      </c>
      <c r="O40" s="31">
        <f t="shared" si="6"/>
        <v>0</v>
      </c>
      <c r="P40" s="54">
        <f t="shared" si="7"/>
        <v>0</v>
      </c>
      <c r="R40" s="120" t="str">
        <f t="shared" si="8"/>
        <v>Office Paper</v>
      </c>
      <c r="S40" s="142">
        <f>'Waste Composition'!U50/2000</f>
        <v>0</v>
      </c>
      <c r="T40" s="63">
        <f t="shared" si="9"/>
        <v>1.1338746968208027</v>
      </c>
      <c r="U40" s="13">
        <f t="shared" si="10"/>
        <v>0</v>
      </c>
      <c r="V40" s="13">
        <v>0</v>
      </c>
      <c r="W40" s="31">
        <f t="shared" si="11"/>
        <v>0</v>
      </c>
      <c r="X40" s="54">
        <f t="shared" si="12"/>
        <v>0</v>
      </c>
    </row>
    <row r="41" spans="2:24" ht="15" customHeight="1">
      <c r="B41" s="120" t="str">
        <f>'Waste Composition'!B51</f>
        <v>Plastic #1 PET</v>
      </c>
      <c r="C41" s="31">
        <f>'Waste Composition'!E51/2000</f>
        <v>0</v>
      </c>
      <c r="D41" s="31">
        <f>'WARM Results'!J24</f>
        <v>2.0254519141196047E-2</v>
      </c>
      <c r="E41" s="13">
        <f t="shared" si="1"/>
        <v>0</v>
      </c>
      <c r="F41" s="31">
        <f>'WARM Results'!S24</f>
        <v>-1.0357206316437553</v>
      </c>
      <c r="G41" s="31">
        <v>0</v>
      </c>
      <c r="H41" s="54">
        <f>E41-G41</f>
        <v>0</v>
      </c>
      <c r="J41" s="120" t="str">
        <f t="shared" si="3"/>
        <v>Plastic #1 PET</v>
      </c>
      <c r="K41" s="31">
        <f>'Waste Composition'!M51/2000</f>
        <v>0</v>
      </c>
      <c r="L41" s="141">
        <f t="shared" si="4"/>
        <v>2.0254519141196047E-2</v>
      </c>
      <c r="M41" s="13">
        <f t="shared" ref="M41:M64" si="13">K41*L41</f>
        <v>0</v>
      </c>
      <c r="N41" s="13">
        <f t="shared" si="5"/>
        <v>-1.0357206316437553</v>
      </c>
      <c r="O41" s="31">
        <f t="shared" si="6"/>
        <v>0</v>
      </c>
      <c r="P41" s="54">
        <f t="shared" si="7"/>
        <v>0</v>
      </c>
      <c r="R41" s="120" t="str">
        <f t="shared" si="8"/>
        <v>Plastic #1 PET</v>
      </c>
      <c r="S41" s="142">
        <f>'Waste Composition'!U51/2000</f>
        <v>0</v>
      </c>
      <c r="T41" s="63">
        <f t="shared" si="9"/>
        <v>2.0254519141196047E-2</v>
      </c>
      <c r="U41" s="13">
        <f t="shared" si="10"/>
        <v>0</v>
      </c>
      <c r="V41" s="13">
        <v>0</v>
      </c>
      <c r="W41" s="31">
        <f t="shared" si="11"/>
        <v>0</v>
      </c>
      <c r="X41" s="54">
        <f t="shared" si="12"/>
        <v>0</v>
      </c>
    </row>
    <row r="42" spans="2:24" ht="15" customHeight="1">
      <c r="B42" s="120" t="str">
        <f>'Waste Composition'!B52</f>
        <v>Plastic #2 HDPE</v>
      </c>
      <c r="C42" s="31">
        <f>'Waste Composition'!E52/2000</f>
        <v>0</v>
      </c>
      <c r="D42" s="31">
        <f>'WARM Results'!J23</f>
        <v>2.0254519141196047E-2</v>
      </c>
      <c r="E42" s="13">
        <f t="shared" si="1"/>
        <v>0</v>
      </c>
      <c r="F42" s="31">
        <f>'WARM Results'!S23</f>
        <v>-0.75845019481932519</v>
      </c>
      <c r="G42" s="31">
        <v>0</v>
      </c>
      <c r="H42" s="54">
        <f t="shared" si="2"/>
        <v>0</v>
      </c>
      <c r="J42" s="120" t="str">
        <f t="shared" si="3"/>
        <v>Plastic #2 HDPE</v>
      </c>
      <c r="K42" s="31">
        <f>'Waste Composition'!M52/2000</f>
        <v>0</v>
      </c>
      <c r="L42" s="141">
        <f t="shared" si="4"/>
        <v>2.0254519141196047E-2</v>
      </c>
      <c r="M42" s="13">
        <f t="shared" si="13"/>
        <v>0</v>
      </c>
      <c r="N42" s="13">
        <f t="shared" si="5"/>
        <v>-0.75845019481932519</v>
      </c>
      <c r="O42" s="31">
        <f t="shared" si="6"/>
        <v>0</v>
      </c>
      <c r="P42" s="54">
        <f t="shared" si="7"/>
        <v>0</v>
      </c>
      <c r="R42" s="120" t="str">
        <f t="shared" si="8"/>
        <v>Plastic #2 HDPE</v>
      </c>
      <c r="S42" s="142">
        <f>'Waste Composition'!U52/2000</f>
        <v>0</v>
      </c>
      <c r="T42" s="63">
        <f t="shared" si="9"/>
        <v>2.0254519141196047E-2</v>
      </c>
      <c r="U42" s="13">
        <f t="shared" si="10"/>
        <v>0</v>
      </c>
      <c r="V42" s="13">
        <v>0</v>
      </c>
      <c r="W42" s="31">
        <f t="shared" si="11"/>
        <v>0</v>
      </c>
      <c r="X42" s="54">
        <f t="shared" si="12"/>
        <v>0</v>
      </c>
    </row>
    <row r="43" spans="2:24" ht="15" customHeight="1">
      <c r="B43" s="120" t="str">
        <f>'Waste Composition'!B53</f>
        <v>Plastic #5 PP</v>
      </c>
      <c r="C43" s="31">
        <f>'Waste Composition'!E53/2000</f>
        <v>0</v>
      </c>
      <c r="D43" s="31">
        <f>'WARM Results'!J25</f>
        <v>2.0254519141196047E-2</v>
      </c>
      <c r="E43" s="13">
        <f t="shared" si="1"/>
        <v>0</v>
      </c>
      <c r="F43" s="31">
        <f>'WARM Results'!S25</f>
        <v>-0.79374839120334784</v>
      </c>
      <c r="G43" s="31">
        <v>0</v>
      </c>
      <c r="H43" s="54">
        <f t="shared" si="2"/>
        <v>0</v>
      </c>
      <c r="J43" s="120" t="str">
        <f t="shared" si="3"/>
        <v>Plastic #5 PP</v>
      </c>
      <c r="K43" s="31">
        <f>'Waste Composition'!M53/2000</f>
        <v>0</v>
      </c>
      <c r="L43" s="141">
        <f t="shared" si="4"/>
        <v>2.0254519141196047E-2</v>
      </c>
      <c r="M43" s="13">
        <f t="shared" si="13"/>
        <v>0</v>
      </c>
      <c r="N43" s="13">
        <f t="shared" si="5"/>
        <v>-0.79374839120334784</v>
      </c>
      <c r="O43" s="31">
        <f t="shared" si="6"/>
        <v>0</v>
      </c>
      <c r="P43" s="54">
        <f t="shared" si="7"/>
        <v>0</v>
      </c>
      <c r="R43" s="120" t="str">
        <f t="shared" si="8"/>
        <v>Plastic #5 PP</v>
      </c>
      <c r="S43" s="142">
        <f>'Waste Composition'!U53/2000</f>
        <v>0</v>
      </c>
      <c r="T43" s="63">
        <f t="shared" si="9"/>
        <v>2.0254519141196047E-2</v>
      </c>
      <c r="U43" s="13">
        <f t="shared" si="10"/>
        <v>0</v>
      </c>
      <c r="V43" s="13">
        <v>0</v>
      </c>
      <c r="W43" s="31">
        <f t="shared" si="11"/>
        <v>0</v>
      </c>
      <c r="X43" s="54">
        <f t="shared" si="12"/>
        <v>0</v>
      </c>
    </row>
    <row r="44" spans="2:24" ht="15" customHeight="1">
      <c r="B44" s="120" t="str">
        <f>'Waste Composition'!B54</f>
        <v>Plastic #3-7 Mixed</v>
      </c>
      <c r="C44" s="31">
        <f>'Waste Composition'!E54/2000</f>
        <v>0</v>
      </c>
      <c r="D44" s="31">
        <f>'WARM Results'!J26</f>
        <v>2.0254519141196047E-2</v>
      </c>
      <c r="E44" s="13">
        <f t="shared" si="1"/>
        <v>0</v>
      </c>
      <c r="F44" s="31">
        <f>'WARM Results'!S26</f>
        <v>-0.92552340675199463</v>
      </c>
      <c r="G44" s="31">
        <v>0</v>
      </c>
      <c r="H44" s="54">
        <f t="shared" si="2"/>
        <v>0</v>
      </c>
      <c r="J44" s="120" t="str">
        <f t="shared" si="3"/>
        <v>Plastic #3-7 Mixed</v>
      </c>
      <c r="K44" s="31">
        <f>'Waste Composition'!M54/2000</f>
        <v>0</v>
      </c>
      <c r="L44" s="141">
        <f t="shared" si="4"/>
        <v>2.0254519141196047E-2</v>
      </c>
      <c r="M44" s="13">
        <f t="shared" si="13"/>
        <v>0</v>
      </c>
      <c r="N44" s="13">
        <f t="shared" si="5"/>
        <v>-0.92552340675199463</v>
      </c>
      <c r="O44" s="31">
        <f t="shared" si="6"/>
        <v>0</v>
      </c>
      <c r="P44" s="54">
        <f t="shared" si="7"/>
        <v>0</v>
      </c>
      <c r="R44" s="120" t="str">
        <f t="shared" si="8"/>
        <v>Plastic #3-7 Mixed</v>
      </c>
      <c r="S44" s="142">
        <f>'Waste Composition'!U54/2000</f>
        <v>0</v>
      </c>
      <c r="T44" s="63">
        <f t="shared" si="9"/>
        <v>2.0254519141196047E-2</v>
      </c>
      <c r="U44" s="13">
        <f t="shared" si="10"/>
        <v>0</v>
      </c>
      <c r="V44" s="13">
        <v>0</v>
      </c>
      <c r="W44" s="31">
        <f t="shared" si="11"/>
        <v>0</v>
      </c>
      <c r="X44" s="54">
        <f t="shared" si="12"/>
        <v>0</v>
      </c>
    </row>
    <row r="45" spans="2:24" ht="15" customHeight="1">
      <c r="B45" s="120" t="str">
        <f>'Waste Composition'!B55</f>
        <v>Plastic Film/Bags</v>
      </c>
      <c r="C45" s="31">
        <f>'Waste Composition'!E55/2000</f>
        <v>0</v>
      </c>
      <c r="D45" s="62">
        <f>'WARM Results'!J26</f>
        <v>2.0254519141196047E-2</v>
      </c>
      <c r="E45" s="13">
        <f t="shared" si="1"/>
        <v>0</v>
      </c>
      <c r="F45" s="62">
        <f>'WARM Results'!S26</f>
        <v>-0.92552340675199463</v>
      </c>
      <c r="G45" s="31">
        <v>0</v>
      </c>
      <c r="H45" s="54">
        <f t="shared" si="2"/>
        <v>0</v>
      </c>
      <c r="J45" s="120" t="str">
        <f t="shared" si="3"/>
        <v>Plastic Film/Bags</v>
      </c>
      <c r="K45" s="31">
        <f>'Waste Composition'!M55/2000</f>
        <v>0</v>
      </c>
      <c r="L45" s="141">
        <f t="shared" si="4"/>
        <v>2.0254519141196047E-2</v>
      </c>
      <c r="M45" s="13">
        <f t="shared" si="13"/>
        <v>0</v>
      </c>
      <c r="N45" s="13">
        <f t="shared" si="5"/>
        <v>-0.92552340675199463</v>
      </c>
      <c r="O45" s="31">
        <f t="shared" si="6"/>
        <v>0</v>
      </c>
      <c r="P45" s="54">
        <f t="shared" si="7"/>
        <v>0</v>
      </c>
      <c r="R45" s="120" t="str">
        <f t="shared" si="8"/>
        <v>Plastic Film/Bags</v>
      </c>
      <c r="S45" s="142">
        <f>'Waste Composition'!U55/2000</f>
        <v>0</v>
      </c>
      <c r="T45" s="63">
        <f t="shared" si="9"/>
        <v>2.0254519141196047E-2</v>
      </c>
      <c r="U45" s="13">
        <f t="shared" si="10"/>
        <v>0</v>
      </c>
      <c r="V45" s="13">
        <v>0</v>
      </c>
      <c r="W45" s="31">
        <f t="shared" si="11"/>
        <v>0</v>
      </c>
      <c r="X45" s="54">
        <f t="shared" si="12"/>
        <v>0</v>
      </c>
    </row>
    <row r="46" spans="2:24" ht="15" customHeight="1">
      <c r="B46" s="120" t="str">
        <f>'Waste Composition'!B56</f>
        <v>Plastic Foam</v>
      </c>
      <c r="C46" s="31">
        <f>'Waste Composition'!E56/2000</f>
        <v>0</v>
      </c>
      <c r="D46" s="62">
        <f>'WARM Results'!J26</f>
        <v>2.0254519141196047E-2</v>
      </c>
      <c r="E46" s="13">
        <f t="shared" si="1"/>
        <v>0</v>
      </c>
      <c r="F46" s="62">
        <f>'WARM Results'!S26</f>
        <v>-0.92552340675199463</v>
      </c>
      <c r="G46" s="31">
        <v>0</v>
      </c>
      <c r="H46" s="54">
        <f t="shared" si="2"/>
        <v>0</v>
      </c>
      <c r="J46" s="120" t="str">
        <f t="shared" si="3"/>
        <v>Plastic Foam</v>
      </c>
      <c r="K46" s="31">
        <f>'Waste Composition'!M56/2000</f>
        <v>0</v>
      </c>
      <c r="L46" s="141">
        <f t="shared" si="4"/>
        <v>2.0254519141196047E-2</v>
      </c>
      <c r="M46" s="13">
        <f t="shared" si="13"/>
        <v>0</v>
      </c>
      <c r="N46" s="13">
        <f t="shared" si="5"/>
        <v>-0.92552340675199463</v>
      </c>
      <c r="O46" s="31">
        <f t="shared" si="6"/>
        <v>0</v>
      </c>
      <c r="P46" s="54">
        <f t="shared" si="7"/>
        <v>0</v>
      </c>
      <c r="R46" s="120" t="str">
        <f t="shared" si="8"/>
        <v>Plastic Foam</v>
      </c>
      <c r="S46" s="142">
        <f>'Waste Composition'!U56/2000</f>
        <v>0</v>
      </c>
      <c r="T46" s="63">
        <f t="shared" si="9"/>
        <v>2.0254519141196047E-2</v>
      </c>
      <c r="U46" s="13">
        <f t="shared" si="10"/>
        <v>0</v>
      </c>
      <c r="V46" s="13">
        <v>0</v>
      </c>
      <c r="W46" s="31">
        <f t="shared" si="11"/>
        <v>0</v>
      </c>
      <c r="X46" s="54">
        <f t="shared" si="12"/>
        <v>0</v>
      </c>
    </row>
    <row r="47" spans="2:24" ht="15" customHeight="1">
      <c r="B47" s="120" t="str">
        <f>'Waste Composition'!B57</f>
        <v>Other Plastics</v>
      </c>
      <c r="C47" s="31">
        <f>'Waste Composition'!E57/2000</f>
        <v>0</v>
      </c>
      <c r="D47" s="62">
        <f>'WARM Results'!J26</f>
        <v>2.0254519141196047E-2</v>
      </c>
      <c r="E47" s="13">
        <f t="shared" si="1"/>
        <v>0</v>
      </c>
      <c r="F47" s="62">
        <f>'WARM Results'!S26</f>
        <v>-0.92552340675199463</v>
      </c>
      <c r="G47" s="31">
        <v>0</v>
      </c>
      <c r="H47" s="54">
        <f t="shared" si="2"/>
        <v>0</v>
      </c>
      <c r="J47" s="120" t="str">
        <f t="shared" si="3"/>
        <v>Other Plastics</v>
      </c>
      <c r="K47" s="31">
        <f>'Waste Composition'!M57/2000</f>
        <v>0</v>
      </c>
      <c r="L47" s="141">
        <f t="shared" si="4"/>
        <v>2.0254519141196047E-2</v>
      </c>
      <c r="M47" s="13">
        <f t="shared" si="13"/>
        <v>0</v>
      </c>
      <c r="N47" s="13">
        <f t="shared" si="5"/>
        <v>-0.92552340675199463</v>
      </c>
      <c r="O47" s="31">
        <f t="shared" si="6"/>
        <v>0</v>
      </c>
      <c r="P47" s="54">
        <f t="shared" si="7"/>
        <v>0</v>
      </c>
      <c r="R47" s="120" t="str">
        <f t="shared" si="8"/>
        <v>Other Plastics</v>
      </c>
      <c r="S47" s="142">
        <f>'Waste Composition'!U57/2000</f>
        <v>0</v>
      </c>
      <c r="T47" s="63">
        <f t="shared" si="9"/>
        <v>2.0254519141196047E-2</v>
      </c>
      <c r="U47" s="13">
        <f t="shared" si="10"/>
        <v>0</v>
      </c>
      <c r="V47" s="13">
        <v>0</v>
      </c>
      <c r="W47" s="31">
        <f t="shared" si="11"/>
        <v>0</v>
      </c>
      <c r="X47" s="54">
        <f t="shared" si="12"/>
        <v>0</v>
      </c>
    </row>
    <row r="48" spans="2:24" ht="15" customHeight="1">
      <c r="B48" s="120" t="str">
        <f>'Waste Composition'!B58</f>
        <v>Glass Containers</v>
      </c>
      <c r="C48" s="31">
        <f>'Waste Composition'!E58/2000</f>
        <v>0</v>
      </c>
      <c r="D48" s="62">
        <f>'WARM Results'!J33</f>
        <v>2.0254519141196047E-2</v>
      </c>
      <c r="E48" s="13">
        <f t="shared" si="1"/>
        <v>0</v>
      </c>
      <c r="F48" s="62">
        <f>'WARM Results'!S33</f>
        <v>-0.2760901764592596</v>
      </c>
      <c r="G48" s="31">
        <v>0</v>
      </c>
      <c r="H48" s="54">
        <f t="shared" si="2"/>
        <v>0</v>
      </c>
      <c r="J48" s="120" t="str">
        <f t="shared" si="3"/>
        <v>Glass Containers</v>
      </c>
      <c r="K48" s="31">
        <f>'Waste Composition'!M58/2000</f>
        <v>0</v>
      </c>
      <c r="L48" s="141">
        <f t="shared" si="4"/>
        <v>2.0254519141196047E-2</v>
      </c>
      <c r="M48" s="13">
        <f t="shared" si="13"/>
        <v>0</v>
      </c>
      <c r="N48" s="13">
        <f t="shared" si="5"/>
        <v>-0.2760901764592596</v>
      </c>
      <c r="O48" s="31">
        <f t="shared" si="6"/>
        <v>0</v>
      </c>
      <c r="P48" s="54">
        <f t="shared" si="7"/>
        <v>0</v>
      </c>
      <c r="R48" s="120" t="str">
        <f t="shared" si="8"/>
        <v>Glass Containers</v>
      </c>
      <c r="S48" s="142">
        <f>'Waste Composition'!U58/2000</f>
        <v>0</v>
      </c>
      <c r="T48" s="63">
        <f t="shared" si="9"/>
        <v>2.0254519141196047E-2</v>
      </c>
      <c r="U48" s="13">
        <f t="shared" si="10"/>
        <v>0</v>
      </c>
      <c r="V48" s="13">
        <v>0</v>
      </c>
      <c r="W48" s="31">
        <f t="shared" si="11"/>
        <v>0</v>
      </c>
      <c r="X48" s="54">
        <f t="shared" si="12"/>
        <v>0</v>
      </c>
    </row>
    <row r="49" spans="2:24" ht="15" customHeight="1">
      <c r="B49" s="120" t="str">
        <f>'Waste Composition'!B59</f>
        <v>Other Glass</v>
      </c>
      <c r="C49" s="31">
        <f>'Waste Composition'!E59/2000</f>
        <v>0</v>
      </c>
      <c r="D49" s="62">
        <f>'WARM Results'!J33</f>
        <v>2.0254519141196047E-2</v>
      </c>
      <c r="E49" s="13">
        <f t="shared" si="1"/>
        <v>0</v>
      </c>
      <c r="F49" s="62">
        <f>'WARM Results'!S33</f>
        <v>-0.2760901764592596</v>
      </c>
      <c r="G49" s="31">
        <v>0</v>
      </c>
      <c r="H49" s="54">
        <f t="shared" si="2"/>
        <v>0</v>
      </c>
      <c r="J49" s="120" t="str">
        <f t="shared" si="3"/>
        <v>Other Glass</v>
      </c>
      <c r="K49" s="31">
        <f>'Waste Composition'!M59/2000</f>
        <v>0</v>
      </c>
      <c r="L49" s="141">
        <f t="shared" si="4"/>
        <v>2.0254519141196047E-2</v>
      </c>
      <c r="M49" s="13">
        <f t="shared" si="13"/>
        <v>0</v>
      </c>
      <c r="N49" s="13">
        <f t="shared" si="5"/>
        <v>-0.2760901764592596</v>
      </c>
      <c r="O49" s="31">
        <f t="shared" si="6"/>
        <v>0</v>
      </c>
      <c r="P49" s="54">
        <f t="shared" si="7"/>
        <v>0</v>
      </c>
      <c r="R49" s="120" t="str">
        <f t="shared" si="8"/>
        <v>Other Glass</v>
      </c>
      <c r="S49" s="142">
        <f>'Waste Composition'!U59/2000</f>
        <v>0</v>
      </c>
      <c r="T49" s="63">
        <f t="shared" si="9"/>
        <v>2.0254519141196047E-2</v>
      </c>
      <c r="U49" s="13">
        <f t="shared" si="10"/>
        <v>0</v>
      </c>
      <c r="V49" s="13">
        <v>0</v>
      </c>
      <c r="W49" s="31">
        <f t="shared" si="11"/>
        <v>0</v>
      </c>
      <c r="X49" s="54">
        <f t="shared" si="12"/>
        <v>0</v>
      </c>
    </row>
    <row r="50" spans="2:24" ht="15" customHeight="1">
      <c r="B50" s="120" t="str">
        <f>'Waste Composition'!B60</f>
        <v>Aluminum Cans</v>
      </c>
      <c r="C50" s="31">
        <f>'Waste Composition'!E60/2000</f>
        <v>0</v>
      </c>
      <c r="D50" s="62">
        <f>'WARM Results'!J29</f>
        <v>2.0254519141196047E-2</v>
      </c>
      <c r="E50" s="13">
        <f t="shared" si="1"/>
        <v>0</v>
      </c>
      <c r="F50" s="62">
        <f>'WARM Results'!S29</f>
        <v>-9.1273781621056216</v>
      </c>
      <c r="G50" s="31">
        <v>0</v>
      </c>
      <c r="H50" s="54">
        <f t="shared" si="2"/>
        <v>0</v>
      </c>
      <c r="J50" s="120" t="str">
        <f t="shared" si="3"/>
        <v>Aluminum Cans</v>
      </c>
      <c r="K50" s="31">
        <f>'Waste Composition'!M60/2000</f>
        <v>0</v>
      </c>
      <c r="L50" s="141">
        <f t="shared" si="4"/>
        <v>2.0254519141196047E-2</v>
      </c>
      <c r="M50" s="13">
        <f t="shared" si="13"/>
        <v>0</v>
      </c>
      <c r="N50" s="13">
        <f t="shared" si="5"/>
        <v>-9.1273781621056216</v>
      </c>
      <c r="O50" s="31">
        <f t="shared" si="6"/>
        <v>0</v>
      </c>
      <c r="P50" s="54">
        <f t="shared" si="7"/>
        <v>0</v>
      </c>
      <c r="R50" s="120" t="str">
        <f t="shared" si="8"/>
        <v>Aluminum Cans</v>
      </c>
      <c r="S50" s="142">
        <f>'Waste Composition'!U60/2000</f>
        <v>0</v>
      </c>
      <c r="T50" s="63">
        <f t="shared" si="9"/>
        <v>2.0254519141196047E-2</v>
      </c>
      <c r="U50" s="13">
        <f t="shared" si="10"/>
        <v>0</v>
      </c>
      <c r="V50" s="13">
        <v>0</v>
      </c>
      <c r="W50" s="31">
        <f t="shared" si="11"/>
        <v>0</v>
      </c>
      <c r="X50" s="54">
        <f t="shared" si="12"/>
        <v>0</v>
      </c>
    </row>
    <row r="51" spans="2:24" ht="15" customHeight="1">
      <c r="B51" s="120" t="str">
        <f>'Waste Composition'!B61</f>
        <v>Steel/Tin Cans</v>
      </c>
      <c r="C51" s="31">
        <f>'Waste Composition'!E61/2000</f>
        <v>0</v>
      </c>
      <c r="D51" s="62">
        <f>'WARM Results'!J30</f>
        <v>2.0254519141196047E-2</v>
      </c>
      <c r="E51" s="13">
        <f t="shared" si="1"/>
        <v>0</v>
      </c>
      <c r="F51" s="62">
        <f>'WARM Results'!S30</f>
        <v>-1.8320754180112897</v>
      </c>
      <c r="G51" s="31">
        <v>0</v>
      </c>
      <c r="H51" s="54">
        <f t="shared" si="2"/>
        <v>0</v>
      </c>
      <c r="J51" s="120" t="str">
        <f t="shared" si="3"/>
        <v>Steel/Tin Cans</v>
      </c>
      <c r="K51" s="31">
        <f>'Waste Composition'!M61/2000</f>
        <v>0</v>
      </c>
      <c r="L51" s="141">
        <f t="shared" si="4"/>
        <v>2.0254519141196047E-2</v>
      </c>
      <c r="M51" s="13">
        <f t="shared" si="13"/>
        <v>0</v>
      </c>
      <c r="N51" s="13">
        <f t="shared" si="5"/>
        <v>-1.8320754180112897</v>
      </c>
      <c r="O51" s="31">
        <f t="shared" si="6"/>
        <v>0</v>
      </c>
      <c r="P51" s="54">
        <f t="shared" si="7"/>
        <v>0</v>
      </c>
      <c r="R51" s="120" t="str">
        <f t="shared" si="8"/>
        <v>Steel/Tin Cans</v>
      </c>
      <c r="S51" s="142">
        <f>'Waste Composition'!U61/2000</f>
        <v>0</v>
      </c>
      <c r="T51" s="63">
        <f t="shared" si="9"/>
        <v>2.0254519141196047E-2</v>
      </c>
      <c r="U51" s="13">
        <f t="shared" si="10"/>
        <v>0</v>
      </c>
      <c r="V51" s="13">
        <v>0</v>
      </c>
      <c r="W51" s="31">
        <f t="shared" si="11"/>
        <v>0</v>
      </c>
      <c r="X51" s="54">
        <f t="shared" si="12"/>
        <v>0</v>
      </c>
    </row>
    <row r="52" spans="2:24" ht="15" customHeight="1">
      <c r="B52" s="120" t="str">
        <f>'Waste Composition'!B62</f>
        <v>Ferrous Metal</v>
      </c>
      <c r="C52" s="31">
        <f>'Waste Composition'!E62/2000</f>
        <v>0</v>
      </c>
      <c r="D52" s="62">
        <f>'WARM Results'!J32</f>
        <v>2.0254519141196047E-2</v>
      </c>
      <c r="E52" s="13">
        <f t="shared" si="1"/>
        <v>0</v>
      </c>
      <c r="F52" s="62">
        <f>'WARM Results'!S32</f>
        <v>-4.3911606737930704</v>
      </c>
      <c r="G52" s="31">
        <v>0</v>
      </c>
      <c r="H52" s="54">
        <f t="shared" si="2"/>
        <v>0</v>
      </c>
      <c r="J52" s="120" t="str">
        <f t="shared" si="3"/>
        <v>Ferrous Metal</v>
      </c>
      <c r="K52" s="31">
        <f>'Waste Composition'!M62/2000</f>
        <v>0</v>
      </c>
      <c r="L52" s="141">
        <f t="shared" si="4"/>
        <v>2.0254519141196047E-2</v>
      </c>
      <c r="M52" s="13">
        <f t="shared" si="13"/>
        <v>0</v>
      </c>
      <c r="N52" s="13">
        <f t="shared" si="5"/>
        <v>-4.3911606737930704</v>
      </c>
      <c r="O52" s="31">
        <f t="shared" si="6"/>
        <v>0</v>
      </c>
      <c r="P52" s="54">
        <f t="shared" si="7"/>
        <v>0</v>
      </c>
      <c r="R52" s="120" t="str">
        <f t="shared" si="8"/>
        <v>Ferrous Metal</v>
      </c>
      <c r="S52" s="142">
        <f>'Waste Composition'!U62/2000</f>
        <v>0</v>
      </c>
      <c r="T52" s="63">
        <f t="shared" si="9"/>
        <v>2.0254519141196047E-2</v>
      </c>
      <c r="U52" s="13">
        <f t="shared" si="10"/>
        <v>0</v>
      </c>
      <c r="V52" s="13">
        <v>0</v>
      </c>
      <c r="W52" s="31">
        <f t="shared" si="11"/>
        <v>0</v>
      </c>
      <c r="X52" s="54">
        <f t="shared" si="12"/>
        <v>0</v>
      </c>
    </row>
    <row r="53" spans="2:24" ht="15" customHeight="1">
      <c r="B53" s="120" t="str">
        <f>'Waste Composition'!B63</f>
        <v>Non-Ferrous Metal</v>
      </c>
      <c r="C53" s="31">
        <f>'Waste Composition'!E63/2000</f>
        <v>0</v>
      </c>
      <c r="D53" s="62">
        <f>'WARM Results'!J32</f>
        <v>2.0254519141196047E-2</v>
      </c>
      <c r="E53" s="13">
        <f t="shared" si="1"/>
        <v>0</v>
      </c>
      <c r="F53" s="62">
        <f>'WARM Results'!S32</f>
        <v>-4.3911606737930704</v>
      </c>
      <c r="G53" s="31">
        <v>0</v>
      </c>
      <c r="H53" s="54">
        <f t="shared" si="2"/>
        <v>0</v>
      </c>
      <c r="J53" s="120" t="str">
        <f t="shared" si="3"/>
        <v>Non-Ferrous Metal</v>
      </c>
      <c r="K53" s="31">
        <f>'Waste Composition'!M63/2000</f>
        <v>0</v>
      </c>
      <c r="L53" s="141">
        <f t="shared" si="4"/>
        <v>2.0254519141196047E-2</v>
      </c>
      <c r="M53" s="13">
        <f t="shared" si="13"/>
        <v>0</v>
      </c>
      <c r="N53" s="13">
        <f t="shared" si="5"/>
        <v>-4.3911606737930704</v>
      </c>
      <c r="O53" s="31">
        <f t="shared" si="6"/>
        <v>0</v>
      </c>
      <c r="P53" s="54">
        <f t="shared" si="7"/>
        <v>0</v>
      </c>
      <c r="R53" s="120" t="str">
        <f t="shared" si="8"/>
        <v>Non-Ferrous Metal</v>
      </c>
      <c r="S53" s="142">
        <f>'Waste Composition'!U63/2000</f>
        <v>0</v>
      </c>
      <c r="T53" s="63">
        <f t="shared" si="9"/>
        <v>2.0254519141196047E-2</v>
      </c>
      <c r="U53" s="13">
        <f t="shared" si="10"/>
        <v>0</v>
      </c>
      <c r="V53" s="13">
        <v>0</v>
      </c>
      <c r="W53" s="31">
        <f t="shared" si="11"/>
        <v>0</v>
      </c>
      <c r="X53" s="54">
        <f t="shared" si="12"/>
        <v>0</v>
      </c>
    </row>
    <row r="54" spans="2:24" ht="15" customHeight="1">
      <c r="B54" s="120" t="str">
        <f>'Waste Composition'!B64</f>
        <v>Batteries</v>
      </c>
      <c r="C54" s="31">
        <f>'Waste Composition'!E64/2000</f>
        <v>0</v>
      </c>
      <c r="D54" s="62">
        <f>'WARM Results'!J28</f>
        <v>2.0254519141196047E-2</v>
      </c>
      <c r="E54" s="13">
        <f t="shared" si="1"/>
        <v>0</v>
      </c>
      <c r="F54" s="62">
        <f>'WARM Results'!S28</f>
        <v>-0.9038615759580324</v>
      </c>
      <c r="G54" s="31">
        <v>0</v>
      </c>
      <c r="H54" s="54">
        <f t="shared" si="2"/>
        <v>0</v>
      </c>
      <c r="J54" s="120" t="str">
        <f t="shared" si="3"/>
        <v>Batteries</v>
      </c>
      <c r="K54" s="31">
        <f>'Waste Composition'!M64/2000</f>
        <v>0</v>
      </c>
      <c r="L54" s="141">
        <f t="shared" si="4"/>
        <v>2.0254519141196047E-2</v>
      </c>
      <c r="M54" s="13">
        <f t="shared" si="13"/>
        <v>0</v>
      </c>
      <c r="N54" s="13">
        <f t="shared" si="5"/>
        <v>-0.9038615759580324</v>
      </c>
      <c r="O54" s="31">
        <f t="shared" si="6"/>
        <v>0</v>
      </c>
      <c r="P54" s="54">
        <f t="shared" si="7"/>
        <v>0</v>
      </c>
      <c r="R54" s="120" t="str">
        <f t="shared" si="8"/>
        <v>Batteries</v>
      </c>
      <c r="S54" s="142">
        <f>'Waste Composition'!U64/2000</f>
        <v>0</v>
      </c>
      <c r="T54" s="63">
        <f t="shared" si="9"/>
        <v>2.0254519141196047E-2</v>
      </c>
      <c r="U54" s="13">
        <f t="shared" si="10"/>
        <v>0</v>
      </c>
      <c r="V54" s="13">
        <v>0</v>
      </c>
      <c r="W54" s="31">
        <f t="shared" si="11"/>
        <v>0</v>
      </c>
      <c r="X54" s="54">
        <f t="shared" si="12"/>
        <v>0</v>
      </c>
    </row>
    <row r="55" spans="2:24" ht="15" customHeight="1">
      <c r="B55" s="120" t="str">
        <f>'Waste Composition'!B65</f>
        <v>Appliances</v>
      </c>
      <c r="C55" s="31">
        <f>'Waste Composition'!E65/2000</f>
        <v>0</v>
      </c>
      <c r="D55" s="62">
        <f>'WARM Results'!J32</f>
        <v>2.0254519141196047E-2</v>
      </c>
      <c r="E55" s="13">
        <f t="shared" si="1"/>
        <v>0</v>
      </c>
      <c r="F55" s="62">
        <f>'WARM Results'!S32</f>
        <v>-4.3911606737930704</v>
      </c>
      <c r="G55" s="31">
        <v>0</v>
      </c>
      <c r="H55" s="54">
        <f t="shared" si="2"/>
        <v>0</v>
      </c>
      <c r="J55" s="120" t="str">
        <f t="shared" si="3"/>
        <v>Appliances</v>
      </c>
      <c r="K55" s="31">
        <f>'Waste Composition'!M65/2000</f>
        <v>0</v>
      </c>
      <c r="L55" s="141">
        <f t="shared" si="4"/>
        <v>2.0254519141196047E-2</v>
      </c>
      <c r="M55" s="13">
        <f t="shared" si="13"/>
        <v>0</v>
      </c>
      <c r="N55" s="13">
        <f t="shared" si="5"/>
        <v>-4.3911606737930704</v>
      </c>
      <c r="O55" s="31">
        <f t="shared" si="6"/>
        <v>0</v>
      </c>
      <c r="P55" s="54">
        <f t="shared" si="7"/>
        <v>0</v>
      </c>
      <c r="R55" s="120" t="str">
        <f t="shared" si="8"/>
        <v>Appliances</v>
      </c>
      <c r="S55" s="142">
        <f>'Waste Composition'!U65/2000</f>
        <v>0</v>
      </c>
      <c r="T55" s="63">
        <f t="shared" si="9"/>
        <v>2.0254519141196047E-2</v>
      </c>
      <c r="U55" s="13">
        <f t="shared" si="10"/>
        <v>0</v>
      </c>
      <c r="V55" s="13">
        <v>0</v>
      </c>
      <c r="W55" s="31">
        <f t="shared" si="11"/>
        <v>0</v>
      </c>
      <c r="X55" s="54">
        <f t="shared" si="12"/>
        <v>0</v>
      </c>
    </row>
    <row r="56" spans="2:24" ht="15" customHeight="1">
      <c r="B56" s="120" t="str">
        <f>'Waste Composition'!B66</f>
        <v>Electronics</v>
      </c>
      <c r="C56" s="31">
        <f>'Waste Composition'!E66/2000</f>
        <v>0</v>
      </c>
      <c r="D56" s="62">
        <f>'WARM Results'!J28</f>
        <v>2.0254519141196047E-2</v>
      </c>
      <c r="E56" s="13">
        <f t="shared" si="1"/>
        <v>0</v>
      </c>
      <c r="F56" s="62">
        <f>'WARM Results'!S28</f>
        <v>-0.9038615759580324</v>
      </c>
      <c r="G56" s="31">
        <v>0</v>
      </c>
      <c r="H56" s="54">
        <f t="shared" si="2"/>
        <v>0</v>
      </c>
      <c r="J56" s="120" t="str">
        <f t="shared" si="3"/>
        <v>Electronics</v>
      </c>
      <c r="K56" s="31">
        <f>'Waste Composition'!M66/2000</f>
        <v>0</v>
      </c>
      <c r="L56" s="141">
        <f t="shared" si="4"/>
        <v>2.0254519141196047E-2</v>
      </c>
      <c r="M56" s="13">
        <f t="shared" si="13"/>
        <v>0</v>
      </c>
      <c r="N56" s="13">
        <f t="shared" si="5"/>
        <v>-0.9038615759580324</v>
      </c>
      <c r="O56" s="31">
        <f t="shared" si="6"/>
        <v>0</v>
      </c>
      <c r="P56" s="54">
        <f t="shared" si="7"/>
        <v>0</v>
      </c>
      <c r="R56" s="120" t="str">
        <f t="shared" si="8"/>
        <v>Electronics</v>
      </c>
      <c r="S56" s="142">
        <f>'Waste Composition'!U66/2000</f>
        <v>0</v>
      </c>
      <c r="T56" s="63">
        <f t="shared" si="9"/>
        <v>2.0254519141196047E-2</v>
      </c>
      <c r="U56" s="13">
        <f t="shared" si="10"/>
        <v>0</v>
      </c>
      <c r="V56" s="13">
        <v>0</v>
      </c>
      <c r="W56" s="31">
        <f t="shared" si="11"/>
        <v>0</v>
      </c>
      <c r="X56" s="54">
        <f t="shared" si="12"/>
        <v>0</v>
      </c>
    </row>
    <row r="57" spans="2:24" ht="15" customHeight="1">
      <c r="B57" s="120" t="str">
        <f>'Waste Composition'!B67</f>
        <v>Tires</v>
      </c>
      <c r="C57" s="31">
        <f>'Waste Composition'!E67/2000</f>
        <v>0</v>
      </c>
      <c r="D57" s="62">
        <f>'WARM Results'!J34</f>
        <v>2.0254519141196047E-2</v>
      </c>
      <c r="E57" s="13">
        <f t="shared" si="1"/>
        <v>0</v>
      </c>
      <c r="F57" s="62">
        <f>'WARM Results'!S34</f>
        <v>-0.37630348405859365</v>
      </c>
      <c r="G57" s="31">
        <v>0</v>
      </c>
      <c r="H57" s="54">
        <f t="shared" si="2"/>
        <v>0</v>
      </c>
      <c r="J57" s="120" t="str">
        <f t="shared" si="3"/>
        <v>Tires</v>
      </c>
      <c r="K57" s="31">
        <f>'Waste Composition'!M67/2000</f>
        <v>0</v>
      </c>
      <c r="L57" s="141">
        <f t="shared" si="4"/>
        <v>2.0254519141196047E-2</v>
      </c>
      <c r="M57" s="13">
        <f t="shared" si="13"/>
        <v>0</v>
      </c>
      <c r="N57" s="13">
        <f t="shared" si="5"/>
        <v>-0.37630348405859365</v>
      </c>
      <c r="O57" s="31">
        <f t="shared" si="6"/>
        <v>0</v>
      </c>
      <c r="P57" s="54">
        <f t="shared" si="7"/>
        <v>0</v>
      </c>
      <c r="R57" s="120" t="str">
        <f t="shared" si="8"/>
        <v>Tires</v>
      </c>
      <c r="S57" s="142">
        <f>'Waste Composition'!U67/2000</f>
        <v>0</v>
      </c>
      <c r="T57" s="63">
        <f t="shared" si="9"/>
        <v>2.0254519141196047E-2</v>
      </c>
      <c r="U57" s="13">
        <f t="shared" si="10"/>
        <v>0</v>
      </c>
      <c r="V57" s="13">
        <v>0</v>
      </c>
      <c r="W57" s="31">
        <f t="shared" si="11"/>
        <v>0</v>
      </c>
      <c r="X57" s="54">
        <f t="shared" si="12"/>
        <v>0</v>
      </c>
    </row>
    <row r="58" spans="2:24" ht="15" customHeight="1">
      <c r="B58" s="120" t="str">
        <f>'Waste Composition'!B68</f>
        <v>Textiles</v>
      </c>
      <c r="C58" s="31">
        <f>'Waste Composition'!E68/2000</f>
        <v>0</v>
      </c>
      <c r="D58" s="62">
        <f>'WARM Results'!J35</f>
        <v>3.4185776672640021E-2</v>
      </c>
      <c r="E58" s="13">
        <f t="shared" si="1"/>
        <v>0</v>
      </c>
      <c r="F58" s="62">
        <f>'WARM Results'!S35</f>
        <v>-2.8009509451764503</v>
      </c>
      <c r="G58" s="31">
        <v>0</v>
      </c>
      <c r="H58" s="54">
        <f t="shared" si="2"/>
        <v>0</v>
      </c>
      <c r="J58" s="120" t="str">
        <f t="shared" si="3"/>
        <v>Textiles</v>
      </c>
      <c r="K58" s="31">
        <f>'Waste Composition'!M68/2000</f>
        <v>0</v>
      </c>
      <c r="L58" s="141">
        <f t="shared" si="4"/>
        <v>3.4185776672640021E-2</v>
      </c>
      <c r="M58" s="13">
        <f t="shared" si="13"/>
        <v>0</v>
      </c>
      <c r="N58" s="13">
        <f t="shared" si="5"/>
        <v>-2.8009509451764503</v>
      </c>
      <c r="O58" s="31">
        <f t="shared" si="6"/>
        <v>0</v>
      </c>
      <c r="P58" s="54">
        <f t="shared" si="7"/>
        <v>0</v>
      </c>
      <c r="R58" s="120" t="str">
        <f t="shared" si="8"/>
        <v>Textiles</v>
      </c>
      <c r="S58" s="142">
        <f>'Waste Composition'!U68/2000</f>
        <v>0</v>
      </c>
      <c r="T58" s="63">
        <f t="shared" si="9"/>
        <v>3.4185776672640021E-2</v>
      </c>
      <c r="U58" s="13">
        <f t="shared" si="10"/>
        <v>0</v>
      </c>
      <c r="V58" s="13">
        <v>0</v>
      </c>
      <c r="W58" s="31">
        <f t="shared" si="11"/>
        <v>0</v>
      </c>
      <c r="X58" s="54">
        <f t="shared" si="12"/>
        <v>0</v>
      </c>
    </row>
    <row r="59" spans="2:24" ht="15" customHeight="1">
      <c r="B59" s="120" t="str">
        <f>'Waste Composition'!B69</f>
        <v>Other Recyclable Materials</v>
      </c>
      <c r="C59" s="31">
        <f>'Waste Composition'!E69/2000</f>
        <v>0</v>
      </c>
      <c r="D59" s="62">
        <f>'WARM Results'!J35</f>
        <v>3.4185776672640021E-2</v>
      </c>
      <c r="E59" s="13">
        <f t="shared" si="1"/>
        <v>0</v>
      </c>
      <c r="F59" s="62">
        <f>'WARM Results'!S35</f>
        <v>-2.8009509451764503</v>
      </c>
      <c r="G59" s="31">
        <v>0</v>
      </c>
      <c r="H59" s="54">
        <f t="shared" si="2"/>
        <v>0</v>
      </c>
      <c r="J59" s="120" t="str">
        <f t="shared" si="3"/>
        <v>Other Recyclable Materials</v>
      </c>
      <c r="K59" s="31">
        <f>'Waste Composition'!M69/2000</f>
        <v>0</v>
      </c>
      <c r="L59" s="141">
        <f t="shared" si="4"/>
        <v>3.4185776672640021E-2</v>
      </c>
      <c r="M59" s="13">
        <f t="shared" si="13"/>
        <v>0</v>
      </c>
      <c r="N59" s="13">
        <f t="shared" si="5"/>
        <v>-2.8009509451764503</v>
      </c>
      <c r="O59" s="31">
        <f t="shared" si="6"/>
        <v>0</v>
      </c>
      <c r="P59" s="54">
        <f t="shared" si="7"/>
        <v>0</v>
      </c>
      <c r="R59" s="120" t="str">
        <f t="shared" si="8"/>
        <v>Other Recyclable Materials</v>
      </c>
      <c r="S59" s="142">
        <f>'Waste Composition'!U69/2000</f>
        <v>0</v>
      </c>
      <c r="T59" s="63">
        <f t="shared" si="9"/>
        <v>3.4185776672640021E-2</v>
      </c>
      <c r="U59" s="13">
        <f t="shared" si="10"/>
        <v>0</v>
      </c>
      <c r="V59" s="13">
        <v>0</v>
      </c>
      <c r="W59" s="31">
        <f t="shared" si="11"/>
        <v>0</v>
      </c>
      <c r="X59" s="54">
        <f t="shared" si="12"/>
        <v>0</v>
      </c>
    </row>
    <row r="60" spans="2:24" ht="15" customHeight="1">
      <c r="B60" s="120" t="str">
        <f>'Waste Composition'!B70</f>
        <v>Wood Pallets</v>
      </c>
      <c r="C60" s="31">
        <f>'Waste Composition'!E70/2000</f>
        <v>0</v>
      </c>
      <c r="D60" s="362">
        <v>0.02</v>
      </c>
      <c r="E60" s="13">
        <f t="shared" si="1"/>
        <v>0</v>
      </c>
      <c r="F60" s="62">
        <f>'WARM Results'!S19</f>
        <v>-0.10590613724308875</v>
      </c>
      <c r="G60" s="31">
        <v>0</v>
      </c>
      <c r="H60" s="54">
        <f t="shared" si="2"/>
        <v>0</v>
      </c>
      <c r="J60" s="120" t="str">
        <f t="shared" si="3"/>
        <v>Wood Pallets</v>
      </c>
      <c r="K60" s="31">
        <f>'Waste Composition'!M70/2000</f>
        <v>0</v>
      </c>
      <c r="L60" s="363">
        <f t="shared" si="4"/>
        <v>0.02</v>
      </c>
      <c r="M60" s="13">
        <f t="shared" si="13"/>
        <v>0</v>
      </c>
      <c r="N60" s="13">
        <f t="shared" si="5"/>
        <v>-0.10590613724308875</v>
      </c>
      <c r="O60" s="31">
        <v>0</v>
      </c>
      <c r="P60" s="54">
        <f t="shared" si="7"/>
        <v>0</v>
      </c>
      <c r="R60" s="120" t="str">
        <f t="shared" si="8"/>
        <v>Wood Pallets</v>
      </c>
      <c r="S60" s="142">
        <f>'Waste Composition'!U70/2000</f>
        <v>0</v>
      </c>
      <c r="T60" s="364">
        <f t="shared" si="9"/>
        <v>0.02</v>
      </c>
      <c r="U60" s="13">
        <f>S60*T60</f>
        <v>0</v>
      </c>
      <c r="V60" s="13">
        <v>0</v>
      </c>
      <c r="W60" s="31">
        <f t="shared" si="11"/>
        <v>0</v>
      </c>
      <c r="X60" s="54">
        <f t="shared" si="12"/>
        <v>0</v>
      </c>
    </row>
    <row r="61" spans="2:24" ht="15" customHeight="1">
      <c r="B61" s="120" t="str">
        <f>'Waste Composition'!B71</f>
        <v>Food Waste</v>
      </c>
      <c r="C61" s="31">
        <f>'Waste Composition'!E71/2000</f>
        <v>0</v>
      </c>
      <c r="D61" s="362">
        <f>'WARM Results'!J36</f>
        <v>0.15807392806431295</v>
      </c>
      <c r="E61" s="13">
        <f t="shared" si="1"/>
        <v>0</v>
      </c>
      <c r="F61" s="362">
        <f>'WARM Results'!S36</f>
        <v>-0.13040739388077993</v>
      </c>
      <c r="G61" s="31">
        <v>0</v>
      </c>
      <c r="H61" s="54">
        <f t="shared" si="2"/>
        <v>0</v>
      </c>
      <c r="J61" s="120" t="str">
        <f t="shared" si="3"/>
        <v>Food Waste</v>
      </c>
      <c r="K61" s="31">
        <f>'Waste Composition'!M71/2000</f>
        <v>0</v>
      </c>
      <c r="L61" s="363">
        <f t="shared" si="4"/>
        <v>0.15807392806431295</v>
      </c>
      <c r="M61" s="13">
        <f t="shared" si="13"/>
        <v>0</v>
      </c>
      <c r="N61" s="13">
        <f t="shared" si="5"/>
        <v>-0.13040739388077993</v>
      </c>
      <c r="O61" s="31">
        <v>0</v>
      </c>
      <c r="P61" s="54">
        <f t="shared" si="7"/>
        <v>0</v>
      </c>
      <c r="R61" s="120" t="str">
        <f t="shared" si="8"/>
        <v>Food Waste</v>
      </c>
      <c r="S61" s="142">
        <f>'Waste Composition'!U71/2000</f>
        <v>0</v>
      </c>
      <c r="T61" s="364">
        <f t="shared" si="9"/>
        <v>0.15807392806431295</v>
      </c>
      <c r="U61" s="13">
        <f>S61*T61</f>
        <v>0</v>
      </c>
      <c r="V61" s="63">
        <f>F61</f>
        <v>-0.13040739388077993</v>
      </c>
      <c r="W61" s="31">
        <f t="shared" si="11"/>
        <v>0</v>
      </c>
      <c r="X61" s="54">
        <f t="shared" si="12"/>
        <v>0</v>
      </c>
    </row>
    <row r="62" spans="2:24" ht="15" customHeight="1">
      <c r="B62" s="120" t="str">
        <f>'Waste Composition'!B72</f>
        <v>Yard Waste</v>
      </c>
      <c r="C62" s="31">
        <f>'Waste Composition'!E72/2000</f>
        <v>0</v>
      </c>
      <c r="D62" s="362">
        <v>0.02</v>
      </c>
      <c r="E62" s="13">
        <f t="shared" si="1"/>
        <v>0</v>
      </c>
      <c r="F62" s="62">
        <f>AVERAGE('WARM Results'!S19:S22)</f>
        <v>-0.10590613724308875</v>
      </c>
      <c r="G62" s="31">
        <v>0</v>
      </c>
      <c r="H62" s="54">
        <f>E62-G62</f>
        <v>0</v>
      </c>
      <c r="J62" s="120" t="str">
        <f t="shared" si="3"/>
        <v>Yard Waste</v>
      </c>
      <c r="K62" s="31">
        <f>'Waste Composition'!M72/2000</f>
        <v>0</v>
      </c>
      <c r="L62" s="363">
        <f>D62</f>
        <v>0.02</v>
      </c>
      <c r="M62" s="13">
        <f t="shared" si="13"/>
        <v>0</v>
      </c>
      <c r="N62" s="13">
        <f t="shared" si="5"/>
        <v>-0.10590613724308875</v>
      </c>
      <c r="O62" s="31">
        <v>0</v>
      </c>
      <c r="P62" s="54">
        <f t="shared" si="7"/>
        <v>0</v>
      </c>
      <c r="R62" s="120" t="str">
        <f t="shared" si="8"/>
        <v>Yard Waste</v>
      </c>
      <c r="S62" s="142">
        <f>'Waste Composition'!U72/2000</f>
        <v>0</v>
      </c>
      <c r="T62" s="364">
        <f t="shared" si="9"/>
        <v>0.02</v>
      </c>
      <c r="U62" s="13">
        <f t="shared" ref="U62:U64" si="14">S62*T62</f>
        <v>0</v>
      </c>
      <c r="V62" s="63">
        <f t="shared" ref="V62:V64" si="15">F62</f>
        <v>-0.10590613724308875</v>
      </c>
      <c r="W62" s="31">
        <f t="shared" si="11"/>
        <v>0</v>
      </c>
      <c r="X62" s="54">
        <f t="shared" si="12"/>
        <v>0</v>
      </c>
    </row>
    <row r="63" spans="2:24" ht="15" customHeight="1">
      <c r="B63" s="120" t="s">
        <v>316</v>
      </c>
      <c r="C63" s="31">
        <f>'Waste Composition'!E73/2000</f>
        <v>0</v>
      </c>
      <c r="D63" s="317">
        <f>'WARM Results'!J36</f>
        <v>0.15807392806431295</v>
      </c>
      <c r="E63" s="13">
        <f t="shared" si="1"/>
        <v>0</v>
      </c>
      <c r="F63" s="62">
        <f>'WARM Results'!S36</f>
        <v>-0.13040739388077993</v>
      </c>
      <c r="G63" s="31">
        <v>0</v>
      </c>
      <c r="H63" s="54">
        <f>E63-G63</f>
        <v>0</v>
      </c>
      <c r="J63" s="120" t="s">
        <v>316</v>
      </c>
      <c r="K63" s="31">
        <f>'Waste Composition'!M73/2000</f>
        <v>0</v>
      </c>
      <c r="L63" s="141">
        <f t="shared" si="4"/>
        <v>0.15807392806431295</v>
      </c>
      <c r="M63" s="13">
        <f t="shared" si="13"/>
        <v>0</v>
      </c>
      <c r="N63" s="13">
        <f t="shared" si="5"/>
        <v>-0.13040739388077993</v>
      </c>
      <c r="O63" s="31">
        <v>0</v>
      </c>
      <c r="P63" s="54">
        <f t="shared" si="7"/>
        <v>0</v>
      </c>
      <c r="R63" s="120" t="s">
        <v>316</v>
      </c>
      <c r="S63" s="142">
        <f>'Waste Composition'!U73/2000</f>
        <v>0</v>
      </c>
      <c r="T63" s="63">
        <f t="shared" si="9"/>
        <v>0.15807392806431295</v>
      </c>
      <c r="U63" s="13">
        <f t="shared" si="14"/>
        <v>0</v>
      </c>
      <c r="V63" s="63">
        <f t="shared" si="15"/>
        <v>-0.13040739388077993</v>
      </c>
      <c r="W63" s="31">
        <f t="shared" si="11"/>
        <v>0</v>
      </c>
      <c r="X63" s="54">
        <f t="shared" si="12"/>
        <v>0</v>
      </c>
    </row>
    <row r="64" spans="2:24">
      <c r="B64" s="120" t="str">
        <f>'Waste Composition'!B74</f>
        <v>Other Organics</v>
      </c>
      <c r="C64" s="31">
        <f>'Waste Composition'!E74/2000</f>
        <v>0</v>
      </c>
      <c r="D64" s="31">
        <f>'WARM Results'!J36</f>
        <v>0.15807392806431295</v>
      </c>
      <c r="E64" s="13">
        <f t="shared" si="1"/>
        <v>0</v>
      </c>
      <c r="F64" s="31">
        <f>'WARM Results'!S36</f>
        <v>-0.13040739388077993</v>
      </c>
      <c r="G64" s="31">
        <v>0</v>
      </c>
      <c r="H64" s="54">
        <f t="shared" si="2"/>
        <v>0</v>
      </c>
      <c r="J64" s="120" t="str">
        <f t="shared" si="3"/>
        <v>Other Organics</v>
      </c>
      <c r="K64" s="31">
        <f>'Waste Composition'!M74/2000</f>
        <v>0</v>
      </c>
      <c r="L64" s="141">
        <f t="shared" si="4"/>
        <v>0.15807392806431295</v>
      </c>
      <c r="M64" s="13">
        <f t="shared" si="13"/>
        <v>0</v>
      </c>
      <c r="N64" s="13">
        <f t="shared" si="5"/>
        <v>-0.13040739388077993</v>
      </c>
      <c r="O64" s="31">
        <v>0</v>
      </c>
      <c r="P64" s="54">
        <f t="shared" si="7"/>
        <v>0</v>
      </c>
      <c r="R64" s="120" t="str">
        <f t="shared" si="8"/>
        <v>Other Organics</v>
      </c>
      <c r="S64" s="142">
        <f>'Waste Composition'!U74/2000</f>
        <v>0</v>
      </c>
      <c r="T64" s="63">
        <f t="shared" si="9"/>
        <v>0.15807392806431295</v>
      </c>
      <c r="U64" s="13">
        <f t="shared" si="14"/>
        <v>0</v>
      </c>
      <c r="V64" s="63">
        <f t="shared" si="15"/>
        <v>-0.13040739388077993</v>
      </c>
      <c r="W64" s="31">
        <f t="shared" si="11"/>
        <v>0</v>
      </c>
      <c r="X64" s="54">
        <f t="shared" si="12"/>
        <v>0</v>
      </c>
    </row>
    <row r="65" spans="2:24" ht="15" customHeight="1">
      <c r="B65" s="764" t="s">
        <v>318</v>
      </c>
      <c r="C65" s="765"/>
      <c r="D65" s="765"/>
      <c r="E65" s="765"/>
      <c r="F65" s="765"/>
      <c r="G65" s="765"/>
      <c r="H65" s="766"/>
      <c r="J65" s="764" t="s">
        <v>318</v>
      </c>
      <c r="K65" s="765"/>
      <c r="L65" s="765"/>
      <c r="M65" s="765"/>
      <c r="N65" s="765"/>
      <c r="O65" s="765"/>
      <c r="P65" s="766"/>
      <c r="R65" s="764" t="s">
        <v>318</v>
      </c>
      <c r="S65" s="765"/>
      <c r="T65" s="765"/>
      <c r="U65" s="765"/>
      <c r="V65" s="765"/>
      <c r="W65" s="765"/>
      <c r="X65" s="766"/>
    </row>
    <row r="66" spans="2:24" ht="15" customHeight="1">
      <c r="B66" s="120" t="str">
        <f>'Waste Composition'!B76</f>
        <v>Landfill Waste</v>
      </c>
      <c r="C66" s="31">
        <f>'Waste Composition'!E76/2000</f>
        <v>0</v>
      </c>
      <c r="D66" s="31">
        <f>'WARM Results'!J37</f>
        <v>0.30922398376646776</v>
      </c>
      <c r="E66" s="13">
        <f>C66*D66</f>
        <v>0</v>
      </c>
      <c r="F66" s="758"/>
      <c r="G66" s="31">
        <v>0</v>
      </c>
      <c r="H66" s="54">
        <f>E66-G66</f>
        <v>0</v>
      </c>
      <c r="J66" s="120" t="str">
        <f>B66</f>
        <v>Landfill Waste</v>
      </c>
      <c r="K66" s="31">
        <f>'Waste Composition'!M76/2000</f>
        <v>0</v>
      </c>
      <c r="L66" s="13">
        <f>D66</f>
        <v>0.30922398376646776</v>
      </c>
      <c r="M66" s="31">
        <f>K66*L66</f>
        <v>0</v>
      </c>
      <c r="N66" s="758"/>
      <c r="O66" s="31">
        <v>0</v>
      </c>
      <c r="P66" s="54">
        <f>M66-O66</f>
        <v>0</v>
      </c>
      <c r="R66" s="120" t="str">
        <f>B66</f>
        <v>Landfill Waste</v>
      </c>
      <c r="S66" s="142">
        <f>'Waste Composition'!U76/2000</f>
        <v>0</v>
      </c>
      <c r="T66" s="63">
        <f t="shared" si="9"/>
        <v>0.30922398376646776</v>
      </c>
      <c r="U66" s="31">
        <f>S66*T66</f>
        <v>0</v>
      </c>
      <c r="V66" s="758"/>
      <c r="W66" s="31">
        <v>0</v>
      </c>
      <c r="X66" s="54">
        <f t="shared" si="12"/>
        <v>0</v>
      </c>
    </row>
    <row r="67" spans="2:24" ht="15" customHeight="1">
      <c r="B67" s="120" t="str">
        <f>'Waste Composition'!B77</f>
        <v>Other Waste</v>
      </c>
      <c r="C67" s="31">
        <f>'Waste Composition'!E77/2000</f>
        <v>0</v>
      </c>
      <c r="D67" s="31">
        <f>'WARM Results'!J37</f>
        <v>0.30922398376646776</v>
      </c>
      <c r="E67" s="13">
        <f>C67*D67</f>
        <v>0</v>
      </c>
      <c r="F67" s="759"/>
      <c r="G67" s="31">
        <v>0</v>
      </c>
      <c r="H67" s="54">
        <f>E67-G67</f>
        <v>0</v>
      </c>
      <c r="J67" s="120" t="str">
        <f>B67</f>
        <v>Other Waste</v>
      </c>
      <c r="K67" s="31">
        <f>'Waste Composition'!M77/2000</f>
        <v>0</v>
      </c>
      <c r="L67" s="13">
        <f>D67</f>
        <v>0.30922398376646776</v>
      </c>
      <c r="M67" s="31">
        <f>K67*L67</f>
        <v>0</v>
      </c>
      <c r="N67" s="759"/>
      <c r="O67" s="31">
        <v>0</v>
      </c>
      <c r="P67" s="54">
        <f>M67-O67</f>
        <v>0</v>
      </c>
      <c r="R67" s="120" t="str">
        <f>B67</f>
        <v>Other Waste</v>
      </c>
      <c r="S67" s="142">
        <f>'Waste Composition'!U77/2000</f>
        <v>0</v>
      </c>
      <c r="T67" s="63">
        <f t="shared" si="9"/>
        <v>0.30922398376646776</v>
      </c>
      <c r="U67" s="31">
        <f>S67*T67</f>
        <v>0</v>
      </c>
      <c r="V67" s="759"/>
      <c r="W67" s="31">
        <v>0</v>
      </c>
      <c r="X67" s="54">
        <f t="shared" si="12"/>
        <v>0</v>
      </c>
    </row>
    <row r="68" spans="2:24" ht="15" customHeight="1" thickBot="1">
      <c r="B68" s="134" t="s">
        <v>525</v>
      </c>
      <c r="C68" s="155">
        <f>SUM(C38:C64)+SUM(C66:C67)</f>
        <v>0</v>
      </c>
      <c r="D68" s="155">
        <f>SUM(D38:D64)+SUM(D66:D67)</f>
        <v>2.9355756378738933</v>
      </c>
      <c r="E68" s="155">
        <f t="shared" ref="E68:G68" si="16">SUM(E38:E64)+SUM(E66:E67)</f>
        <v>0</v>
      </c>
      <c r="F68" s="760"/>
      <c r="G68" s="155">
        <f t="shared" si="16"/>
        <v>0</v>
      </c>
      <c r="H68" s="167">
        <f>SUM(H38:H64)+SUM(H66:H67)</f>
        <v>0</v>
      </c>
      <c r="J68" s="134" t="s">
        <v>525</v>
      </c>
      <c r="K68" s="168">
        <f>SUM(K38:K64)+SUM(K66:K67)</f>
        <v>0</v>
      </c>
      <c r="L68" s="155">
        <f t="shared" ref="L68" si="17">SUM(L38:L64)+SUM(L66:L67)</f>
        <v>2.9355756378738933</v>
      </c>
      <c r="M68" s="155">
        <f t="shared" ref="M68" si="18">SUM(M38:M64)+SUM(M66:M67)</f>
        <v>0</v>
      </c>
      <c r="N68" s="760"/>
      <c r="O68" s="155">
        <f t="shared" ref="O68" si="19">SUM(O38:O64)+SUM(O66:O67)</f>
        <v>0</v>
      </c>
      <c r="P68" s="167">
        <f>SUM(P38:P64)+SUM(P66:P67)</f>
        <v>0</v>
      </c>
      <c r="R68" s="134" t="s">
        <v>525</v>
      </c>
      <c r="S68" s="168">
        <f>SUM(S38:S64)+SUM(S66:S67)</f>
        <v>0</v>
      </c>
      <c r="T68" s="155">
        <f t="shared" ref="T68" si="20">SUM(T38:T64)+SUM(T66:T67)</f>
        <v>2.9355756378738933</v>
      </c>
      <c r="U68" s="155">
        <f t="shared" ref="U68" si="21">SUM(U38:U64)+SUM(U66:U67)</f>
        <v>0</v>
      </c>
      <c r="V68" s="760"/>
      <c r="W68" s="155">
        <f t="shared" ref="W68" si="22">SUM(W38:W64)+SUM(W66:W67)</f>
        <v>0</v>
      </c>
      <c r="X68" s="167">
        <f>SUM(X38:X64)+SUM(X66:X67)</f>
        <v>0</v>
      </c>
    </row>
    <row r="69" spans="2:24" ht="15" customHeight="1" thickBot="1">
      <c r="B69" s="107"/>
      <c r="G69" s="138"/>
      <c r="X69" s="131"/>
    </row>
    <row r="70" spans="2:24">
      <c r="B70" s="712" t="s">
        <v>526</v>
      </c>
      <c r="C70" s="713"/>
      <c r="D70" s="713"/>
      <c r="E70" s="713"/>
      <c r="F70" s="713"/>
      <c r="G70" s="713"/>
      <c r="H70" s="714"/>
      <c r="J70" s="581" t="s">
        <v>527</v>
      </c>
      <c r="K70" s="582"/>
      <c r="L70" s="582"/>
      <c r="M70" s="582"/>
      <c r="N70" s="582"/>
      <c r="O70" s="582"/>
      <c r="P70" s="634"/>
      <c r="R70" s="773" t="s">
        <v>528</v>
      </c>
      <c r="S70" s="774"/>
      <c r="T70" s="774"/>
      <c r="U70" s="774"/>
      <c r="V70" s="774"/>
      <c r="W70" s="774"/>
      <c r="X70" s="775"/>
    </row>
    <row r="71" spans="2:24" ht="63">
      <c r="B71" s="83" t="s">
        <v>283</v>
      </c>
      <c r="C71" s="16" t="s">
        <v>514</v>
      </c>
      <c r="D71" s="16" t="s">
        <v>515</v>
      </c>
      <c r="E71" s="16" t="s">
        <v>521</v>
      </c>
      <c r="F71" s="16" t="s">
        <v>517</v>
      </c>
      <c r="G71" s="190" t="s">
        <v>522</v>
      </c>
      <c r="H71" s="34" t="s">
        <v>529</v>
      </c>
      <c r="J71" s="83" t="s">
        <v>283</v>
      </c>
      <c r="K71" s="16" t="s">
        <v>514</v>
      </c>
      <c r="L71" s="16" t="s">
        <v>515</v>
      </c>
      <c r="M71" s="16" t="s">
        <v>521</v>
      </c>
      <c r="N71" s="16" t="s">
        <v>517</v>
      </c>
      <c r="O71" s="190" t="s">
        <v>522</v>
      </c>
      <c r="P71" s="34" t="s">
        <v>529</v>
      </c>
      <c r="R71" s="83" t="s">
        <v>283</v>
      </c>
      <c r="S71" s="16" t="s">
        <v>514</v>
      </c>
      <c r="T71" s="16" t="s">
        <v>515</v>
      </c>
      <c r="U71" s="16" t="s">
        <v>521</v>
      </c>
      <c r="V71" s="16" t="s">
        <v>523</v>
      </c>
      <c r="W71" s="190" t="s">
        <v>524</v>
      </c>
      <c r="X71" s="34" t="s">
        <v>529</v>
      </c>
    </row>
    <row r="72" spans="2:24">
      <c r="B72" s="761" t="s">
        <v>290</v>
      </c>
      <c r="C72" s="762"/>
      <c r="D72" s="762"/>
      <c r="E72" s="762"/>
      <c r="F72" s="762"/>
      <c r="G72" s="762"/>
      <c r="H72" s="763"/>
      <c r="J72" s="761" t="s">
        <v>290</v>
      </c>
      <c r="K72" s="762"/>
      <c r="L72" s="762"/>
      <c r="M72" s="762"/>
      <c r="N72" s="762"/>
      <c r="O72" s="762"/>
      <c r="P72" s="763"/>
      <c r="R72" s="761" t="s">
        <v>290</v>
      </c>
      <c r="S72" s="762"/>
      <c r="T72" s="762"/>
      <c r="U72" s="762"/>
      <c r="V72" s="762"/>
      <c r="W72" s="762"/>
      <c r="X72" s="763"/>
    </row>
    <row r="73" spans="2:24" ht="14.45" customHeight="1">
      <c r="B73" s="120" t="str">
        <f t="shared" ref="B73:C97" si="23">B38</f>
        <v>Cardboard</v>
      </c>
      <c r="C73" s="164">
        <f t="shared" si="23"/>
        <v>0</v>
      </c>
      <c r="D73" s="164">
        <f t="shared" ref="D73" si="24">D38</f>
        <v>0.18162984857485934</v>
      </c>
      <c r="E73" s="164">
        <f>E38</f>
        <v>0</v>
      </c>
      <c r="F73" s="164">
        <f>F38</f>
        <v>-3.1353369086789917</v>
      </c>
      <c r="G73" s="164">
        <f>C73*F73</f>
        <v>0</v>
      </c>
      <c r="H73" s="166">
        <f>E73-G73</f>
        <v>0</v>
      </c>
      <c r="J73" s="164" t="str">
        <f>J38</f>
        <v>Cardboard</v>
      </c>
      <c r="K73" s="152">
        <f t="shared" ref="K73:L73" si="25">K38</f>
        <v>0</v>
      </c>
      <c r="L73" s="152">
        <f t="shared" si="25"/>
        <v>0.18162984857485934</v>
      </c>
      <c r="M73" s="13">
        <f>K73*L73</f>
        <v>0</v>
      </c>
      <c r="N73" s="13">
        <f t="shared" ref="N73:N97" si="26">N38</f>
        <v>-3.1353369086789917</v>
      </c>
      <c r="O73" s="31">
        <f t="shared" ref="O73:O94" si="27">K73*N73</f>
        <v>0</v>
      </c>
      <c r="P73" s="54">
        <f>M73-O73</f>
        <v>0</v>
      </c>
      <c r="R73" s="164" t="str">
        <f>R38</f>
        <v>Cardboard</v>
      </c>
      <c r="S73" s="152">
        <f t="shared" ref="S73:T73" si="28">S38</f>
        <v>0</v>
      </c>
      <c r="T73" s="152">
        <f t="shared" si="28"/>
        <v>0.18162984857485934</v>
      </c>
      <c r="U73" s="13">
        <f>S73*T73</f>
        <v>0</v>
      </c>
      <c r="V73" s="13">
        <v>0</v>
      </c>
      <c r="W73" s="31">
        <f>S73*V73</f>
        <v>0</v>
      </c>
      <c r="X73" s="54">
        <f>U73-W73</f>
        <v>0</v>
      </c>
    </row>
    <row r="74" spans="2:24">
      <c r="B74" s="120" t="str">
        <f t="shared" si="23"/>
        <v>Mixed Paper</v>
      </c>
      <c r="C74" s="164">
        <f t="shared" si="23"/>
        <v>0</v>
      </c>
      <c r="D74" s="164">
        <f t="shared" ref="D74:F74" si="29">D39</f>
        <v>7.470296200674445E-2</v>
      </c>
      <c r="E74" s="164">
        <f t="shared" si="29"/>
        <v>0</v>
      </c>
      <c r="F74" s="164">
        <f t="shared" si="29"/>
        <v>-3.5455235990647034</v>
      </c>
      <c r="G74" s="164">
        <f t="shared" ref="G74:G95" si="30">C74*F74</f>
        <v>0</v>
      </c>
      <c r="H74" s="166">
        <f t="shared" ref="H74:H99" si="31">E74-G74</f>
        <v>0</v>
      </c>
      <c r="J74" s="164" t="str">
        <f t="shared" ref="J74:L74" si="32">J39</f>
        <v>Mixed Paper</v>
      </c>
      <c r="K74" s="152">
        <f t="shared" si="32"/>
        <v>0</v>
      </c>
      <c r="L74" s="152">
        <f t="shared" si="32"/>
        <v>7.470296200674445E-2</v>
      </c>
      <c r="M74" s="13">
        <f>K74*L74</f>
        <v>0</v>
      </c>
      <c r="N74" s="13">
        <f t="shared" si="26"/>
        <v>-3.5455235990647034</v>
      </c>
      <c r="O74" s="31">
        <f t="shared" si="27"/>
        <v>0</v>
      </c>
      <c r="P74" s="54">
        <f t="shared" ref="P74:P99" si="33">M74-O74</f>
        <v>0</v>
      </c>
      <c r="R74" s="164" t="str">
        <f t="shared" ref="R74:T74" si="34">R39</f>
        <v>Mixed Paper</v>
      </c>
      <c r="S74" s="152">
        <f t="shared" si="34"/>
        <v>0</v>
      </c>
      <c r="T74" s="152">
        <f t="shared" si="34"/>
        <v>7.470296200674445E-2</v>
      </c>
      <c r="U74" s="13">
        <f t="shared" ref="U74:U94" si="35">S74*T74</f>
        <v>0</v>
      </c>
      <c r="V74" s="13">
        <v>0</v>
      </c>
      <c r="W74" s="31">
        <f t="shared" ref="W74:W99" si="36">S74*V74</f>
        <v>0</v>
      </c>
      <c r="X74" s="54">
        <f t="shared" ref="X74:X102" si="37">U74-W74</f>
        <v>0</v>
      </c>
    </row>
    <row r="75" spans="2:24">
      <c r="B75" s="120" t="str">
        <f t="shared" si="23"/>
        <v>Office Paper</v>
      </c>
      <c r="C75" s="164">
        <f t="shared" si="23"/>
        <v>0</v>
      </c>
      <c r="D75" s="164">
        <f t="shared" ref="D75:F75" si="38">D40</f>
        <v>1.1338746968208027</v>
      </c>
      <c r="E75" s="164">
        <f t="shared" si="38"/>
        <v>0</v>
      </c>
      <c r="F75" s="164">
        <f t="shared" si="38"/>
        <v>-2.8637458899895774</v>
      </c>
      <c r="G75" s="164">
        <f t="shared" si="30"/>
        <v>0</v>
      </c>
      <c r="H75" s="166">
        <f t="shared" si="31"/>
        <v>0</v>
      </c>
      <c r="J75" s="164" t="str">
        <f t="shared" ref="J75:L75" si="39">J40</f>
        <v>Office Paper</v>
      </c>
      <c r="K75" s="152">
        <f t="shared" si="39"/>
        <v>0</v>
      </c>
      <c r="L75" s="152">
        <f t="shared" si="39"/>
        <v>1.1338746968208027</v>
      </c>
      <c r="M75" s="13">
        <f t="shared" ref="M75:M99" si="40">K75*L75</f>
        <v>0</v>
      </c>
      <c r="N75" s="13">
        <f t="shared" si="26"/>
        <v>-2.8637458899895774</v>
      </c>
      <c r="O75" s="31">
        <f t="shared" si="27"/>
        <v>0</v>
      </c>
      <c r="P75" s="54">
        <f t="shared" si="33"/>
        <v>0</v>
      </c>
      <c r="R75" s="164" t="str">
        <f t="shared" ref="R75:T75" si="41">R40</f>
        <v>Office Paper</v>
      </c>
      <c r="S75" s="152">
        <f t="shared" si="41"/>
        <v>0</v>
      </c>
      <c r="T75" s="152">
        <f t="shared" si="41"/>
        <v>1.1338746968208027</v>
      </c>
      <c r="U75" s="13">
        <f t="shared" si="35"/>
        <v>0</v>
      </c>
      <c r="V75" s="13">
        <v>0</v>
      </c>
      <c r="W75" s="31">
        <f t="shared" si="36"/>
        <v>0</v>
      </c>
      <c r="X75" s="54">
        <f t="shared" si="37"/>
        <v>0</v>
      </c>
    </row>
    <row r="76" spans="2:24">
      <c r="B76" s="120" t="str">
        <f t="shared" si="23"/>
        <v>Plastic #1 PET</v>
      </c>
      <c r="C76" s="164">
        <f t="shared" si="23"/>
        <v>0</v>
      </c>
      <c r="D76" s="164">
        <f t="shared" ref="D76:F76" si="42">D41</f>
        <v>2.0254519141196047E-2</v>
      </c>
      <c r="E76" s="164">
        <f t="shared" si="42"/>
        <v>0</v>
      </c>
      <c r="F76" s="164">
        <f t="shared" si="42"/>
        <v>-1.0357206316437553</v>
      </c>
      <c r="G76" s="164">
        <f t="shared" si="30"/>
        <v>0</v>
      </c>
      <c r="H76" s="166">
        <f t="shared" si="31"/>
        <v>0</v>
      </c>
      <c r="J76" s="164" t="str">
        <f t="shared" ref="J76:L76" si="43">J41</f>
        <v>Plastic #1 PET</v>
      </c>
      <c r="K76" s="152">
        <f t="shared" si="43"/>
        <v>0</v>
      </c>
      <c r="L76" s="152">
        <f t="shared" si="43"/>
        <v>2.0254519141196047E-2</v>
      </c>
      <c r="M76" s="13">
        <f t="shared" si="40"/>
        <v>0</v>
      </c>
      <c r="N76" s="13">
        <f t="shared" si="26"/>
        <v>-1.0357206316437553</v>
      </c>
      <c r="O76" s="31">
        <f t="shared" si="27"/>
        <v>0</v>
      </c>
      <c r="P76" s="54">
        <f t="shared" si="33"/>
        <v>0</v>
      </c>
      <c r="R76" s="164" t="str">
        <f t="shared" ref="R76:T76" si="44">R41</f>
        <v>Plastic #1 PET</v>
      </c>
      <c r="S76" s="152">
        <f t="shared" si="44"/>
        <v>0</v>
      </c>
      <c r="T76" s="152">
        <f t="shared" si="44"/>
        <v>2.0254519141196047E-2</v>
      </c>
      <c r="U76" s="13">
        <f t="shared" si="35"/>
        <v>0</v>
      </c>
      <c r="V76" s="13">
        <v>0</v>
      </c>
      <c r="W76" s="31">
        <f t="shared" si="36"/>
        <v>0</v>
      </c>
      <c r="X76" s="54">
        <f t="shared" si="37"/>
        <v>0</v>
      </c>
    </row>
    <row r="77" spans="2:24">
      <c r="B77" s="120" t="str">
        <f t="shared" si="23"/>
        <v>Plastic #2 HDPE</v>
      </c>
      <c r="C77" s="164">
        <f t="shared" si="23"/>
        <v>0</v>
      </c>
      <c r="D77" s="164">
        <f t="shared" ref="D77:F77" si="45">D42</f>
        <v>2.0254519141196047E-2</v>
      </c>
      <c r="E77" s="164">
        <f t="shared" si="45"/>
        <v>0</v>
      </c>
      <c r="F77" s="164">
        <f t="shared" si="45"/>
        <v>-0.75845019481932519</v>
      </c>
      <c r="G77" s="164">
        <f t="shared" si="30"/>
        <v>0</v>
      </c>
      <c r="H77" s="166">
        <f t="shared" si="31"/>
        <v>0</v>
      </c>
      <c r="J77" s="164" t="str">
        <f t="shared" ref="J77:L77" si="46">J42</f>
        <v>Plastic #2 HDPE</v>
      </c>
      <c r="K77" s="152">
        <f t="shared" si="46"/>
        <v>0</v>
      </c>
      <c r="L77" s="152">
        <f t="shared" si="46"/>
        <v>2.0254519141196047E-2</v>
      </c>
      <c r="M77" s="13">
        <f t="shared" si="40"/>
        <v>0</v>
      </c>
      <c r="N77" s="13">
        <f t="shared" si="26"/>
        <v>-0.75845019481932519</v>
      </c>
      <c r="O77" s="31">
        <f t="shared" si="27"/>
        <v>0</v>
      </c>
      <c r="P77" s="54">
        <f t="shared" si="33"/>
        <v>0</v>
      </c>
      <c r="R77" s="164" t="str">
        <f t="shared" ref="R77:T77" si="47">R42</f>
        <v>Plastic #2 HDPE</v>
      </c>
      <c r="S77" s="152">
        <f t="shared" si="47"/>
        <v>0</v>
      </c>
      <c r="T77" s="152">
        <f t="shared" si="47"/>
        <v>2.0254519141196047E-2</v>
      </c>
      <c r="U77" s="13">
        <f t="shared" si="35"/>
        <v>0</v>
      </c>
      <c r="V77" s="13">
        <v>0</v>
      </c>
      <c r="W77" s="31">
        <f t="shared" si="36"/>
        <v>0</v>
      </c>
      <c r="X77" s="54">
        <f t="shared" si="37"/>
        <v>0</v>
      </c>
    </row>
    <row r="78" spans="2:24">
      <c r="B78" s="120" t="str">
        <f t="shared" si="23"/>
        <v>Plastic #5 PP</v>
      </c>
      <c r="C78" s="164">
        <f t="shared" si="23"/>
        <v>0</v>
      </c>
      <c r="D78" s="164">
        <f t="shared" ref="D78:F78" si="48">D43</f>
        <v>2.0254519141196047E-2</v>
      </c>
      <c r="E78" s="164">
        <f t="shared" si="48"/>
        <v>0</v>
      </c>
      <c r="F78" s="164">
        <f t="shared" si="48"/>
        <v>-0.79374839120334784</v>
      </c>
      <c r="G78" s="164">
        <f t="shared" si="30"/>
        <v>0</v>
      </c>
      <c r="H78" s="166">
        <f t="shared" si="31"/>
        <v>0</v>
      </c>
      <c r="J78" s="164" t="str">
        <f t="shared" ref="J78:L78" si="49">J43</f>
        <v>Plastic #5 PP</v>
      </c>
      <c r="K78" s="152">
        <f t="shared" si="49"/>
        <v>0</v>
      </c>
      <c r="L78" s="152">
        <f t="shared" si="49"/>
        <v>2.0254519141196047E-2</v>
      </c>
      <c r="M78" s="13">
        <f t="shared" si="40"/>
        <v>0</v>
      </c>
      <c r="N78" s="13">
        <f t="shared" si="26"/>
        <v>-0.79374839120334784</v>
      </c>
      <c r="O78" s="31">
        <f t="shared" si="27"/>
        <v>0</v>
      </c>
      <c r="P78" s="54">
        <f t="shared" si="33"/>
        <v>0</v>
      </c>
      <c r="R78" s="164" t="str">
        <f t="shared" ref="R78:T78" si="50">R43</f>
        <v>Plastic #5 PP</v>
      </c>
      <c r="S78" s="152">
        <f t="shared" si="50"/>
        <v>0</v>
      </c>
      <c r="T78" s="152">
        <f t="shared" si="50"/>
        <v>2.0254519141196047E-2</v>
      </c>
      <c r="U78" s="13">
        <f t="shared" si="35"/>
        <v>0</v>
      </c>
      <c r="V78" s="13">
        <v>0</v>
      </c>
      <c r="W78" s="31">
        <f t="shared" si="36"/>
        <v>0</v>
      </c>
      <c r="X78" s="54">
        <f t="shared" si="37"/>
        <v>0</v>
      </c>
    </row>
    <row r="79" spans="2:24">
      <c r="B79" s="120" t="str">
        <f t="shared" si="23"/>
        <v>Plastic #3-7 Mixed</v>
      </c>
      <c r="C79" s="164">
        <f t="shared" si="23"/>
        <v>0</v>
      </c>
      <c r="D79" s="164">
        <f t="shared" ref="D79:F79" si="51">D44</f>
        <v>2.0254519141196047E-2</v>
      </c>
      <c r="E79" s="164">
        <f t="shared" si="51"/>
        <v>0</v>
      </c>
      <c r="F79" s="164">
        <f t="shared" si="51"/>
        <v>-0.92552340675199463</v>
      </c>
      <c r="G79" s="164">
        <f t="shared" si="30"/>
        <v>0</v>
      </c>
      <c r="H79" s="166">
        <f t="shared" si="31"/>
        <v>0</v>
      </c>
      <c r="J79" s="164" t="str">
        <f t="shared" ref="J79:L79" si="52">J44</f>
        <v>Plastic #3-7 Mixed</v>
      </c>
      <c r="K79" s="152">
        <f t="shared" si="52"/>
        <v>0</v>
      </c>
      <c r="L79" s="152">
        <f t="shared" si="52"/>
        <v>2.0254519141196047E-2</v>
      </c>
      <c r="M79" s="13">
        <f t="shared" si="40"/>
        <v>0</v>
      </c>
      <c r="N79" s="13">
        <f t="shared" si="26"/>
        <v>-0.92552340675199463</v>
      </c>
      <c r="O79" s="31">
        <f t="shared" si="27"/>
        <v>0</v>
      </c>
      <c r="P79" s="54">
        <f t="shared" si="33"/>
        <v>0</v>
      </c>
      <c r="R79" s="164" t="str">
        <f t="shared" ref="R79:T79" si="53">R44</f>
        <v>Plastic #3-7 Mixed</v>
      </c>
      <c r="S79" s="152">
        <f t="shared" si="53"/>
        <v>0</v>
      </c>
      <c r="T79" s="152">
        <f t="shared" si="53"/>
        <v>2.0254519141196047E-2</v>
      </c>
      <c r="U79" s="13">
        <f t="shared" si="35"/>
        <v>0</v>
      </c>
      <c r="V79" s="13">
        <v>0</v>
      </c>
      <c r="W79" s="31">
        <f t="shared" si="36"/>
        <v>0</v>
      </c>
      <c r="X79" s="54">
        <f t="shared" si="37"/>
        <v>0</v>
      </c>
    </row>
    <row r="80" spans="2:24">
      <c r="B80" s="120" t="str">
        <f t="shared" si="23"/>
        <v>Plastic Film/Bags</v>
      </c>
      <c r="C80" s="164">
        <f t="shared" si="23"/>
        <v>0</v>
      </c>
      <c r="D80" s="164">
        <f t="shared" ref="D80:F80" si="54">D45</f>
        <v>2.0254519141196047E-2</v>
      </c>
      <c r="E80" s="164">
        <f t="shared" si="54"/>
        <v>0</v>
      </c>
      <c r="F80" s="164">
        <f t="shared" si="54"/>
        <v>-0.92552340675199463</v>
      </c>
      <c r="G80" s="164">
        <f>C80*F80</f>
        <v>0</v>
      </c>
      <c r="H80" s="166">
        <f t="shared" si="31"/>
        <v>0</v>
      </c>
      <c r="J80" s="164" t="str">
        <f t="shared" ref="J80:L80" si="55">J45</f>
        <v>Plastic Film/Bags</v>
      </c>
      <c r="K80" s="152">
        <f t="shared" si="55"/>
        <v>0</v>
      </c>
      <c r="L80" s="152">
        <f t="shared" si="55"/>
        <v>2.0254519141196047E-2</v>
      </c>
      <c r="M80" s="13">
        <f t="shared" si="40"/>
        <v>0</v>
      </c>
      <c r="N80" s="13">
        <f t="shared" si="26"/>
        <v>-0.92552340675199463</v>
      </c>
      <c r="O80" s="31">
        <f t="shared" si="27"/>
        <v>0</v>
      </c>
      <c r="P80" s="54">
        <f t="shared" si="33"/>
        <v>0</v>
      </c>
      <c r="R80" s="164" t="str">
        <f t="shared" ref="R80:T80" si="56">R45</f>
        <v>Plastic Film/Bags</v>
      </c>
      <c r="S80" s="152">
        <f t="shared" si="56"/>
        <v>0</v>
      </c>
      <c r="T80" s="152">
        <f t="shared" si="56"/>
        <v>2.0254519141196047E-2</v>
      </c>
      <c r="U80" s="13">
        <f t="shared" si="35"/>
        <v>0</v>
      </c>
      <c r="V80" s="13">
        <v>0</v>
      </c>
      <c r="W80" s="31">
        <f t="shared" si="36"/>
        <v>0</v>
      </c>
      <c r="X80" s="54">
        <f t="shared" si="37"/>
        <v>0</v>
      </c>
    </row>
    <row r="81" spans="2:24">
      <c r="B81" s="120" t="str">
        <f t="shared" si="23"/>
        <v>Plastic Foam</v>
      </c>
      <c r="C81" s="164">
        <f t="shared" si="23"/>
        <v>0</v>
      </c>
      <c r="D81" s="164">
        <f t="shared" ref="D81:F81" si="57">D46</f>
        <v>2.0254519141196047E-2</v>
      </c>
      <c r="E81" s="164">
        <f t="shared" si="57"/>
        <v>0</v>
      </c>
      <c r="F81" s="164">
        <f t="shared" si="57"/>
        <v>-0.92552340675199463</v>
      </c>
      <c r="G81" s="164">
        <f t="shared" si="30"/>
        <v>0</v>
      </c>
      <c r="H81" s="166">
        <f t="shared" si="31"/>
        <v>0</v>
      </c>
      <c r="J81" s="164" t="str">
        <f t="shared" ref="J81:L81" si="58">J46</f>
        <v>Plastic Foam</v>
      </c>
      <c r="K81" s="152">
        <f t="shared" si="58"/>
        <v>0</v>
      </c>
      <c r="L81" s="152">
        <f t="shared" si="58"/>
        <v>2.0254519141196047E-2</v>
      </c>
      <c r="M81" s="13">
        <f t="shared" si="40"/>
        <v>0</v>
      </c>
      <c r="N81" s="13">
        <f t="shared" si="26"/>
        <v>-0.92552340675199463</v>
      </c>
      <c r="O81" s="31">
        <f t="shared" si="27"/>
        <v>0</v>
      </c>
      <c r="P81" s="54">
        <f t="shared" si="33"/>
        <v>0</v>
      </c>
      <c r="R81" s="164" t="str">
        <f t="shared" ref="R81:T81" si="59">R46</f>
        <v>Plastic Foam</v>
      </c>
      <c r="S81" s="152">
        <f t="shared" si="59"/>
        <v>0</v>
      </c>
      <c r="T81" s="152">
        <f t="shared" si="59"/>
        <v>2.0254519141196047E-2</v>
      </c>
      <c r="U81" s="13">
        <f t="shared" si="35"/>
        <v>0</v>
      </c>
      <c r="V81" s="13">
        <v>0</v>
      </c>
      <c r="W81" s="31">
        <f t="shared" si="36"/>
        <v>0</v>
      </c>
      <c r="X81" s="54">
        <f t="shared" si="37"/>
        <v>0</v>
      </c>
    </row>
    <row r="82" spans="2:24">
      <c r="B82" s="120" t="str">
        <f t="shared" si="23"/>
        <v>Other Plastics</v>
      </c>
      <c r="C82" s="164">
        <f t="shared" si="23"/>
        <v>0</v>
      </c>
      <c r="D82" s="164">
        <f t="shared" ref="D82:F82" si="60">D47</f>
        <v>2.0254519141196047E-2</v>
      </c>
      <c r="E82" s="164">
        <f t="shared" si="60"/>
        <v>0</v>
      </c>
      <c r="F82" s="164">
        <f t="shared" si="60"/>
        <v>-0.92552340675199463</v>
      </c>
      <c r="G82" s="164">
        <f t="shared" si="30"/>
        <v>0</v>
      </c>
      <c r="H82" s="166">
        <f t="shared" si="31"/>
        <v>0</v>
      </c>
      <c r="J82" s="164" t="str">
        <f t="shared" ref="J82:L82" si="61">J47</f>
        <v>Other Plastics</v>
      </c>
      <c r="K82" s="152">
        <f t="shared" si="61"/>
        <v>0</v>
      </c>
      <c r="L82" s="152">
        <f t="shared" si="61"/>
        <v>2.0254519141196047E-2</v>
      </c>
      <c r="M82" s="13">
        <f t="shared" si="40"/>
        <v>0</v>
      </c>
      <c r="N82" s="13">
        <f t="shared" si="26"/>
        <v>-0.92552340675199463</v>
      </c>
      <c r="O82" s="31">
        <f t="shared" si="27"/>
        <v>0</v>
      </c>
      <c r="P82" s="54">
        <f t="shared" si="33"/>
        <v>0</v>
      </c>
      <c r="R82" s="164" t="str">
        <f t="shared" ref="R82:T82" si="62">R47</f>
        <v>Other Plastics</v>
      </c>
      <c r="S82" s="152">
        <f t="shared" si="62"/>
        <v>0</v>
      </c>
      <c r="T82" s="152">
        <f t="shared" si="62"/>
        <v>2.0254519141196047E-2</v>
      </c>
      <c r="U82" s="13">
        <f t="shared" si="35"/>
        <v>0</v>
      </c>
      <c r="V82" s="13">
        <v>0</v>
      </c>
      <c r="W82" s="31">
        <f t="shared" si="36"/>
        <v>0</v>
      </c>
      <c r="X82" s="54">
        <f t="shared" si="37"/>
        <v>0</v>
      </c>
    </row>
    <row r="83" spans="2:24" ht="14.45" customHeight="1">
      <c r="B83" s="120" t="str">
        <f t="shared" si="23"/>
        <v>Glass Containers</v>
      </c>
      <c r="C83" s="164">
        <f t="shared" si="23"/>
        <v>0</v>
      </c>
      <c r="D83" s="164">
        <f t="shared" ref="D83:F83" si="63">D48</f>
        <v>2.0254519141196047E-2</v>
      </c>
      <c r="E83" s="164">
        <f t="shared" si="63"/>
        <v>0</v>
      </c>
      <c r="F83" s="164">
        <f t="shared" si="63"/>
        <v>-0.2760901764592596</v>
      </c>
      <c r="G83" s="164">
        <f t="shared" si="30"/>
        <v>0</v>
      </c>
      <c r="H83" s="166">
        <f t="shared" si="31"/>
        <v>0</v>
      </c>
      <c r="J83" s="164" t="str">
        <f t="shared" ref="J83:L83" si="64">J48</f>
        <v>Glass Containers</v>
      </c>
      <c r="K83" s="152">
        <f t="shared" si="64"/>
        <v>0</v>
      </c>
      <c r="L83" s="152">
        <f t="shared" si="64"/>
        <v>2.0254519141196047E-2</v>
      </c>
      <c r="M83" s="13">
        <f t="shared" si="40"/>
        <v>0</v>
      </c>
      <c r="N83" s="13">
        <f t="shared" si="26"/>
        <v>-0.2760901764592596</v>
      </c>
      <c r="O83" s="31">
        <f t="shared" si="27"/>
        <v>0</v>
      </c>
      <c r="P83" s="54">
        <f t="shared" si="33"/>
        <v>0</v>
      </c>
      <c r="R83" s="164" t="str">
        <f t="shared" ref="R83:T83" si="65">R48</f>
        <v>Glass Containers</v>
      </c>
      <c r="S83" s="152">
        <f t="shared" si="65"/>
        <v>0</v>
      </c>
      <c r="T83" s="152">
        <f t="shared" si="65"/>
        <v>2.0254519141196047E-2</v>
      </c>
      <c r="U83" s="13">
        <f t="shared" si="35"/>
        <v>0</v>
      </c>
      <c r="V83" s="13">
        <v>0</v>
      </c>
      <c r="W83" s="31">
        <f t="shared" si="36"/>
        <v>0</v>
      </c>
      <c r="X83" s="54">
        <f t="shared" si="37"/>
        <v>0</v>
      </c>
    </row>
    <row r="84" spans="2:24" ht="14.45" customHeight="1">
      <c r="B84" s="120" t="str">
        <f t="shared" si="23"/>
        <v>Other Glass</v>
      </c>
      <c r="C84" s="164">
        <f t="shared" si="23"/>
        <v>0</v>
      </c>
      <c r="D84" s="164">
        <f t="shared" ref="D84:F84" si="66">D49</f>
        <v>2.0254519141196047E-2</v>
      </c>
      <c r="E84" s="164">
        <f t="shared" si="66"/>
        <v>0</v>
      </c>
      <c r="F84" s="164">
        <f t="shared" si="66"/>
        <v>-0.2760901764592596</v>
      </c>
      <c r="G84" s="164">
        <f t="shared" si="30"/>
        <v>0</v>
      </c>
      <c r="H84" s="166">
        <f t="shared" si="31"/>
        <v>0</v>
      </c>
      <c r="J84" s="164" t="str">
        <f t="shared" ref="J84:L84" si="67">J49</f>
        <v>Other Glass</v>
      </c>
      <c r="K84" s="152">
        <f t="shared" si="67"/>
        <v>0</v>
      </c>
      <c r="L84" s="152">
        <f t="shared" si="67"/>
        <v>2.0254519141196047E-2</v>
      </c>
      <c r="M84" s="13">
        <f t="shared" si="40"/>
        <v>0</v>
      </c>
      <c r="N84" s="13">
        <f t="shared" si="26"/>
        <v>-0.2760901764592596</v>
      </c>
      <c r="O84" s="31">
        <f t="shared" si="27"/>
        <v>0</v>
      </c>
      <c r="P84" s="54">
        <f t="shared" si="33"/>
        <v>0</v>
      </c>
      <c r="R84" s="164" t="str">
        <f t="shared" ref="R84:T84" si="68">R49</f>
        <v>Other Glass</v>
      </c>
      <c r="S84" s="152">
        <f t="shared" si="68"/>
        <v>0</v>
      </c>
      <c r="T84" s="152">
        <f t="shared" si="68"/>
        <v>2.0254519141196047E-2</v>
      </c>
      <c r="U84" s="13">
        <f t="shared" si="35"/>
        <v>0</v>
      </c>
      <c r="V84" s="13">
        <v>0</v>
      </c>
      <c r="W84" s="31">
        <f t="shared" si="36"/>
        <v>0</v>
      </c>
      <c r="X84" s="54">
        <f t="shared" si="37"/>
        <v>0</v>
      </c>
    </row>
    <row r="85" spans="2:24">
      <c r="B85" s="120" t="str">
        <f t="shared" si="23"/>
        <v>Aluminum Cans</v>
      </c>
      <c r="C85" s="164">
        <f t="shared" si="23"/>
        <v>0</v>
      </c>
      <c r="D85" s="164">
        <f t="shared" ref="D85:F85" si="69">D50</f>
        <v>2.0254519141196047E-2</v>
      </c>
      <c r="E85" s="164">
        <f t="shared" si="69"/>
        <v>0</v>
      </c>
      <c r="F85" s="164">
        <f t="shared" si="69"/>
        <v>-9.1273781621056216</v>
      </c>
      <c r="G85" s="164">
        <f t="shared" si="30"/>
        <v>0</v>
      </c>
      <c r="H85" s="166">
        <f t="shared" si="31"/>
        <v>0</v>
      </c>
      <c r="J85" s="164" t="str">
        <f t="shared" ref="J85:L85" si="70">J50</f>
        <v>Aluminum Cans</v>
      </c>
      <c r="K85" s="152">
        <f t="shared" si="70"/>
        <v>0</v>
      </c>
      <c r="L85" s="152">
        <f t="shared" si="70"/>
        <v>2.0254519141196047E-2</v>
      </c>
      <c r="M85" s="13">
        <f t="shared" si="40"/>
        <v>0</v>
      </c>
      <c r="N85" s="13">
        <f t="shared" si="26"/>
        <v>-9.1273781621056216</v>
      </c>
      <c r="O85" s="31">
        <f t="shared" si="27"/>
        <v>0</v>
      </c>
      <c r="P85" s="54">
        <f t="shared" si="33"/>
        <v>0</v>
      </c>
      <c r="R85" s="164" t="str">
        <f t="shared" ref="R85:T85" si="71">R50</f>
        <v>Aluminum Cans</v>
      </c>
      <c r="S85" s="152">
        <f t="shared" si="71"/>
        <v>0</v>
      </c>
      <c r="T85" s="152">
        <f t="shared" si="71"/>
        <v>2.0254519141196047E-2</v>
      </c>
      <c r="U85" s="13">
        <f t="shared" si="35"/>
        <v>0</v>
      </c>
      <c r="V85" s="13">
        <v>0</v>
      </c>
      <c r="W85" s="31">
        <f t="shared" si="36"/>
        <v>0</v>
      </c>
      <c r="X85" s="54">
        <f t="shared" si="37"/>
        <v>0</v>
      </c>
    </row>
    <row r="86" spans="2:24">
      <c r="B86" s="120" t="str">
        <f t="shared" si="23"/>
        <v>Steel/Tin Cans</v>
      </c>
      <c r="C86" s="164">
        <f t="shared" si="23"/>
        <v>0</v>
      </c>
      <c r="D86" s="164">
        <f t="shared" ref="D86:F86" si="72">D51</f>
        <v>2.0254519141196047E-2</v>
      </c>
      <c r="E86" s="164">
        <f t="shared" si="72"/>
        <v>0</v>
      </c>
      <c r="F86" s="164">
        <f t="shared" si="72"/>
        <v>-1.8320754180112897</v>
      </c>
      <c r="G86" s="164">
        <f t="shared" si="30"/>
        <v>0</v>
      </c>
      <c r="H86" s="166">
        <f t="shared" si="31"/>
        <v>0</v>
      </c>
      <c r="J86" s="164" t="str">
        <f t="shared" ref="J86:L86" si="73">J51</f>
        <v>Steel/Tin Cans</v>
      </c>
      <c r="K86" s="152">
        <f t="shared" si="73"/>
        <v>0</v>
      </c>
      <c r="L86" s="152">
        <f t="shared" si="73"/>
        <v>2.0254519141196047E-2</v>
      </c>
      <c r="M86" s="13">
        <f>K86*L86</f>
        <v>0</v>
      </c>
      <c r="N86" s="13">
        <f t="shared" si="26"/>
        <v>-1.8320754180112897</v>
      </c>
      <c r="O86" s="31">
        <f t="shared" si="27"/>
        <v>0</v>
      </c>
      <c r="P86" s="54">
        <f t="shared" si="33"/>
        <v>0</v>
      </c>
      <c r="R86" s="164" t="str">
        <f t="shared" ref="R86:T86" si="74">R51</f>
        <v>Steel/Tin Cans</v>
      </c>
      <c r="S86" s="152">
        <f t="shared" si="74"/>
        <v>0</v>
      </c>
      <c r="T86" s="152">
        <f t="shared" si="74"/>
        <v>2.0254519141196047E-2</v>
      </c>
      <c r="U86" s="13">
        <f t="shared" si="35"/>
        <v>0</v>
      </c>
      <c r="V86" s="13">
        <v>0</v>
      </c>
      <c r="W86" s="31">
        <f t="shared" si="36"/>
        <v>0</v>
      </c>
      <c r="X86" s="54">
        <f t="shared" si="37"/>
        <v>0</v>
      </c>
    </row>
    <row r="87" spans="2:24" ht="14.45" customHeight="1">
      <c r="B87" s="120" t="str">
        <f t="shared" si="23"/>
        <v>Ferrous Metal</v>
      </c>
      <c r="C87" s="164">
        <f t="shared" si="23"/>
        <v>0</v>
      </c>
      <c r="D87" s="164">
        <f t="shared" ref="D87:F87" si="75">D52</f>
        <v>2.0254519141196047E-2</v>
      </c>
      <c r="E87" s="164">
        <f t="shared" si="75"/>
        <v>0</v>
      </c>
      <c r="F87" s="164">
        <f t="shared" si="75"/>
        <v>-4.3911606737930704</v>
      </c>
      <c r="G87" s="164">
        <f t="shared" si="30"/>
        <v>0</v>
      </c>
      <c r="H87" s="166">
        <f t="shared" si="31"/>
        <v>0</v>
      </c>
      <c r="J87" s="164" t="str">
        <f t="shared" ref="J87:L87" si="76">J52</f>
        <v>Ferrous Metal</v>
      </c>
      <c r="K87" s="152">
        <f t="shared" si="76"/>
        <v>0</v>
      </c>
      <c r="L87" s="152">
        <f t="shared" si="76"/>
        <v>2.0254519141196047E-2</v>
      </c>
      <c r="M87" s="13">
        <f t="shared" si="40"/>
        <v>0</v>
      </c>
      <c r="N87" s="13">
        <f t="shared" si="26"/>
        <v>-4.3911606737930704</v>
      </c>
      <c r="O87" s="31">
        <f t="shared" si="27"/>
        <v>0</v>
      </c>
      <c r="P87" s="54">
        <f t="shared" si="33"/>
        <v>0</v>
      </c>
      <c r="R87" s="164" t="str">
        <f t="shared" ref="R87:T87" si="77">R52</f>
        <v>Ferrous Metal</v>
      </c>
      <c r="S87" s="152">
        <f t="shared" si="77"/>
        <v>0</v>
      </c>
      <c r="T87" s="152">
        <f t="shared" si="77"/>
        <v>2.0254519141196047E-2</v>
      </c>
      <c r="U87" s="13">
        <f t="shared" si="35"/>
        <v>0</v>
      </c>
      <c r="V87" s="13">
        <v>0</v>
      </c>
      <c r="W87" s="31">
        <f t="shared" si="36"/>
        <v>0</v>
      </c>
      <c r="X87" s="54">
        <f t="shared" si="37"/>
        <v>0</v>
      </c>
    </row>
    <row r="88" spans="2:24" ht="14.45" customHeight="1">
      <c r="B88" s="120" t="str">
        <f t="shared" si="23"/>
        <v>Non-Ferrous Metal</v>
      </c>
      <c r="C88" s="164">
        <f t="shared" si="23"/>
        <v>0</v>
      </c>
      <c r="D88" s="164">
        <f t="shared" ref="D88:F88" si="78">D53</f>
        <v>2.0254519141196047E-2</v>
      </c>
      <c r="E88" s="164">
        <f t="shared" si="78"/>
        <v>0</v>
      </c>
      <c r="F88" s="164">
        <f t="shared" si="78"/>
        <v>-4.3911606737930704</v>
      </c>
      <c r="G88" s="164">
        <f t="shared" si="30"/>
        <v>0</v>
      </c>
      <c r="H88" s="166">
        <f t="shared" si="31"/>
        <v>0</v>
      </c>
      <c r="J88" s="164" t="str">
        <f t="shared" ref="J88:L88" si="79">J53</f>
        <v>Non-Ferrous Metal</v>
      </c>
      <c r="K88" s="152">
        <f t="shared" si="79"/>
        <v>0</v>
      </c>
      <c r="L88" s="152">
        <f t="shared" si="79"/>
        <v>2.0254519141196047E-2</v>
      </c>
      <c r="M88" s="13">
        <f t="shared" si="40"/>
        <v>0</v>
      </c>
      <c r="N88" s="13">
        <f t="shared" si="26"/>
        <v>-4.3911606737930704</v>
      </c>
      <c r="O88" s="31">
        <f t="shared" si="27"/>
        <v>0</v>
      </c>
      <c r="P88" s="54">
        <f t="shared" si="33"/>
        <v>0</v>
      </c>
      <c r="R88" s="164" t="str">
        <f t="shared" ref="R88:T88" si="80">R53</f>
        <v>Non-Ferrous Metal</v>
      </c>
      <c r="S88" s="152">
        <f t="shared" si="80"/>
        <v>0</v>
      </c>
      <c r="T88" s="152">
        <f t="shared" si="80"/>
        <v>2.0254519141196047E-2</v>
      </c>
      <c r="U88" s="13">
        <f t="shared" si="35"/>
        <v>0</v>
      </c>
      <c r="V88" s="13">
        <v>0</v>
      </c>
      <c r="W88" s="31">
        <f t="shared" si="36"/>
        <v>0</v>
      </c>
      <c r="X88" s="54">
        <f t="shared" si="37"/>
        <v>0</v>
      </c>
    </row>
    <row r="89" spans="2:24">
      <c r="B89" s="120" t="str">
        <f t="shared" si="23"/>
        <v>Batteries</v>
      </c>
      <c r="C89" s="164">
        <f t="shared" si="23"/>
        <v>0</v>
      </c>
      <c r="D89" s="164">
        <f t="shared" ref="D89:F89" si="81">D54</f>
        <v>2.0254519141196047E-2</v>
      </c>
      <c r="E89" s="164">
        <f t="shared" si="81"/>
        <v>0</v>
      </c>
      <c r="F89" s="164">
        <f t="shared" si="81"/>
        <v>-0.9038615759580324</v>
      </c>
      <c r="G89" s="164">
        <f t="shared" si="30"/>
        <v>0</v>
      </c>
      <c r="H89" s="166">
        <f t="shared" si="31"/>
        <v>0</v>
      </c>
      <c r="J89" s="164" t="str">
        <f t="shared" ref="J89:L89" si="82">J54</f>
        <v>Batteries</v>
      </c>
      <c r="K89" s="152">
        <f t="shared" si="82"/>
        <v>0</v>
      </c>
      <c r="L89" s="152">
        <f t="shared" si="82"/>
        <v>2.0254519141196047E-2</v>
      </c>
      <c r="M89" s="13">
        <f t="shared" si="40"/>
        <v>0</v>
      </c>
      <c r="N89" s="13">
        <f t="shared" si="26"/>
        <v>-0.9038615759580324</v>
      </c>
      <c r="O89" s="31">
        <f t="shared" si="27"/>
        <v>0</v>
      </c>
      <c r="P89" s="54">
        <f t="shared" si="33"/>
        <v>0</v>
      </c>
      <c r="R89" s="164" t="str">
        <f t="shared" ref="R89:T89" si="83">R54</f>
        <v>Batteries</v>
      </c>
      <c r="S89" s="152">
        <f t="shared" si="83"/>
        <v>0</v>
      </c>
      <c r="T89" s="152">
        <f t="shared" si="83"/>
        <v>2.0254519141196047E-2</v>
      </c>
      <c r="U89" s="13">
        <f t="shared" si="35"/>
        <v>0</v>
      </c>
      <c r="V89" s="13">
        <v>0</v>
      </c>
      <c r="W89" s="31">
        <f t="shared" si="36"/>
        <v>0</v>
      </c>
      <c r="X89" s="54">
        <f t="shared" si="37"/>
        <v>0</v>
      </c>
    </row>
    <row r="90" spans="2:24" ht="14.45" customHeight="1">
      <c r="B90" s="120" t="str">
        <f t="shared" si="23"/>
        <v>Appliances</v>
      </c>
      <c r="C90" s="164">
        <f t="shared" si="23"/>
        <v>0</v>
      </c>
      <c r="D90" s="164">
        <f t="shared" ref="D90:F90" si="84">D55</f>
        <v>2.0254519141196047E-2</v>
      </c>
      <c r="E90" s="164">
        <f t="shared" si="84"/>
        <v>0</v>
      </c>
      <c r="F90" s="164">
        <f t="shared" si="84"/>
        <v>-4.3911606737930704</v>
      </c>
      <c r="G90" s="164">
        <f t="shared" si="30"/>
        <v>0</v>
      </c>
      <c r="H90" s="166">
        <f t="shared" si="31"/>
        <v>0</v>
      </c>
      <c r="J90" s="164" t="str">
        <f t="shared" ref="J90:L90" si="85">J55</f>
        <v>Appliances</v>
      </c>
      <c r="K90" s="152">
        <f t="shared" si="85"/>
        <v>0</v>
      </c>
      <c r="L90" s="152">
        <f t="shared" si="85"/>
        <v>2.0254519141196047E-2</v>
      </c>
      <c r="M90" s="13">
        <f t="shared" si="40"/>
        <v>0</v>
      </c>
      <c r="N90" s="13">
        <f t="shared" si="26"/>
        <v>-4.3911606737930704</v>
      </c>
      <c r="O90" s="31">
        <f t="shared" si="27"/>
        <v>0</v>
      </c>
      <c r="P90" s="54">
        <f t="shared" si="33"/>
        <v>0</v>
      </c>
      <c r="R90" s="164" t="str">
        <f t="shared" ref="R90:T90" si="86">R55</f>
        <v>Appliances</v>
      </c>
      <c r="S90" s="152">
        <f t="shared" si="86"/>
        <v>0</v>
      </c>
      <c r="T90" s="152">
        <f t="shared" si="86"/>
        <v>2.0254519141196047E-2</v>
      </c>
      <c r="U90" s="13">
        <f t="shared" si="35"/>
        <v>0</v>
      </c>
      <c r="V90" s="13">
        <v>0</v>
      </c>
      <c r="W90" s="31">
        <f t="shared" si="36"/>
        <v>0</v>
      </c>
      <c r="X90" s="54">
        <f t="shared" si="37"/>
        <v>0</v>
      </c>
    </row>
    <row r="91" spans="2:24" ht="14.45" customHeight="1">
      <c r="B91" s="120" t="str">
        <f t="shared" si="23"/>
        <v>Electronics</v>
      </c>
      <c r="C91" s="164">
        <f t="shared" si="23"/>
        <v>0</v>
      </c>
      <c r="D91" s="164">
        <f t="shared" ref="D91:F91" si="87">D56</f>
        <v>2.0254519141196047E-2</v>
      </c>
      <c r="E91" s="164">
        <f t="shared" si="87"/>
        <v>0</v>
      </c>
      <c r="F91" s="164">
        <f t="shared" si="87"/>
        <v>-0.9038615759580324</v>
      </c>
      <c r="G91" s="164">
        <f t="shared" si="30"/>
        <v>0</v>
      </c>
      <c r="H91" s="166">
        <f t="shared" si="31"/>
        <v>0</v>
      </c>
      <c r="J91" s="164" t="str">
        <f t="shared" ref="J91:L91" si="88">J56</f>
        <v>Electronics</v>
      </c>
      <c r="K91" s="152">
        <f t="shared" si="88"/>
        <v>0</v>
      </c>
      <c r="L91" s="152">
        <f t="shared" si="88"/>
        <v>2.0254519141196047E-2</v>
      </c>
      <c r="M91" s="13">
        <f t="shared" si="40"/>
        <v>0</v>
      </c>
      <c r="N91" s="13">
        <f t="shared" si="26"/>
        <v>-0.9038615759580324</v>
      </c>
      <c r="O91" s="31">
        <f t="shared" si="27"/>
        <v>0</v>
      </c>
      <c r="P91" s="54">
        <f t="shared" si="33"/>
        <v>0</v>
      </c>
      <c r="R91" s="164" t="str">
        <f t="shared" ref="R91:T91" si="89">R56</f>
        <v>Electronics</v>
      </c>
      <c r="S91" s="152">
        <f t="shared" si="89"/>
        <v>0</v>
      </c>
      <c r="T91" s="152">
        <f t="shared" si="89"/>
        <v>2.0254519141196047E-2</v>
      </c>
      <c r="U91" s="13">
        <f t="shared" si="35"/>
        <v>0</v>
      </c>
      <c r="V91" s="13">
        <v>0</v>
      </c>
      <c r="W91" s="31">
        <f t="shared" si="36"/>
        <v>0</v>
      </c>
      <c r="X91" s="54">
        <f t="shared" si="37"/>
        <v>0</v>
      </c>
    </row>
    <row r="92" spans="2:24" ht="14.45" customHeight="1">
      <c r="B92" s="120" t="str">
        <f t="shared" si="23"/>
        <v>Tires</v>
      </c>
      <c r="C92" s="164">
        <f t="shared" si="23"/>
        <v>0</v>
      </c>
      <c r="D92" s="164">
        <f t="shared" ref="D92:F92" si="90">D57</f>
        <v>2.0254519141196047E-2</v>
      </c>
      <c r="E92" s="164">
        <f t="shared" si="90"/>
        <v>0</v>
      </c>
      <c r="F92" s="164">
        <f t="shared" si="90"/>
        <v>-0.37630348405859365</v>
      </c>
      <c r="G92" s="164">
        <f t="shared" si="30"/>
        <v>0</v>
      </c>
      <c r="H92" s="166">
        <f t="shared" si="31"/>
        <v>0</v>
      </c>
      <c r="J92" s="164" t="str">
        <f t="shared" ref="J92:L92" si="91">J57</f>
        <v>Tires</v>
      </c>
      <c r="K92" s="152">
        <f t="shared" si="91"/>
        <v>0</v>
      </c>
      <c r="L92" s="152">
        <f t="shared" si="91"/>
        <v>2.0254519141196047E-2</v>
      </c>
      <c r="M92" s="13">
        <f t="shared" si="40"/>
        <v>0</v>
      </c>
      <c r="N92" s="13">
        <f t="shared" si="26"/>
        <v>-0.37630348405859365</v>
      </c>
      <c r="O92" s="31">
        <f t="shared" si="27"/>
        <v>0</v>
      </c>
      <c r="P92" s="54">
        <f t="shared" si="33"/>
        <v>0</v>
      </c>
      <c r="R92" s="164" t="str">
        <f t="shared" ref="R92:T92" si="92">R57</f>
        <v>Tires</v>
      </c>
      <c r="S92" s="152">
        <f t="shared" si="92"/>
        <v>0</v>
      </c>
      <c r="T92" s="152">
        <f t="shared" si="92"/>
        <v>2.0254519141196047E-2</v>
      </c>
      <c r="U92" s="13">
        <f t="shared" si="35"/>
        <v>0</v>
      </c>
      <c r="V92" s="13">
        <v>0</v>
      </c>
      <c r="W92" s="31">
        <f t="shared" si="36"/>
        <v>0</v>
      </c>
      <c r="X92" s="54">
        <f t="shared" si="37"/>
        <v>0</v>
      </c>
    </row>
    <row r="93" spans="2:24">
      <c r="B93" s="120" t="str">
        <f t="shared" si="23"/>
        <v>Textiles</v>
      </c>
      <c r="C93" s="164">
        <f t="shared" si="23"/>
        <v>0</v>
      </c>
      <c r="D93" s="164">
        <f t="shared" ref="D93:F93" si="93">D58</f>
        <v>3.4185776672640021E-2</v>
      </c>
      <c r="E93" s="164">
        <f t="shared" si="93"/>
        <v>0</v>
      </c>
      <c r="F93" s="164">
        <f t="shared" si="93"/>
        <v>-2.8009509451764503</v>
      </c>
      <c r="G93" s="164">
        <f t="shared" si="30"/>
        <v>0</v>
      </c>
      <c r="H93" s="166">
        <f t="shared" si="31"/>
        <v>0</v>
      </c>
      <c r="J93" s="164" t="str">
        <f t="shared" ref="J93:L93" si="94">J58</f>
        <v>Textiles</v>
      </c>
      <c r="K93" s="152">
        <f t="shared" si="94"/>
        <v>0</v>
      </c>
      <c r="L93" s="152">
        <f t="shared" si="94"/>
        <v>3.4185776672640021E-2</v>
      </c>
      <c r="M93" s="13">
        <f t="shared" si="40"/>
        <v>0</v>
      </c>
      <c r="N93" s="13">
        <f t="shared" si="26"/>
        <v>-2.8009509451764503</v>
      </c>
      <c r="O93" s="31">
        <f t="shared" si="27"/>
        <v>0</v>
      </c>
      <c r="P93" s="54">
        <f t="shared" si="33"/>
        <v>0</v>
      </c>
      <c r="R93" s="164" t="str">
        <f t="shared" ref="R93:T93" si="95">R58</f>
        <v>Textiles</v>
      </c>
      <c r="S93" s="152">
        <f t="shared" si="95"/>
        <v>0</v>
      </c>
      <c r="T93" s="152">
        <f t="shared" si="95"/>
        <v>3.4185776672640021E-2</v>
      </c>
      <c r="U93" s="13">
        <f t="shared" si="35"/>
        <v>0</v>
      </c>
      <c r="V93" s="13">
        <v>0</v>
      </c>
      <c r="W93" s="31">
        <f t="shared" si="36"/>
        <v>0</v>
      </c>
      <c r="X93" s="54">
        <f t="shared" si="37"/>
        <v>0</v>
      </c>
    </row>
    <row r="94" spans="2:24" ht="15" customHeight="1">
      <c r="B94" s="120" t="str">
        <f t="shared" si="23"/>
        <v>Other Recyclable Materials</v>
      </c>
      <c r="C94" s="164">
        <f t="shared" si="23"/>
        <v>0</v>
      </c>
      <c r="D94" s="164">
        <f t="shared" ref="D94:F94" si="96">D59</f>
        <v>3.4185776672640021E-2</v>
      </c>
      <c r="E94" s="164">
        <f t="shared" si="96"/>
        <v>0</v>
      </c>
      <c r="F94" s="164">
        <f t="shared" si="96"/>
        <v>-2.8009509451764503</v>
      </c>
      <c r="G94" s="164">
        <f t="shared" si="30"/>
        <v>0</v>
      </c>
      <c r="H94" s="166">
        <f t="shared" si="31"/>
        <v>0</v>
      </c>
      <c r="J94" s="164" t="str">
        <f t="shared" ref="J94:L94" si="97">J59</f>
        <v>Other Recyclable Materials</v>
      </c>
      <c r="K94" s="152">
        <f t="shared" si="97"/>
        <v>0</v>
      </c>
      <c r="L94" s="152">
        <f t="shared" si="97"/>
        <v>3.4185776672640021E-2</v>
      </c>
      <c r="M94" s="219">
        <f t="shared" si="40"/>
        <v>0</v>
      </c>
      <c r="N94" s="219">
        <f t="shared" si="26"/>
        <v>-2.8009509451764503</v>
      </c>
      <c r="O94" s="220">
        <f t="shared" si="27"/>
        <v>0</v>
      </c>
      <c r="P94" s="54">
        <f t="shared" si="33"/>
        <v>0</v>
      </c>
      <c r="R94" s="164" t="str">
        <f t="shared" ref="R94:T94" si="98">R59</f>
        <v>Other Recyclable Materials</v>
      </c>
      <c r="S94" s="152">
        <f t="shared" si="98"/>
        <v>0</v>
      </c>
      <c r="T94" s="152">
        <f t="shared" si="98"/>
        <v>3.4185776672640021E-2</v>
      </c>
      <c r="U94" s="219">
        <f t="shared" si="35"/>
        <v>0</v>
      </c>
      <c r="V94" s="219">
        <v>0</v>
      </c>
      <c r="W94" s="220">
        <f t="shared" si="36"/>
        <v>0</v>
      </c>
      <c r="X94" s="54">
        <f t="shared" si="37"/>
        <v>0</v>
      </c>
    </row>
    <row r="95" spans="2:24">
      <c r="B95" s="120" t="str">
        <f t="shared" si="23"/>
        <v>Wood Pallets</v>
      </c>
      <c r="C95" s="164">
        <f t="shared" si="23"/>
        <v>0</v>
      </c>
      <c r="D95" s="164">
        <f t="shared" ref="D95:F95" si="99">D60</f>
        <v>0.02</v>
      </c>
      <c r="E95" s="164">
        <f t="shared" si="99"/>
        <v>0</v>
      </c>
      <c r="F95" s="164">
        <f t="shared" si="99"/>
        <v>-0.10590613724308875</v>
      </c>
      <c r="G95" s="164">
        <f t="shared" si="30"/>
        <v>0</v>
      </c>
      <c r="H95" s="166">
        <f t="shared" si="31"/>
        <v>0</v>
      </c>
      <c r="J95" s="164" t="str">
        <f t="shared" ref="J95:L95" si="100">J60</f>
        <v>Wood Pallets</v>
      </c>
      <c r="K95" s="152">
        <f t="shared" si="100"/>
        <v>0</v>
      </c>
      <c r="L95" s="152">
        <f t="shared" si="100"/>
        <v>0.02</v>
      </c>
      <c r="M95" s="13">
        <f>K95*L95</f>
        <v>0</v>
      </c>
      <c r="N95" s="13">
        <f t="shared" si="26"/>
        <v>-0.10590613724308875</v>
      </c>
      <c r="O95" s="31">
        <v>0</v>
      </c>
      <c r="P95" s="54">
        <f t="shared" si="33"/>
        <v>0</v>
      </c>
      <c r="R95" s="164" t="str">
        <f t="shared" ref="R95:T95" si="101">R60</f>
        <v>Wood Pallets</v>
      </c>
      <c r="S95" s="152">
        <f t="shared" si="101"/>
        <v>0</v>
      </c>
      <c r="T95" s="152">
        <f t="shared" si="101"/>
        <v>0.02</v>
      </c>
      <c r="U95" s="13">
        <f>S95*T95</f>
        <v>0</v>
      </c>
      <c r="V95" s="13">
        <v>0</v>
      </c>
      <c r="W95" s="31">
        <f t="shared" si="36"/>
        <v>0</v>
      </c>
      <c r="X95" s="54">
        <f t="shared" si="37"/>
        <v>0</v>
      </c>
    </row>
    <row r="96" spans="2:24">
      <c r="B96" s="120" t="str">
        <f t="shared" si="23"/>
        <v>Food Waste</v>
      </c>
      <c r="C96" s="164">
        <f t="shared" si="23"/>
        <v>0</v>
      </c>
      <c r="D96" s="164">
        <f t="shared" ref="D96:F96" si="102">D61</f>
        <v>0.15807392806431295</v>
      </c>
      <c r="E96" s="164">
        <f t="shared" si="102"/>
        <v>0</v>
      </c>
      <c r="F96" s="164">
        <f t="shared" si="102"/>
        <v>-0.13040739388077993</v>
      </c>
      <c r="G96" s="164">
        <v>0</v>
      </c>
      <c r="H96" s="166">
        <f t="shared" si="31"/>
        <v>0</v>
      </c>
      <c r="J96" s="164" t="str">
        <f t="shared" ref="J96:L96" si="103">J61</f>
        <v>Food Waste</v>
      </c>
      <c r="K96" s="152">
        <f t="shared" si="103"/>
        <v>0</v>
      </c>
      <c r="L96" s="152">
        <f t="shared" si="103"/>
        <v>0.15807392806431295</v>
      </c>
      <c r="M96" s="13">
        <f t="shared" si="40"/>
        <v>0</v>
      </c>
      <c r="N96" s="13">
        <f t="shared" si="26"/>
        <v>-0.13040739388077993</v>
      </c>
      <c r="O96" s="31">
        <v>0</v>
      </c>
      <c r="P96" s="54">
        <f t="shared" si="33"/>
        <v>0</v>
      </c>
      <c r="R96" s="164" t="str">
        <f t="shared" ref="R96:T96" si="104">R61</f>
        <v>Food Waste</v>
      </c>
      <c r="S96" s="152">
        <f t="shared" si="104"/>
        <v>0</v>
      </c>
      <c r="T96" s="152">
        <f t="shared" si="104"/>
        <v>0.15807392806431295</v>
      </c>
      <c r="U96" s="13">
        <f>S96*T96</f>
        <v>0</v>
      </c>
      <c r="V96" s="63">
        <f>V61</f>
        <v>-0.13040739388077993</v>
      </c>
      <c r="W96" s="31">
        <f>S96*V96</f>
        <v>0</v>
      </c>
      <c r="X96" s="54">
        <f t="shared" si="37"/>
        <v>0</v>
      </c>
    </row>
    <row r="97" spans="2:24">
      <c r="B97" s="120" t="str">
        <f t="shared" si="23"/>
        <v>Yard Waste</v>
      </c>
      <c r="C97" s="164">
        <f t="shared" si="23"/>
        <v>0</v>
      </c>
      <c r="D97" s="164">
        <f t="shared" ref="D97:F97" si="105">D62</f>
        <v>0.02</v>
      </c>
      <c r="E97" s="164">
        <f t="shared" si="105"/>
        <v>0</v>
      </c>
      <c r="F97" s="164">
        <f t="shared" si="105"/>
        <v>-0.10590613724308875</v>
      </c>
      <c r="G97" s="164">
        <v>0</v>
      </c>
      <c r="H97" s="166">
        <f t="shared" si="31"/>
        <v>0</v>
      </c>
      <c r="J97" s="164" t="str">
        <f t="shared" ref="J97:L98" si="106">J62</f>
        <v>Yard Waste</v>
      </c>
      <c r="K97" s="152">
        <f t="shared" si="106"/>
        <v>0</v>
      </c>
      <c r="L97" s="152">
        <f t="shared" si="106"/>
        <v>0.02</v>
      </c>
      <c r="M97" s="13">
        <f t="shared" si="40"/>
        <v>0</v>
      </c>
      <c r="N97" s="13">
        <f t="shared" si="26"/>
        <v>-0.10590613724308875</v>
      </c>
      <c r="O97" s="31">
        <v>0</v>
      </c>
      <c r="P97" s="54">
        <f t="shared" si="33"/>
        <v>0</v>
      </c>
      <c r="R97" s="164" t="str">
        <f t="shared" ref="R97:T98" si="107">R62</f>
        <v>Yard Waste</v>
      </c>
      <c r="S97" s="152">
        <f t="shared" si="107"/>
        <v>0</v>
      </c>
      <c r="T97" s="152">
        <f t="shared" si="107"/>
        <v>0.02</v>
      </c>
      <c r="U97" s="13">
        <f t="shared" ref="U97:U99" si="108">S97*T97</f>
        <v>0</v>
      </c>
      <c r="V97" s="63">
        <f>V62</f>
        <v>-0.10590613724308875</v>
      </c>
      <c r="W97" s="31">
        <f t="shared" si="36"/>
        <v>0</v>
      </c>
      <c r="X97" s="54">
        <f t="shared" si="37"/>
        <v>0</v>
      </c>
    </row>
    <row r="98" spans="2:24">
      <c r="B98" s="120" t="s">
        <v>316</v>
      </c>
      <c r="C98" s="164">
        <f>C63</f>
        <v>0</v>
      </c>
      <c r="D98" s="164">
        <f>D63</f>
        <v>0.15807392806431295</v>
      </c>
      <c r="E98" s="164">
        <f t="shared" ref="E98:F99" si="109">E63</f>
        <v>0</v>
      </c>
      <c r="F98" s="164">
        <f t="shared" si="109"/>
        <v>-0.13040739388077993</v>
      </c>
      <c r="G98" s="164">
        <v>0</v>
      </c>
      <c r="H98" s="166">
        <f t="shared" si="31"/>
        <v>0</v>
      </c>
      <c r="J98" s="164" t="s">
        <v>316</v>
      </c>
      <c r="K98" s="152">
        <f t="shared" si="106"/>
        <v>0</v>
      </c>
      <c r="L98" s="152">
        <f t="shared" ref="J98:L99" si="110">L63</f>
        <v>0.15807392806431295</v>
      </c>
      <c r="M98" s="13">
        <f t="shared" si="40"/>
        <v>0</v>
      </c>
      <c r="N98" s="13">
        <f t="shared" ref="N98:N99" si="111">N63</f>
        <v>-0.13040739388077993</v>
      </c>
      <c r="O98" s="31">
        <v>0</v>
      </c>
      <c r="P98" s="54">
        <f t="shared" si="33"/>
        <v>0</v>
      </c>
      <c r="R98" s="164" t="s">
        <v>316</v>
      </c>
      <c r="S98" s="152">
        <f t="shared" si="107"/>
        <v>0</v>
      </c>
      <c r="T98" s="152">
        <f t="shared" ref="R98:T99" si="112">T63</f>
        <v>0.15807392806431295</v>
      </c>
      <c r="U98" s="13">
        <f t="shared" si="108"/>
        <v>0</v>
      </c>
      <c r="V98" s="63">
        <f t="shared" ref="V98:V99" si="113">V63</f>
        <v>-0.13040739388077993</v>
      </c>
      <c r="W98" s="31">
        <f t="shared" si="36"/>
        <v>0</v>
      </c>
      <c r="X98" s="54">
        <f t="shared" si="37"/>
        <v>0</v>
      </c>
    </row>
    <row r="99" spans="2:24">
      <c r="B99" s="120" t="str">
        <f>B64</f>
        <v>Other Organics</v>
      </c>
      <c r="C99" s="164">
        <f>C64</f>
        <v>0</v>
      </c>
      <c r="D99" s="164">
        <f>D64</f>
        <v>0.15807392806431295</v>
      </c>
      <c r="E99" s="164">
        <f t="shared" si="109"/>
        <v>0</v>
      </c>
      <c r="F99" s="164">
        <f t="shared" si="109"/>
        <v>-0.13040739388077993</v>
      </c>
      <c r="G99" s="164">
        <v>0</v>
      </c>
      <c r="H99" s="166">
        <f t="shared" si="31"/>
        <v>0</v>
      </c>
      <c r="J99" s="164" t="str">
        <f t="shared" si="110"/>
        <v>Other Organics</v>
      </c>
      <c r="K99" s="152">
        <f t="shared" si="110"/>
        <v>0</v>
      </c>
      <c r="L99" s="152">
        <f t="shared" si="110"/>
        <v>0.15807392806431295</v>
      </c>
      <c r="M99" s="13">
        <f t="shared" si="40"/>
        <v>0</v>
      </c>
      <c r="N99" s="13">
        <f t="shared" si="111"/>
        <v>-0.13040739388077993</v>
      </c>
      <c r="O99" s="31">
        <v>0</v>
      </c>
      <c r="P99" s="54">
        <f t="shared" si="33"/>
        <v>0</v>
      </c>
      <c r="R99" s="164" t="str">
        <f t="shared" si="112"/>
        <v>Other Organics</v>
      </c>
      <c r="S99" s="152">
        <f t="shared" si="112"/>
        <v>0</v>
      </c>
      <c r="T99" s="152">
        <f t="shared" si="112"/>
        <v>0.15807392806431295</v>
      </c>
      <c r="U99" s="13">
        <f t="shared" si="108"/>
        <v>0</v>
      </c>
      <c r="V99" s="63">
        <f t="shared" si="113"/>
        <v>-0.13040739388077993</v>
      </c>
      <c r="W99" s="31">
        <f t="shared" si="36"/>
        <v>0</v>
      </c>
      <c r="X99" s="54">
        <f t="shared" si="37"/>
        <v>0</v>
      </c>
    </row>
    <row r="100" spans="2:24" ht="14.45" customHeight="1">
      <c r="B100" s="764" t="s">
        <v>318</v>
      </c>
      <c r="C100" s="765"/>
      <c r="D100" s="765"/>
      <c r="E100" s="765"/>
      <c r="F100" s="765"/>
      <c r="G100" s="765"/>
      <c r="H100" s="766"/>
      <c r="J100" s="764" t="s">
        <v>318</v>
      </c>
      <c r="K100" s="765"/>
      <c r="L100" s="765"/>
      <c r="M100" s="765"/>
      <c r="N100" s="765"/>
      <c r="O100" s="765"/>
      <c r="P100" s="766"/>
      <c r="R100" s="764" t="s">
        <v>318</v>
      </c>
      <c r="S100" s="765"/>
      <c r="T100" s="765"/>
      <c r="U100" s="765"/>
      <c r="V100" s="765"/>
      <c r="W100" s="765"/>
      <c r="X100" s="766"/>
    </row>
    <row r="101" spans="2:24">
      <c r="B101" s="120" t="str">
        <f>B66</f>
        <v>Landfill Waste</v>
      </c>
      <c r="C101" s="164">
        <f t="shared" ref="C101:E101" si="114">C66</f>
        <v>0</v>
      </c>
      <c r="D101" s="164">
        <f t="shared" si="114"/>
        <v>0.30922398376646776</v>
      </c>
      <c r="E101" s="164">
        <f t="shared" si="114"/>
        <v>0</v>
      </c>
      <c r="F101" s="758"/>
      <c r="G101" s="31">
        <v>0</v>
      </c>
      <c r="H101" s="166">
        <f t="shared" ref="H101" si="115">E101-G101</f>
        <v>0</v>
      </c>
      <c r="J101" s="164" t="str">
        <f>J66</f>
        <v>Landfill Waste</v>
      </c>
      <c r="K101" s="152">
        <f t="shared" ref="K101:L101" si="116">K66</f>
        <v>0</v>
      </c>
      <c r="L101" s="152">
        <f t="shared" si="116"/>
        <v>0.30922398376646776</v>
      </c>
      <c r="M101" s="31">
        <f>K101*L101</f>
        <v>0</v>
      </c>
      <c r="N101" s="758"/>
      <c r="O101" s="31">
        <v>0</v>
      </c>
      <c r="P101" s="54">
        <f>M101-O101</f>
        <v>0</v>
      </c>
      <c r="R101" s="164" t="str">
        <f>R66</f>
        <v>Landfill Waste</v>
      </c>
      <c r="S101" s="152">
        <f t="shared" ref="S101:T101" si="117">S66</f>
        <v>0</v>
      </c>
      <c r="T101" s="152">
        <f t="shared" si="117"/>
        <v>0.30922398376646776</v>
      </c>
      <c r="U101" s="31">
        <f>S101*T101</f>
        <v>0</v>
      </c>
      <c r="V101" s="758"/>
      <c r="W101" s="31">
        <v>0</v>
      </c>
      <c r="X101" s="54">
        <f t="shared" si="37"/>
        <v>0</v>
      </c>
    </row>
    <row r="102" spans="2:24">
      <c r="B102" s="120" t="str">
        <f>B67</f>
        <v>Other Waste</v>
      </c>
      <c r="C102" s="164">
        <f t="shared" ref="C102:E102" si="118">C67</f>
        <v>0</v>
      </c>
      <c r="D102" s="164">
        <f t="shared" si="118"/>
        <v>0.30922398376646776</v>
      </c>
      <c r="E102" s="164">
        <f t="shared" si="118"/>
        <v>0</v>
      </c>
      <c r="F102" s="759"/>
      <c r="G102" s="31">
        <v>0</v>
      </c>
      <c r="H102" s="358">
        <f>E102-G102</f>
        <v>0</v>
      </c>
      <c r="J102" s="164" t="str">
        <f>J67</f>
        <v>Other Waste</v>
      </c>
      <c r="K102" s="152">
        <f t="shared" ref="K102:L102" si="119">K67</f>
        <v>0</v>
      </c>
      <c r="L102" s="152">
        <f t="shared" si="119"/>
        <v>0.30922398376646776</v>
      </c>
      <c r="M102" s="31">
        <f>K102*L102</f>
        <v>0</v>
      </c>
      <c r="N102" s="759"/>
      <c r="O102" s="31">
        <v>0</v>
      </c>
      <c r="P102" s="54">
        <f>M102-O102</f>
        <v>0</v>
      </c>
      <c r="R102" s="164" t="str">
        <f>R67</f>
        <v>Other Waste</v>
      </c>
      <c r="S102" s="152">
        <f t="shared" ref="S102:T102" si="120">S67</f>
        <v>0</v>
      </c>
      <c r="T102" s="152">
        <f t="shared" si="120"/>
        <v>0.30922398376646776</v>
      </c>
      <c r="U102" s="31">
        <f>S102*T102</f>
        <v>0</v>
      </c>
      <c r="V102" s="759"/>
      <c r="W102" s="31">
        <v>0</v>
      </c>
      <c r="X102" s="54">
        <f t="shared" si="37"/>
        <v>0</v>
      </c>
    </row>
    <row r="103" spans="2:24" ht="15.75" thickBot="1">
      <c r="B103" s="134" t="s">
        <v>525</v>
      </c>
      <c r="C103" s="155">
        <f>SUM(C73:C99)+SUM(C101:C102)</f>
        <v>0</v>
      </c>
      <c r="D103" s="155">
        <f>SUM(D73:D99)+SUM(D101:D102)</f>
        <v>2.9355756378738933</v>
      </c>
      <c r="E103" s="155">
        <f>SUM(E73:E99)+SUM(E101:E102)</f>
        <v>0</v>
      </c>
      <c r="F103" s="760"/>
      <c r="G103" s="155">
        <f>SUM(G73:G99)+SUM(G101:G102)</f>
        <v>0</v>
      </c>
      <c r="H103" s="167">
        <f>SUM(H73:H99)+SUM(H101:H102)</f>
        <v>0</v>
      </c>
      <c r="J103" s="134" t="s">
        <v>525</v>
      </c>
      <c r="K103" s="168">
        <f>SUM(K73:K99)+SUM(K101:K102)</f>
        <v>0</v>
      </c>
      <c r="L103" s="155">
        <f t="shared" ref="L103" si="121">SUM(L73:L99)+SUM(L101:L102)</f>
        <v>2.9355756378738933</v>
      </c>
      <c r="M103" s="155">
        <f t="shared" ref="M103" si="122">SUM(M73:M99)+SUM(M101:M102)</f>
        <v>0</v>
      </c>
      <c r="N103" s="760"/>
      <c r="O103" s="155">
        <f t="shared" ref="O103" si="123">SUM(O73:O99)+SUM(O101:O102)</f>
        <v>0</v>
      </c>
      <c r="P103" s="167">
        <f>SUM(P73:P99)+SUM(P101:P102)</f>
        <v>0</v>
      </c>
      <c r="R103" s="134" t="s">
        <v>525</v>
      </c>
      <c r="S103" s="168">
        <f>SUM(S73:S99)+SUM(S101:S102)</f>
        <v>0</v>
      </c>
      <c r="T103" s="155">
        <f t="shared" ref="T103" si="124">SUM(T73:T99)+SUM(T101:T102)</f>
        <v>2.9355756378738933</v>
      </c>
      <c r="U103" s="155">
        <f t="shared" ref="U103" si="125">SUM(U73:U99)+SUM(U101:U102)</f>
        <v>0</v>
      </c>
      <c r="V103" s="760"/>
      <c r="W103" s="155">
        <f t="shared" ref="W103" si="126">SUM(W73:W99)+SUM(W101:W102)</f>
        <v>0</v>
      </c>
      <c r="X103" s="167">
        <f>SUM(X73:X99)+SUM(X101:X102)</f>
        <v>0</v>
      </c>
    </row>
    <row r="104" spans="2:24">
      <c r="B104" s="107"/>
      <c r="G104" s="138"/>
      <c r="X104" s="131"/>
    </row>
    <row r="105" spans="2:24" ht="15.75" thickBot="1">
      <c r="B105" s="107"/>
      <c r="G105" s="138"/>
      <c r="X105" s="131"/>
    </row>
    <row r="106" spans="2:24">
      <c r="B106" s="712" t="s">
        <v>530</v>
      </c>
      <c r="C106" s="713"/>
      <c r="D106" s="713"/>
      <c r="E106" s="713"/>
      <c r="F106" s="713"/>
      <c r="G106" s="713"/>
      <c r="H106" s="713"/>
      <c r="I106" s="714"/>
      <c r="X106" s="131"/>
    </row>
    <row r="107" spans="2:24" ht="108">
      <c r="B107" s="83" t="s">
        <v>283</v>
      </c>
      <c r="C107" s="16" t="s">
        <v>514</v>
      </c>
      <c r="D107" s="16" t="s">
        <v>515</v>
      </c>
      <c r="E107" s="16" t="s">
        <v>516</v>
      </c>
      <c r="F107" s="16" t="s">
        <v>531</v>
      </c>
      <c r="G107" s="190" t="s">
        <v>532</v>
      </c>
      <c r="H107" s="34" t="s">
        <v>533</v>
      </c>
      <c r="I107" s="34" t="s">
        <v>534</v>
      </c>
      <c r="X107" s="131"/>
    </row>
    <row r="108" spans="2:24">
      <c r="B108" s="755" t="s">
        <v>290</v>
      </c>
      <c r="C108" s="756"/>
      <c r="D108" s="756"/>
      <c r="E108" s="756"/>
      <c r="F108" s="756"/>
      <c r="G108" s="756"/>
      <c r="H108" s="756"/>
      <c r="I108" s="757"/>
      <c r="X108" s="131"/>
    </row>
    <row r="109" spans="2:24">
      <c r="B109" s="120" t="str">
        <f t="shared" ref="B109:D133" si="127">B38</f>
        <v>Cardboard</v>
      </c>
      <c r="C109" s="152">
        <f t="shared" si="127"/>
        <v>0</v>
      </c>
      <c r="D109" s="152">
        <f t="shared" si="127"/>
        <v>0.18162984857485934</v>
      </c>
      <c r="E109" s="13">
        <f>C109*D109</f>
        <v>0</v>
      </c>
      <c r="F109" s="62">
        <f>(('Waste Composition'!H48+'Waste Composition'!P48+'Waste Composition'!X48)*'Waste Composition'!D89)/2000</f>
        <v>0</v>
      </c>
      <c r="G109" s="31">
        <f>'WARM Results'!S39</f>
        <v>-5.5752083160829438</v>
      </c>
      <c r="H109" s="13">
        <f>F109*G109</f>
        <v>0</v>
      </c>
      <c r="I109" s="154">
        <f>E109-H109</f>
        <v>0</v>
      </c>
      <c r="X109" s="131"/>
    </row>
    <row r="110" spans="2:24">
      <c r="B110" s="120" t="str">
        <f t="shared" si="127"/>
        <v>Mixed Paper</v>
      </c>
      <c r="C110" s="152">
        <f t="shared" si="127"/>
        <v>0</v>
      </c>
      <c r="D110" s="152">
        <f t="shared" si="127"/>
        <v>7.470296200674445E-2</v>
      </c>
      <c r="E110" s="13">
        <f t="shared" ref="E110:E135" si="128">C110*D110</f>
        <v>0</v>
      </c>
      <c r="F110" s="62">
        <f>(('Waste Composition'!H49+'Waste Composition'!P49+'Waste Composition'!X49)*'Waste Composition'!D90)/2000</f>
        <v>0</v>
      </c>
      <c r="G110" s="31">
        <f>'WARM Results'!S41</f>
        <v>-6.0737268680644059</v>
      </c>
      <c r="H110" s="13">
        <f t="shared" ref="H110:H135" si="129">F110*G110</f>
        <v>0</v>
      </c>
      <c r="I110" s="154">
        <f t="shared" ref="I110:I138" si="130">E110-H110</f>
        <v>0</v>
      </c>
      <c r="X110" s="131"/>
    </row>
    <row r="111" spans="2:24">
      <c r="B111" s="120" t="str">
        <f t="shared" si="127"/>
        <v>Office Paper</v>
      </c>
      <c r="C111" s="152">
        <f t="shared" si="127"/>
        <v>0</v>
      </c>
      <c r="D111" s="152">
        <f t="shared" si="127"/>
        <v>1.1338746968208027</v>
      </c>
      <c r="E111" s="13">
        <f t="shared" si="128"/>
        <v>0</v>
      </c>
      <c r="F111" s="62">
        <f>(('Waste Composition'!H50+'Waste Composition'!P50+'Waste Composition'!X50)*'Waste Composition'!D91)/2000</f>
        <v>0</v>
      </c>
      <c r="G111" s="31">
        <f>'WARM Results'!S40</f>
        <v>-7.9489589921669603</v>
      </c>
      <c r="H111" s="13">
        <f t="shared" si="129"/>
        <v>0</v>
      </c>
      <c r="I111" s="154">
        <f t="shared" si="130"/>
        <v>0</v>
      </c>
      <c r="X111" s="131"/>
    </row>
    <row r="112" spans="2:24">
      <c r="B112" s="120" t="str">
        <f t="shared" si="127"/>
        <v>Plastic #1 PET</v>
      </c>
      <c r="C112" s="152">
        <f t="shared" si="127"/>
        <v>0</v>
      </c>
      <c r="D112" s="152">
        <f t="shared" si="127"/>
        <v>2.0254519141196047E-2</v>
      </c>
      <c r="E112" s="13">
        <f t="shared" si="128"/>
        <v>0</v>
      </c>
      <c r="F112" s="62">
        <f>(('Waste Composition'!H51+'Waste Composition'!P51+'Waste Composition'!X51)*'Waste Composition'!D92)/2000</f>
        <v>0</v>
      </c>
      <c r="G112" s="31">
        <f>'WARM Results'!S48</f>
        <v>-2.1729152901086737</v>
      </c>
      <c r="H112" s="13">
        <f t="shared" si="129"/>
        <v>0</v>
      </c>
      <c r="I112" s="154">
        <f t="shared" si="130"/>
        <v>0</v>
      </c>
      <c r="X112" s="131"/>
    </row>
    <row r="113" spans="2:24">
      <c r="B113" s="120" t="str">
        <f t="shared" si="127"/>
        <v>Plastic #2 HDPE</v>
      </c>
      <c r="C113" s="152">
        <f t="shared" si="127"/>
        <v>0</v>
      </c>
      <c r="D113" s="152">
        <f t="shared" si="127"/>
        <v>2.0254519141196047E-2</v>
      </c>
      <c r="E113" s="13">
        <f t="shared" si="128"/>
        <v>0</v>
      </c>
      <c r="F113" s="62">
        <f>(('Waste Composition'!H52+'Waste Composition'!P52+'Waste Composition'!X52)*'Waste Composition'!D93)/2000</f>
        <v>0</v>
      </c>
      <c r="G113" s="31">
        <f>'WARM Results'!S46</f>
        <v>-1.4192980914359248</v>
      </c>
      <c r="H113" s="13">
        <f t="shared" si="129"/>
        <v>0</v>
      </c>
      <c r="I113" s="154">
        <f t="shared" si="130"/>
        <v>0</v>
      </c>
      <c r="X113" s="131"/>
    </row>
    <row r="114" spans="2:24">
      <c r="B114" s="120" t="str">
        <f t="shared" si="127"/>
        <v>Plastic #5 PP</v>
      </c>
      <c r="C114" s="152">
        <f t="shared" si="127"/>
        <v>0</v>
      </c>
      <c r="D114" s="152">
        <f t="shared" si="127"/>
        <v>2.0254519141196047E-2</v>
      </c>
      <c r="E114" s="13">
        <f t="shared" si="128"/>
        <v>0</v>
      </c>
      <c r="F114" s="62">
        <f>(('Waste Composition'!H53+'Waste Composition'!P53+'Waste Composition'!X53)*'Waste Composition'!D94)/2000</f>
        <v>0</v>
      </c>
      <c r="G114" s="31">
        <f>'WARM Results'!S49</f>
        <v>-1.5248004300239186</v>
      </c>
      <c r="H114" s="13">
        <f t="shared" si="129"/>
        <v>0</v>
      </c>
      <c r="I114" s="154">
        <f t="shared" si="130"/>
        <v>0</v>
      </c>
      <c r="X114" s="131"/>
    </row>
    <row r="115" spans="2:24">
      <c r="B115" s="120" t="str">
        <f t="shared" si="127"/>
        <v>Plastic #3-7 Mixed</v>
      </c>
      <c r="C115" s="152">
        <f t="shared" si="127"/>
        <v>0</v>
      </c>
      <c r="D115" s="152">
        <f t="shared" si="127"/>
        <v>2.0254519141196047E-2</v>
      </c>
      <c r="E115" s="13">
        <f t="shared" si="128"/>
        <v>0</v>
      </c>
      <c r="F115" s="62">
        <f>(('Waste Composition'!H54+'Waste Composition'!P54+'Waste Composition'!X54)*'Waste Composition'!D95)/2000</f>
        <v>0</v>
      </c>
      <c r="G115" s="31">
        <f>'WARM Results'!S51</f>
        <v>-1.8734007624310425</v>
      </c>
      <c r="H115" s="13">
        <f t="shared" si="129"/>
        <v>0</v>
      </c>
      <c r="I115" s="154">
        <f t="shared" si="130"/>
        <v>0</v>
      </c>
      <c r="X115" s="131"/>
    </row>
    <row r="116" spans="2:24">
      <c r="B116" s="120" t="str">
        <f t="shared" si="127"/>
        <v>Plastic Film/Bags</v>
      </c>
      <c r="C116" s="152">
        <f t="shared" si="127"/>
        <v>0</v>
      </c>
      <c r="D116" s="152">
        <f t="shared" si="127"/>
        <v>2.0254519141196047E-2</v>
      </c>
      <c r="E116" s="13">
        <f t="shared" si="128"/>
        <v>0</v>
      </c>
      <c r="F116" s="62">
        <f>(('Waste Composition'!H55+'Waste Composition'!P55+'Waste Composition'!X55)*'Waste Composition'!D96)/2000</f>
        <v>0</v>
      </c>
      <c r="G116" s="31">
        <f>'WARM Results'!S47</f>
        <v>-1.7955085787455409</v>
      </c>
      <c r="H116" s="13">
        <f t="shared" si="129"/>
        <v>0</v>
      </c>
      <c r="I116" s="154">
        <f t="shared" si="130"/>
        <v>0</v>
      </c>
      <c r="X116" s="131"/>
    </row>
    <row r="117" spans="2:24">
      <c r="B117" s="120" t="str">
        <f t="shared" si="127"/>
        <v>Plastic Foam</v>
      </c>
      <c r="C117" s="152">
        <f t="shared" si="127"/>
        <v>0</v>
      </c>
      <c r="D117" s="152">
        <f t="shared" si="127"/>
        <v>2.0254519141196047E-2</v>
      </c>
      <c r="E117" s="13">
        <f t="shared" si="128"/>
        <v>0</v>
      </c>
      <c r="F117" s="62">
        <f>(('Waste Composition'!H56+'Waste Composition'!P56+'Waste Composition'!X56)*'Waste Composition'!D97)/2000</f>
        <v>0</v>
      </c>
      <c r="G117" s="31">
        <f>'WARM Results'!S50</f>
        <v>-2.4996318935816175</v>
      </c>
      <c r="H117" s="13">
        <f t="shared" si="129"/>
        <v>0</v>
      </c>
      <c r="I117" s="154">
        <f t="shared" si="130"/>
        <v>0</v>
      </c>
      <c r="X117" s="131"/>
    </row>
    <row r="118" spans="2:24">
      <c r="B118" s="120" t="str">
        <f t="shared" si="127"/>
        <v>Other Plastics</v>
      </c>
      <c r="C118" s="152">
        <f t="shared" si="127"/>
        <v>0</v>
      </c>
      <c r="D118" s="152">
        <f t="shared" si="127"/>
        <v>2.0254519141196047E-2</v>
      </c>
      <c r="E118" s="13">
        <f t="shared" si="128"/>
        <v>0</v>
      </c>
      <c r="F118" s="62">
        <f>(('Waste Composition'!H57+'Waste Composition'!P57+'Waste Composition'!X57)*'Waste Composition'!D98)/2000</f>
        <v>0</v>
      </c>
      <c r="G118" s="31">
        <f>'WARM Results'!S51</f>
        <v>-1.8734007624310425</v>
      </c>
      <c r="H118" s="13">
        <f t="shared" si="129"/>
        <v>0</v>
      </c>
      <c r="I118" s="154">
        <f t="shared" si="130"/>
        <v>0</v>
      </c>
      <c r="X118" s="131"/>
    </row>
    <row r="119" spans="2:24">
      <c r="B119" s="120" t="str">
        <f t="shared" si="127"/>
        <v>Glass Containers</v>
      </c>
      <c r="C119" s="152">
        <f t="shared" si="127"/>
        <v>0</v>
      </c>
      <c r="D119" s="152">
        <f t="shared" si="127"/>
        <v>2.0254519141196047E-2</v>
      </c>
      <c r="E119" s="13">
        <f t="shared" si="128"/>
        <v>0</v>
      </c>
      <c r="F119" s="62">
        <f>(('Waste Composition'!H58+'Waste Composition'!P58+'Waste Composition'!X58)*'Waste Composition'!D99)/2000</f>
        <v>0</v>
      </c>
      <c r="G119" s="31">
        <f>'WARM Results'!S58</f>
        <v>-0.53082087431688396</v>
      </c>
      <c r="H119" s="13">
        <f t="shared" si="129"/>
        <v>0</v>
      </c>
      <c r="I119" s="154">
        <f t="shared" si="130"/>
        <v>0</v>
      </c>
      <c r="X119" s="131"/>
    </row>
    <row r="120" spans="2:24">
      <c r="B120" s="120" t="str">
        <f t="shared" si="127"/>
        <v>Other Glass</v>
      </c>
      <c r="C120" s="152">
        <f t="shared" si="127"/>
        <v>0</v>
      </c>
      <c r="D120" s="152">
        <f t="shared" si="127"/>
        <v>2.0254519141196047E-2</v>
      </c>
      <c r="E120" s="13">
        <f t="shared" si="128"/>
        <v>0</v>
      </c>
      <c r="F120" s="62">
        <f>(('Waste Composition'!H59+'Waste Composition'!P59+'Waste Composition'!X59)*'Waste Composition'!D100)/2000</f>
        <v>0</v>
      </c>
      <c r="G120" s="31">
        <f>'WARM Results'!S58</f>
        <v>-0.53082087431688396</v>
      </c>
      <c r="H120" s="13">
        <f t="shared" si="129"/>
        <v>0</v>
      </c>
      <c r="I120" s="154">
        <f t="shared" si="130"/>
        <v>0</v>
      </c>
      <c r="X120" s="131"/>
    </row>
    <row r="121" spans="2:24">
      <c r="B121" s="120" t="str">
        <f t="shared" si="127"/>
        <v>Aluminum Cans</v>
      </c>
      <c r="C121" s="152">
        <f t="shared" si="127"/>
        <v>0</v>
      </c>
      <c r="D121" s="152">
        <f t="shared" si="127"/>
        <v>2.0254519141196047E-2</v>
      </c>
      <c r="E121" s="13">
        <f t="shared" si="128"/>
        <v>0</v>
      </c>
      <c r="F121" s="62">
        <f>(('Waste Composition'!H60+'Waste Composition'!P60+'Waste Composition'!X60)*'Waste Composition'!D101)/2000</f>
        <v>0</v>
      </c>
      <c r="G121" s="31">
        <f>'WARM Results'!S54</f>
        <v>-4.799452726904927</v>
      </c>
      <c r="H121" s="13">
        <f t="shared" si="129"/>
        <v>0</v>
      </c>
      <c r="I121" s="154">
        <f t="shared" si="130"/>
        <v>0</v>
      </c>
      <c r="X121" s="131"/>
    </row>
    <row r="122" spans="2:24">
      <c r="B122" s="120" t="str">
        <f t="shared" si="127"/>
        <v>Steel/Tin Cans</v>
      </c>
      <c r="C122" s="152">
        <f t="shared" si="127"/>
        <v>0</v>
      </c>
      <c r="D122" s="152">
        <f t="shared" si="127"/>
        <v>2.0254519141196047E-2</v>
      </c>
      <c r="E122" s="13">
        <f t="shared" si="128"/>
        <v>0</v>
      </c>
      <c r="F122" s="62">
        <f>(('Waste Composition'!H61+'Waste Composition'!P61+'Waste Composition'!X61)*'Waste Composition'!D102)/2000</f>
        <v>0</v>
      </c>
      <c r="G122" s="31">
        <f>'WARM Results'!S55</f>
        <v>-3.0274716623608411</v>
      </c>
      <c r="H122" s="13">
        <f t="shared" si="129"/>
        <v>0</v>
      </c>
      <c r="I122" s="154">
        <f t="shared" si="130"/>
        <v>0</v>
      </c>
      <c r="X122" s="131"/>
    </row>
    <row r="123" spans="2:24">
      <c r="B123" s="120" t="str">
        <f t="shared" si="127"/>
        <v>Ferrous Metal</v>
      </c>
      <c r="C123" s="152">
        <f t="shared" si="127"/>
        <v>0</v>
      </c>
      <c r="D123" s="152">
        <f t="shared" si="127"/>
        <v>2.0254519141196047E-2</v>
      </c>
      <c r="E123" s="13">
        <f t="shared" si="128"/>
        <v>0</v>
      </c>
      <c r="F123" s="62">
        <f>(('Waste Composition'!H62+'Waste Composition'!P62+'Waste Composition'!X62)*'Waste Composition'!D103)/2000</f>
        <v>0</v>
      </c>
      <c r="G123" s="31">
        <f>'WARM Results'!S57</f>
        <v>-3.6490566431171434</v>
      </c>
      <c r="H123" s="13">
        <f t="shared" si="129"/>
        <v>0</v>
      </c>
      <c r="I123" s="154">
        <f t="shared" si="130"/>
        <v>0</v>
      </c>
      <c r="X123" s="131"/>
    </row>
    <row r="124" spans="2:24">
      <c r="B124" s="120" t="str">
        <f t="shared" si="127"/>
        <v>Non-Ferrous Metal</v>
      </c>
      <c r="C124" s="152">
        <f t="shared" si="127"/>
        <v>0</v>
      </c>
      <c r="D124" s="152">
        <f t="shared" si="127"/>
        <v>2.0254519141196047E-2</v>
      </c>
      <c r="E124" s="13">
        <f t="shared" si="128"/>
        <v>0</v>
      </c>
      <c r="F124" s="62">
        <f>(('Waste Composition'!H63+'Waste Composition'!P63+'Waste Composition'!X63)*'Waste Composition'!D104)/2000</f>
        <v>0</v>
      </c>
      <c r="G124" s="31">
        <f>'WARM Results'!S57</f>
        <v>-3.6490566431171434</v>
      </c>
      <c r="H124" s="13">
        <f t="shared" si="129"/>
        <v>0</v>
      </c>
      <c r="I124" s="154">
        <f t="shared" si="130"/>
        <v>0</v>
      </c>
      <c r="X124" s="131"/>
    </row>
    <row r="125" spans="2:24">
      <c r="B125" s="120" t="str">
        <f t="shared" si="127"/>
        <v>Batteries</v>
      </c>
      <c r="C125" s="152">
        <f t="shared" si="127"/>
        <v>0</v>
      </c>
      <c r="D125" s="152">
        <f t="shared" si="127"/>
        <v>2.0254519141196047E-2</v>
      </c>
      <c r="E125" s="13">
        <f t="shared" si="128"/>
        <v>0</v>
      </c>
      <c r="F125" s="62">
        <f>(('Waste Composition'!H64+'Waste Composition'!P64+'Waste Composition'!X64)*'Waste Composition'!D105)/2000</f>
        <v>0</v>
      </c>
      <c r="G125" s="31">
        <f>'WARM Results'!S57</f>
        <v>-3.6490566431171434</v>
      </c>
      <c r="H125" s="13">
        <f t="shared" si="129"/>
        <v>0</v>
      </c>
      <c r="I125" s="154">
        <f t="shared" si="130"/>
        <v>0</v>
      </c>
      <c r="X125" s="131"/>
    </row>
    <row r="126" spans="2:24">
      <c r="B126" s="120" t="str">
        <f t="shared" si="127"/>
        <v>Appliances</v>
      </c>
      <c r="C126" s="152">
        <f t="shared" si="127"/>
        <v>0</v>
      </c>
      <c r="D126" s="152">
        <f t="shared" si="127"/>
        <v>2.0254519141196047E-2</v>
      </c>
      <c r="E126" s="13">
        <f t="shared" si="128"/>
        <v>0</v>
      </c>
      <c r="F126" s="62">
        <f>(('Waste Composition'!H65+'Waste Composition'!P65+'Waste Composition'!X65)*'Waste Composition'!D106)/2000</f>
        <v>0</v>
      </c>
      <c r="G126" s="31">
        <f>'WARM Results'!S57</f>
        <v>-3.6490566431171434</v>
      </c>
      <c r="H126" s="13">
        <f t="shared" si="129"/>
        <v>0</v>
      </c>
      <c r="I126" s="154">
        <f t="shared" si="130"/>
        <v>0</v>
      </c>
      <c r="X126" s="131"/>
    </row>
    <row r="127" spans="2:24">
      <c r="B127" s="120" t="str">
        <f t="shared" si="127"/>
        <v>Electronics</v>
      </c>
      <c r="C127" s="152">
        <f t="shared" si="127"/>
        <v>0</v>
      </c>
      <c r="D127" s="152">
        <f t="shared" si="127"/>
        <v>2.0254519141196047E-2</v>
      </c>
      <c r="E127" s="13">
        <f t="shared" si="128"/>
        <v>0</v>
      </c>
      <c r="F127" s="62">
        <f>(('Waste Composition'!H66+'Waste Composition'!P66+'Waste Composition'!X66)*'Waste Composition'!D107)/2000</f>
        <v>0</v>
      </c>
      <c r="G127" s="31">
        <f>'WARM Results'!S53</f>
        <v>-20.791713261664754</v>
      </c>
      <c r="H127" s="13">
        <f t="shared" si="129"/>
        <v>0</v>
      </c>
      <c r="I127" s="154">
        <f t="shared" si="130"/>
        <v>0</v>
      </c>
      <c r="X127" s="131"/>
    </row>
    <row r="128" spans="2:24">
      <c r="B128" s="120" t="str">
        <f t="shared" si="127"/>
        <v>Tires</v>
      </c>
      <c r="C128" s="152">
        <f t="shared" si="127"/>
        <v>0</v>
      </c>
      <c r="D128" s="152">
        <f t="shared" si="127"/>
        <v>2.0254519141196047E-2</v>
      </c>
      <c r="E128" s="13">
        <f t="shared" si="128"/>
        <v>0</v>
      </c>
      <c r="F128" s="62">
        <f>(('Waste Composition'!H67+'Waste Composition'!P67+'Waste Composition'!X67)*'Waste Composition'!D108)/2000</f>
        <v>0</v>
      </c>
      <c r="G128" s="31">
        <f>'WARM Results'!S59</f>
        <v>-4.2988112330745327</v>
      </c>
      <c r="H128" s="13">
        <f t="shared" si="129"/>
        <v>0</v>
      </c>
      <c r="I128" s="154">
        <f t="shared" si="130"/>
        <v>0</v>
      </c>
      <c r="X128" s="131"/>
    </row>
    <row r="129" spans="2:24">
      <c r="B129" s="120" t="str">
        <f t="shared" si="127"/>
        <v>Textiles</v>
      </c>
      <c r="C129" s="152">
        <f t="shared" si="127"/>
        <v>0</v>
      </c>
      <c r="D129" s="152">
        <f t="shared" si="127"/>
        <v>3.4185776672640021E-2</v>
      </c>
      <c r="E129" s="13">
        <f t="shared" si="128"/>
        <v>0</v>
      </c>
      <c r="F129" s="62">
        <f>(('Waste Composition'!H68+'Waste Composition'!P68+'Waste Composition'!X68)*'Waste Composition'!D109)/2000</f>
        <v>0</v>
      </c>
      <c r="G129" s="31">
        <f>'WARM Results'!S51</f>
        <v>-1.8734007624310425</v>
      </c>
      <c r="H129" s="13">
        <f t="shared" si="129"/>
        <v>0</v>
      </c>
      <c r="I129" s="154">
        <f t="shared" si="130"/>
        <v>0</v>
      </c>
      <c r="X129" s="131"/>
    </row>
    <row r="130" spans="2:24">
      <c r="B130" s="120" t="str">
        <f t="shared" si="127"/>
        <v>Other Recyclable Materials</v>
      </c>
      <c r="C130" s="152">
        <f t="shared" si="127"/>
        <v>0</v>
      </c>
      <c r="D130" s="152">
        <f t="shared" si="127"/>
        <v>3.4185776672640021E-2</v>
      </c>
      <c r="E130" s="13">
        <f t="shared" si="128"/>
        <v>0</v>
      </c>
      <c r="F130" s="62">
        <f>(('Waste Composition'!H69+'Waste Composition'!P69+'Waste Composition'!X69)*'Waste Composition'!D110)/2000</f>
        <v>0</v>
      </c>
      <c r="G130" s="31">
        <f>'WARM Results'!S51</f>
        <v>-1.8734007624310425</v>
      </c>
      <c r="H130" s="13">
        <f>F130*G130</f>
        <v>0</v>
      </c>
      <c r="I130" s="154">
        <f t="shared" si="130"/>
        <v>0</v>
      </c>
      <c r="X130" s="131"/>
    </row>
    <row r="131" spans="2:24">
      <c r="B131" s="120" t="str">
        <f t="shared" si="127"/>
        <v>Wood Pallets</v>
      </c>
      <c r="C131" s="152">
        <f t="shared" si="127"/>
        <v>0</v>
      </c>
      <c r="D131" s="152">
        <f t="shared" si="127"/>
        <v>0.02</v>
      </c>
      <c r="E131" s="13">
        <f t="shared" si="128"/>
        <v>0</v>
      </c>
      <c r="F131" s="62">
        <f>(('Waste Composition'!H70+'Waste Composition'!P70+'Waste Composition'!X70)*'Waste Composition'!D111)/2000</f>
        <v>0</v>
      </c>
      <c r="G131" s="31">
        <f>'WARM Results'!S42</f>
        <v>-0.10590613724308875</v>
      </c>
      <c r="H131" s="13">
        <f t="shared" si="129"/>
        <v>0</v>
      </c>
      <c r="I131" s="154">
        <f t="shared" si="130"/>
        <v>0</v>
      </c>
      <c r="X131" s="131"/>
    </row>
    <row r="132" spans="2:24">
      <c r="B132" s="120" t="str">
        <f t="shared" si="127"/>
        <v>Food Waste</v>
      </c>
      <c r="C132" s="152">
        <f t="shared" si="127"/>
        <v>0</v>
      </c>
      <c r="D132" s="152">
        <f t="shared" si="127"/>
        <v>0.15807392806431295</v>
      </c>
      <c r="E132" s="13">
        <f t="shared" si="128"/>
        <v>0</v>
      </c>
      <c r="F132" s="62">
        <f>(('Waste Composition'!H71+'Waste Composition'!P71+'Waste Composition'!X71)*'Waste Composition'!D112)/2000</f>
        <v>0</v>
      </c>
      <c r="G132" s="31">
        <f>'WARM Results'!S44</f>
        <v>-0.10590613724308875</v>
      </c>
      <c r="H132" s="13">
        <f t="shared" si="129"/>
        <v>0</v>
      </c>
      <c r="I132" s="154">
        <f t="shared" si="130"/>
        <v>0</v>
      </c>
      <c r="X132" s="131"/>
    </row>
    <row r="133" spans="2:24">
      <c r="B133" s="120" t="str">
        <f t="shared" si="127"/>
        <v>Yard Waste</v>
      </c>
      <c r="C133" s="152">
        <f t="shared" si="127"/>
        <v>0</v>
      </c>
      <c r="D133" s="152">
        <f t="shared" si="127"/>
        <v>0.02</v>
      </c>
      <c r="E133" s="13">
        <f t="shared" si="128"/>
        <v>0</v>
      </c>
      <c r="F133" s="62">
        <f>(('Waste Composition'!H72+'Waste Composition'!P72+'Waste Composition'!X72)*'Waste Composition'!D113)/2000</f>
        <v>0</v>
      </c>
      <c r="G133" s="31">
        <f>'WARM Results'!S42</f>
        <v>-0.10590613724308875</v>
      </c>
      <c r="H133" s="13">
        <f t="shared" si="129"/>
        <v>0</v>
      </c>
      <c r="I133" s="154">
        <f t="shared" si="130"/>
        <v>0</v>
      </c>
      <c r="X133" s="131"/>
    </row>
    <row r="134" spans="2:24">
      <c r="B134" s="120" t="s">
        <v>316</v>
      </c>
      <c r="C134" s="152">
        <f>C63</f>
        <v>0</v>
      </c>
      <c r="D134" s="152">
        <f t="shared" ref="B134:D135" si="131">D63</f>
        <v>0.15807392806431295</v>
      </c>
      <c r="E134" s="13">
        <f t="shared" si="128"/>
        <v>0</v>
      </c>
      <c r="F134" s="62">
        <f>(('Waste Composition'!H73+'Waste Composition'!P73+'Waste Composition'!X73)*'Waste Composition'!D114)/2000</f>
        <v>0</v>
      </c>
      <c r="G134" s="31">
        <f>'WARM Results'!S42</f>
        <v>-0.10590613724308875</v>
      </c>
      <c r="H134" s="13">
        <f t="shared" si="129"/>
        <v>0</v>
      </c>
      <c r="I134" s="154">
        <f t="shared" si="130"/>
        <v>0</v>
      </c>
      <c r="X134" s="131"/>
    </row>
    <row r="135" spans="2:24">
      <c r="B135" s="120" t="str">
        <f t="shared" si="131"/>
        <v>Other Organics</v>
      </c>
      <c r="C135" s="152">
        <f t="shared" si="131"/>
        <v>0</v>
      </c>
      <c r="D135" s="152">
        <f t="shared" si="131"/>
        <v>0.15807392806431295</v>
      </c>
      <c r="E135" s="13">
        <f t="shared" si="128"/>
        <v>0</v>
      </c>
      <c r="F135" s="62">
        <f>(('Waste Composition'!H74+'Waste Composition'!P74+'Waste Composition'!X74)*'Waste Composition'!D115)/2000</f>
        <v>0</v>
      </c>
      <c r="G135" s="31">
        <f>'WARM Results'!S42</f>
        <v>-0.10590613724308875</v>
      </c>
      <c r="H135" s="13">
        <f t="shared" si="129"/>
        <v>0</v>
      </c>
      <c r="I135" s="154">
        <f t="shared" si="130"/>
        <v>0</v>
      </c>
      <c r="X135" s="131"/>
    </row>
    <row r="136" spans="2:24">
      <c r="B136" s="755" t="s">
        <v>318</v>
      </c>
      <c r="C136" s="756"/>
      <c r="D136" s="756"/>
      <c r="E136" s="756"/>
      <c r="F136" s="756"/>
      <c r="G136" s="756"/>
      <c r="H136" s="756"/>
      <c r="I136" s="757"/>
      <c r="X136" s="131"/>
    </row>
    <row r="137" spans="2:24">
      <c r="B137" s="120" t="str">
        <f t="shared" ref="B137:D138" si="132">B66</f>
        <v>Landfill Waste</v>
      </c>
      <c r="C137" s="31">
        <f t="shared" si="132"/>
        <v>0</v>
      </c>
      <c r="D137" s="31">
        <f t="shared" si="132"/>
        <v>0.30922398376646776</v>
      </c>
      <c r="E137" s="13">
        <f>C137*D137</f>
        <v>0</v>
      </c>
      <c r="F137" s="153">
        <f>(('Waste Composition'!H76+'Waste Composition'!P76+'Waste Composition'!X76)*'Waste Composition'!D116)/2000</f>
        <v>0</v>
      </c>
      <c r="G137" s="31">
        <f>'WARM Results'!S51</f>
        <v>-1.8734007624310425</v>
      </c>
      <c r="H137" s="55">
        <f>F137*G137</f>
        <v>0</v>
      </c>
      <c r="I137" s="154">
        <f t="shared" si="130"/>
        <v>0</v>
      </c>
      <c r="X137" s="131"/>
    </row>
    <row r="138" spans="2:24">
      <c r="B138" s="120" t="str">
        <f t="shared" si="132"/>
        <v>Other Waste</v>
      </c>
      <c r="C138" s="31">
        <f t="shared" si="132"/>
        <v>0</v>
      </c>
      <c r="D138" s="31">
        <f t="shared" si="132"/>
        <v>0.30922398376646776</v>
      </c>
      <c r="E138" s="13">
        <f>C138*D138</f>
        <v>0</v>
      </c>
      <c r="F138" s="153">
        <f>(('Waste Composition'!H77+'Waste Composition'!P77+'Waste Composition'!X77)*'Waste Composition'!D116)/2000</f>
        <v>0</v>
      </c>
      <c r="G138" s="31">
        <f>'WARM Results'!S51</f>
        <v>-1.8734007624310425</v>
      </c>
      <c r="H138" s="55">
        <f>F138*G138</f>
        <v>0</v>
      </c>
      <c r="I138" s="154">
        <f t="shared" si="130"/>
        <v>0</v>
      </c>
      <c r="X138" s="131"/>
    </row>
    <row r="139" spans="2:24">
      <c r="B139" s="133" t="str">
        <f>B68</f>
        <v>TOTAL</v>
      </c>
      <c r="C139" s="111">
        <f>SUM(C109:C135)+SUM(C137:C138)</f>
        <v>0</v>
      </c>
      <c r="D139" s="111">
        <f t="shared" ref="D139:F139" si="133">SUM(D109:D135)+SUM(D137:D138)</f>
        <v>2.9355756378738933</v>
      </c>
      <c r="E139" s="111">
        <f t="shared" si="133"/>
        <v>0</v>
      </c>
      <c r="F139" s="111">
        <f t="shared" si="133"/>
        <v>0</v>
      </c>
      <c r="G139" s="111">
        <f>SUM(G109:G135)+SUM(G137:G138)</f>
        <v>-89.355300926119014</v>
      </c>
      <c r="H139" s="111">
        <f>SUM(H109:H135)+SUM(H137:H138)</f>
        <v>0</v>
      </c>
      <c r="I139" s="157">
        <f>SUM(I109:I135)+SUM(I137:I138)</f>
        <v>0</v>
      </c>
      <c r="X139" s="131"/>
    </row>
    <row r="140" spans="2:24" ht="18.75" thickBot="1">
      <c r="B140" s="752" t="s">
        <v>535</v>
      </c>
      <c r="C140" s="753"/>
      <c r="D140" s="753"/>
      <c r="E140" s="753"/>
      <c r="F140" s="753"/>
      <c r="G140" s="753"/>
      <c r="H140" s="753"/>
      <c r="I140" s="754"/>
      <c r="J140" s="110"/>
      <c r="K140" s="110"/>
      <c r="L140" s="110"/>
      <c r="M140" s="110"/>
      <c r="N140" s="110"/>
      <c r="O140" s="110"/>
      <c r="P140" s="110"/>
      <c r="Q140" s="110"/>
      <c r="R140" s="110"/>
      <c r="S140" s="110"/>
      <c r="T140" s="110"/>
      <c r="U140" s="110"/>
      <c r="V140" s="110"/>
      <c r="W140" s="110"/>
      <c r="X140" s="156"/>
    </row>
  </sheetData>
  <sheetProtection sheet="1" objects="1" scenarios="1" formatColumns="0" formatRows="0"/>
  <mergeCells count="37">
    <mergeCell ref="B7:H7"/>
    <mergeCell ref="N66:N68"/>
    <mergeCell ref="V66:V68"/>
    <mergeCell ref="R35:X35"/>
    <mergeCell ref="R37:X37"/>
    <mergeCell ref="R65:X65"/>
    <mergeCell ref="J35:P35"/>
    <mergeCell ref="J37:P37"/>
    <mergeCell ref="J65:P65"/>
    <mergeCell ref="B13:H13"/>
    <mergeCell ref="J70:P70"/>
    <mergeCell ref="R70:X70"/>
    <mergeCell ref="B72:H72"/>
    <mergeCell ref="J72:P72"/>
    <mergeCell ref="R72:X72"/>
    <mergeCell ref="B70:H70"/>
    <mergeCell ref="R100:X100"/>
    <mergeCell ref="F101:F103"/>
    <mergeCell ref="N101:N103"/>
    <mergeCell ref="V101:V103"/>
    <mergeCell ref="B100:H100"/>
    <mergeCell ref="B140:I140"/>
    <mergeCell ref="B11:H11"/>
    <mergeCell ref="B4:H4"/>
    <mergeCell ref="B9:H9"/>
    <mergeCell ref="B106:I106"/>
    <mergeCell ref="B108:I108"/>
    <mergeCell ref="B136:I136"/>
    <mergeCell ref="F66:F68"/>
    <mergeCell ref="B35:H35"/>
    <mergeCell ref="B37:H37"/>
    <mergeCell ref="B65:H65"/>
    <mergeCell ref="B26:X26"/>
    <mergeCell ref="B15:H15"/>
    <mergeCell ref="B24:D24"/>
    <mergeCell ref="B27:E27"/>
    <mergeCell ref="J100:P100"/>
  </mergeCells>
  <hyperlinks>
    <hyperlink ref="B24" location="'Toolkit Instructions'!A1" display="Click here to return to the Toolkit Instructions" xr:uid="{0F4759D6-65D8-4987-9616-EF3B632DB377}"/>
    <hyperlink ref="B24:D24" location="'User Manual'!A1" display="Click here to return to the Toolkit Instructions" xr:uid="{755EBD24-6281-4756-AF21-79A3C1F791F0}"/>
  </hyperlink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EAF626-9108-43B6-BB81-15F830290FA3}">
  <sheetPr>
    <tabColor theme="0" tint="-0.499984740745262"/>
  </sheetPr>
  <dimension ref="C3:U70"/>
  <sheetViews>
    <sheetView topLeftCell="A43" workbookViewId="0">
      <selection activeCell="L66" sqref="L66"/>
    </sheetView>
  </sheetViews>
  <sheetFormatPr defaultRowHeight="15"/>
  <cols>
    <col min="1" max="1" width="3.140625" style="84" customWidth="1"/>
    <col min="2" max="2" width="3.42578125" style="84" customWidth="1"/>
    <col min="3" max="3" width="9.42578125" style="84" hidden="1" customWidth="1"/>
    <col min="4" max="4" width="23.5703125" style="84" customWidth="1"/>
    <col min="5" max="8" width="12" style="84" customWidth="1"/>
    <col min="9" max="10" width="14.42578125" style="84" customWidth="1"/>
    <col min="11" max="11" width="3.140625" style="84" customWidth="1"/>
    <col min="12" max="12" width="23.5703125" style="84" customWidth="1"/>
    <col min="13" max="13" width="15.5703125" style="84" customWidth="1"/>
    <col min="14" max="15" width="12" style="84" customWidth="1"/>
    <col min="16" max="16" width="17.42578125" style="84" customWidth="1"/>
    <col min="17" max="17" width="12" style="84" customWidth="1"/>
    <col min="18" max="19" width="14.42578125" style="84" customWidth="1"/>
    <col min="20" max="20" width="3.42578125" style="84" customWidth="1"/>
    <col min="21" max="21" width="12.5703125" style="84" customWidth="1"/>
    <col min="22" max="22" width="3.42578125" style="84" customWidth="1"/>
    <col min="23" max="256" width="9.140625" style="84"/>
    <col min="257" max="257" width="3.140625" style="84" customWidth="1"/>
    <col min="258" max="258" width="3.42578125" style="84" customWidth="1"/>
    <col min="259" max="259" width="0" style="84" hidden="1" customWidth="1"/>
    <col min="260" max="260" width="23.5703125" style="84" customWidth="1"/>
    <col min="261" max="264" width="12" style="84" customWidth="1"/>
    <col min="265" max="266" width="14.42578125" style="84" customWidth="1"/>
    <col min="267" max="267" width="3.140625" style="84" customWidth="1"/>
    <col min="268" max="268" width="23.5703125" style="84" customWidth="1"/>
    <col min="269" max="269" width="15.5703125" style="84" customWidth="1"/>
    <col min="270" max="271" width="12" style="84" customWidth="1"/>
    <col min="272" max="272" width="17.42578125" style="84" customWidth="1"/>
    <col min="273" max="273" width="12" style="84" customWidth="1"/>
    <col min="274" max="275" width="14.42578125" style="84" customWidth="1"/>
    <col min="276" max="276" width="3.42578125" style="84" customWidth="1"/>
    <col min="277" max="277" width="12.5703125" style="84" customWidth="1"/>
    <col min="278" max="278" width="3.42578125" style="84" customWidth="1"/>
    <col min="279" max="512" width="9.140625" style="84"/>
    <col min="513" max="513" width="3.140625" style="84" customWidth="1"/>
    <col min="514" max="514" width="3.42578125" style="84" customWidth="1"/>
    <col min="515" max="515" width="0" style="84" hidden="1" customWidth="1"/>
    <col min="516" max="516" width="23.5703125" style="84" customWidth="1"/>
    <col min="517" max="520" width="12" style="84" customWidth="1"/>
    <col min="521" max="522" width="14.42578125" style="84" customWidth="1"/>
    <col min="523" max="523" width="3.140625" style="84" customWidth="1"/>
    <col min="524" max="524" width="23.5703125" style="84" customWidth="1"/>
    <col min="525" max="525" width="15.5703125" style="84" customWidth="1"/>
    <col min="526" max="527" width="12" style="84" customWidth="1"/>
    <col min="528" max="528" width="17.42578125" style="84" customWidth="1"/>
    <col min="529" max="529" width="12" style="84" customWidth="1"/>
    <col min="530" max="531" width="14.42578125" style="84" customWidth="1"/>
    <col min="532" max="532" width="3.42578125" style="84" customWidth="1"/>
    <col min="533" max="533" width="12.5703125" style="84" customWidth="1"/>
    <col min="534" max="534" width="3.42578125" style="84" customWidth="1"/>
    <col min="535" max="768" width="9.140625" style="84"/>
    <col min="769" max="769" width="3.140625" style="84" customWidth="1"/>
    <col min="770" max="770" width="3.42578125" style="84" customWidth="1"/>
    <col min="771" max="771" width="0" style="84" hidden="1" customWidth="1"/>
    <col min="772" max="772" width="23.5703125" style="84" customWidth="1"/>
    <col min="773" max="776" width="12" style="84" customWidth="1"/>
    <col min="777" max="778" width="14.42578125" style="84" customWidth="1"/>
    <col min="779" max="779" width="3.140625" style="84" customWidth="1"/>
    <col min="780" max="780" width="23.5703125" style="84" customWidth="1"/>
    <col min="781" max="781" width="15.5703125" style="84" customWidth="1"/>
    <col min="782" max="783" width="12" style="84" customWidth="1"/>
    <col min="784" max="784" width="17.42578125" style="84" customWidth="1"/>
    <col min="785" max="785" width="12" style="84" customWidth="1"/>
    <col min="786" max="787" width="14.42578125" style="84" customWidth="1"/>
    <col min="788" max="788" width="3.42578125" style="84" customWidth="1"/>
    <col min="789" max="789" width="12.5703125" style="84" customWidth="1"/>
    <col min="790" max="790" width="3.42578125" style="84" customWidth="1"/>
    <col min="791" max="1024" width="9.140625" style="84"/>
    <col min="1025" max="1025" width="3.140625" style="84" customWidth="1"/>
    <col min="1026" max="1026" width="3.42578125" style="84" customWidth="1"/>
    <col min="1027" max="1027" width="0" style="84" hidden="1" customWidth="1"/>
    <col min="1028" max="1028" width="23.5703125" style="84" customWidth="1"/>
    <col min="1029" max="1032" width="12" style="84" customWidth="1"/>
    <col min="1033" max="1034" width="14.42578125" style="84" customWidth="1"/>
    <col min="1035" max="1035" width="3.140625" style="84" customWidth="1"/>
    <col min="1036" max="1036" width="23.5703125" style="84" customWidth="1"/>
    <col min="1037" max="1037" width="15.5703125" style="84" customWidth="1"/>
    <col min="1038" max="1039" width="12" style="84" customWidth="1"/>
    <col min="1040" max="1040" width="17.42578125" style="84" customWidth="1"/>
    <col min="1041" max="1041" width="12" style="84" customWidth="1"/>
    <col min="1042" max="1043" width="14.42578125" style="84" customWidth="1"/>
    <col min="1044" max="1044" width="3.42578125" style="84" customWidth="1"/>
    <col min="1045" max="1045" width="12.5703125" style="84" customWidth="1"/>
    <col min="1046" max="1046" width="3.42578125" style="84" customWidth="1"/>
    <col min="1047" max="1280" width="9.140625" style="84"/>
    <col min="1281" max="1281" width="3.140625" style="84" customWidth="1"/>
    <col min="1282" max="1282" width="3.42578125" style="84" customWidth="1"/>
    <col min="1283" max="1283" width="0" style="84" hidden="1" customWidth="1"/>
    <col min="1284" max="1284" width="23.5703125" style="84" customWidth="1"/>
    <col min="1285" max="1288" width="12" style="84" customWidth="1"/>
    <col min="1289" max="1290" width="14.42578125" style="84" customWidth="1"/>
    <col min="1291" max="1291" width="3.140625" style="84" customWidth="1"/>
    <col min="1292" max="1292" width="23.5703125" style="84" customWidth="1"/>
    <col min="1293" max="1293" width="15.5703125" style="84" customWidth="1"/>
    <col min="1294" max="1295" width="12" style="84" customWidth="1"/>
    <col min="1296" max="1296" width="17.42578125" style="84" customWidth="1"/>
    <col min="1297" max="1297" width="12" style="84" customWidth="1"/>
    <col min="1298" max="1299" width="14.42578125" style="84" customWidth="1"/>
    <col min="1300" max="1300" width="3.42578125" style="84" customWidth="1"/>
    <col min="1301" max="1301" width="12.5703125" style="84" customWidth="1"/>
    <col min="1302" max="1302" width="3.42578125" style="84" customWidth="1"/>
    <col min="1303" max="1536" width="9.140625" style="84"/>
    <col min="1537" max="1537" width="3.140625" style="84" customWidth="1"/>
    <col min="1538" max="1538" width="3.42578125" style="84" customWidth="1"/>
    <col min="1539" max="1539" width="0" style="84" hidden="1" customWidth="1"/>
    <col min="1540" max="1540" width="23.5703125" style="84" customWidth="1"/>
    <col min="1541" max="1544" width="12" style="84" customWidth="1"/>
    <col min="1545" max="1546" width="14.42578125" style="84" customWidth="1"/>
    <col min="1547" max="1547" width="3.140625" style="84" customWidth="1"/>
    <col min="1548" max="1548" width="23.5703125" style="84" customWidth="1"/>
    <col min="1549" max="1549" width="15.5703125" style="84" customWidth="1"/>
    <col min="1550" max="1551" width="12" style="84" customWidth="1"/>
    <col min="1552" max="1552" width="17.42578125" style="84" customWidth="1"/>
    <col min="1553" max="1553" width="12" style="84" customWidth="1"/>
    <col min="1554" max="1555" width="14.42578125" style="84" customWidth="1"/>
    <col min="1556" max="1556" width="3.42578125" style="84" customWidth="1"/>
    <col min="1557" max="1557" width="12.5703125" style="84" customWidth="1"/>
    <col min="1558" max="1558" width="3.42578125" style="84" customWidth="1"/>
    <col min="1559" max="1792" width="9.140625" style="84"/>
    <col min="1793" max="1793" width="3.140625" style="84" customWidth="1"/>
    <col min="1794" max="1794" width="3.42578125" style="84" customWidth="1"/>
    <col min="1795" max="1795" width="0" style="84" hidden="1" customWidth="1"/>
    <col min="1796" max="1796" width="23.5703125" style="84" customWidth="1"/>
    <col min="1797" max="1800" width="12" style="84" customWidth="1"/>
    <col min="1801" max="1802" width="14.42578125" style="84" customWidth="1"/>
    <col min="1803" max="1803" width="3.140625" style="84" customWidth="1"/>
    <col min="1804" max="1804" width="23.5703125" style="84" customWidth="1"/>
    <col min="1805" max="1805" width="15.5703125" style="84" customWidth="1"/>
    <col min="1806" max="1807" width="12" style="84" customWidth="1"/>
    <col min="1808" max="1808" width="17.42578125" style="84" customWidth="1"/>
    <col min="1809" max="1809" width="12" style="84" customWidth="1"/>
    <col min="1810" max="1811" width="14.42578125" style="84" customWidth="1"/>
    <col min="1812" max="1812" width="3.42578125" style="84" customWidth="1"/>
    <col min="1813" max="1813" width="12.5703125" style="84" customWidth="1"/>
    <col min="1814" max="1814" width="3.42578125" style="84" customWidth="1"/>
    <col min="1815" max="2048" width="9.140625" style="84"/>
    <col min="2049" max="2049" width="3.140625" style="84" customWidth="1"/>
    <col min="2050" max="2050" width="3.42578125" style="84" customWidth="1"/>
    <col min="2051" max="2051" width="0" style="84" hidden="1" customWidth="1"/>
    <col min="2052" max="2052" width="23.5703125" style="84" customWidth="1"/>
    <col min="2053" max="2056" width="12" style="84" customWidth="1"/>
    <col min="2057" max="2058" width="14.42578125" style="84" customWidth="1"/>
    <col min="2059" max="2059" width="3.140625" style="84" customWidth="1"/>
    <col min="2060" max="2060" width="23.5703125" style="84" customWidth="1"/>
    <col min="2061" max="2061" width="15.5703125" style="84" customWidth="1"/>
    <col min="2062" max="2063" width="12" style="84" customWidth="1"/>
    <col min="2064" max="2064" width="17.42578125" style="84" customWidth="1"/>
    <col min="2065" max="2065" width="12" style="84" customWidth="1"/>
    <col min="2066" max="2067" width="14.42578125" style="84" customWidth="1"/>
    <col min="2068" max="2068" width="3.42578125" style="84" customWidth="1"/>
    <col min="2069" max="2069" width="12.5703125" style="84" customWidth="1"/>
    <col min="2070" max="2070" width="3.42578125" style="84" customWidth="1"/>
    <col min="2071" max="2304" width="9.140625" style="84"/>
    <col min="2305" max="2305" width="3.140625" style="84" customWidth="1"/>
    <col min="2306" max="2306" width="3.42578125" style="84" customWidth="1"/>
    <col min="2307" max="2307" width="0" style="84" hidden="1" customWidth="1"/>
    <col min="2308" max="2308" width="23.5703125" style="84" customWidth="1"/>
    <col min="2309" max="2312" width="12" style="84" customWidth="1"/>
    <col min="2313" max="2314" width="14.42578125" style="84" customWidth="1"/>
    <col min="2315" max="2315" width="3.140625" style="84" customWidth="1"/>
    <col min="2316" max="2316" width="23.5703125" style="84" customWidth="1"/>
    <col min="2317" max="2317" width="15.5703125" style="84" customWidth="1"/>
    <col min="2318" max="2319" width="12" style="84" customWidth="1"/>
    <col min="2320" max="2320" width="17.42578125" style="84" customWidth="1"/>
    <col min="2321" max="2321" width="12" style="84" customWidth="1"/>
    <col min="2322" max="2323" width="14.42578125" style="84" customWidth="1"/>
    <col min="2324" max="2324" width="3.42578125" style="84" customWidth="1"/>
    <col min="2325" max="2325" width="12.5703125" style="84" customWidth="1"/>
    <col min="2326" max="2326" width="3.42578125" style="84" customWidth="1"/>
    <col min="2327" max="2560" width="9.140625" style="84"/>
    <col min="2561" max="2561" width="3.140625" style="84" customWidth="1"/>
    <col min="2562" max="2562" width="3.42578125" style="84" customWidth="1"/>
    <col min="2563" max="2563" width="0" style="84" hidden="1" customWidth="1"/>
    <col min="2564" max="2564" width="23.5703125" style="84" customWidth="1"/>
    <col min="2565" max="2568" width="12" style="84" customWidth="1"/>
    <col min="2569" max="2570" width="14.42578125" style="84" customWidth="1"/>
    <col min="2571" max="2571" width="3.140625" style="84" customWidth="1"/>
    <col min="2572" max="2572" width="23.5703125" style="84" customWidth="1"/>
    <col min="2573" max="2573" width="15.5703125" style="84" customWidth="1"/>
    <col min="2574" max="2575" width="12" style="84" customWidth="1"/>
    <col min="2576" max="2576" width="17.42578125" style="84" customWidth="1"/>
    <col min="2577" max="2577" width="12" style="84" customWidth="1"/>
    <col min="2578" max="2579" width="14.42578125" style="84" customWidth="1"/>
    <col min="2580" max="2580" width="3.42578125" style="84" customWidth="1"/>
    <col min="2581" max="2581" width="12.5703125" style="84" customWidth="1"/>
    <col min="2582" max="2582" width="3.42578125" style="84" customWidth="1"/>
    <col min="2583" max="2816" width="9.140625" style="84"/>
    <col min="2817" max="2817" width="3.140625" style="84" customWidth="1"/>
    <col min="2818" max="2818" width="3.42578125" style="84" customWidth="1"/>
    <col min="2819" max="2819" width="0" style="84" hidden="1" customWidth="1"/>
    <col min="2820" max="2820" width="23.5703125" style="84" customWidth="1"/>
    <col min="2821" max="2824" width="12" style="84" customWidth="1"/>
    <col min="2825" max="2826" width="14.42578125" style="84" customWidth="1"/>
    <col min="2827" max="2827" width="3.140625" style="84" customWidth="1"/>
    <col min="2828" max="2828" width="23.5703125" style="84" customWidth="1"/>
    <col min="2829" max="2829" width="15.5703125" style="84" customWidth="1"/>
    <col min="2830" max="2831" width="12" style="84" customWidth="1"/>
    <col min="2832" max="2832" width="17.42578125" style="84" customWidth="1"/>
    <col min="2833" max="2833" width="12" style="84" customWidth="1"/>
    <col min="2834" max="2835" width="14.42578125" style="84" customWidth="1"/>
    <col min="2836" max="2836" width="3.42578125" style="84" customWidth="1"/>
    <col min="2837" max="2837" width="12.5703125" style="84" customWidth="1"/>
    <col min="2838" max="2838" width="3.42578125" style="84" customWidth="1"/>
    <col min="2839" max="3072" width="9.140625" style="84"/>
    <col min="3073" max="3073" width="3.140625" style="84" customWidth="1"/>
    <col min="3074" max="3074" width="3.42578125" style="84" customWidth="1"/>
    <col min="3075" max="3075" width="0" style="84" hidden="1" customWidth="1"/>
    <col min="3076" max="3076" width="23.5703125" style="84" customWidth="1"/>
    <col min="3077" max="3080" width="12" style="84" customWidth="1"/>
    <col min="3081" max="3082" width="14.42578125" style="84" customWidth="1"/>
    <col min="3083" max="3083" width="3.140625" style="84" customWidth="1"/>
    <col min="3084" max="3084" width="23.5703125" style="84" customWidth="1"/>
    <col min="3085" max="3085" width="15.5703125" style="84" customWidth="1"/>
    <col min="3086" max="3087" width="12" style="84" customWidth="1"/>
    <col min="3088" max="3088" width="17.42578125" style="84" customWidth="1"/>
    <col min="3089" max="3089" width="12" style="84" customWidth="1"/>
    <col min="3090" max="3091" width="14.42578125" style="84" customWidth="1"/>
    <col min="3092" max="3092" width="3.42578125" style="84" customWidth="1"/>
    <col min="3093" max="3093" width="12.5703125" style="84" customWidth="1"/>
    <col min="3094" max="3094" width="3.42578125" style="84" customWidth="1"/>
    <col min="3095" max="3328" width="9.140625" style="84"/>
    <col min="3329" max="3329" width="3.140625" style="84" customWidth="1"/>
    <col min="3330" max="3330" width="3.42578125" style="84" customWidth="1"/>
    <col min="3331" max="3331" width="0" style="84" hidden="1" customWidth="1"/>
    <col min="3332" max="3332" width="23.5703125" style="84" customWidth="1"/>
    <col min="3333" max="3336" width="12" style="84" customWidth="1"/>
    <col min="3337" max="3338" width="14.42578125" style="84" customWidth="1"/>
    <col min="3339" max="3339" width="3.140625" style="84" customWidth="1"/>
    <col min="3340" max="3340" width="23.5703125" style="84" customWidth="1"/>
    <col min="3341" max="3341" width="15.5703125" style="84" customWidth="1"/>
    <col min="3342" max="3343" width="12" style="84" customWidth="1"/>
    <col min="3344" max="3344" width="17.42578125" style="84" customWidth="1"/>
    <col min="3345" max="3345" width="12" style="84" customWidth="1"/>
    <col min="3346" max="3347" width="14.42578125" style="84" customWidth="1"/>
    <col min="3348" max="3348" width="3.42578125" style="84" customWidth="1"/>
    <col min="3349" max="3349" width="12.5703125" style="84" customWidth="1"/>
    <col min="3350" max="3350" width="3.42578125" style="84" customWidth="1"/>
    <col min="3351" max="3584" width="9.140625" style="84"/>
    <col min="3585" max="3585" width="3.140625" style="84" customWidth="1"/>
    <col min="3586" max="3586" width="3.42578125" style="84" customWidth="1"/>
    <col min="3587" max="3587" width="0" style="84" hidden="1" customWidth="1"/>
    <col min="3588" max="3588" width="23.5703125" style="84" customWidth="1"/>
    <col min="3589" max="3592" width="12" style="84" customWidth="1"/>
    <col min="3593" max="3594" width="14.42578125" style="84" customWidth="1"/>
    <col min="3595" max="3595" width="3.140625" style="84" customWidth="1"/>
    <col min="3596" max="3596" width="23.5703125" style="84" customWidth="1"/>
    <col min="3597" max="3597" width="15.5703125" style="84" customWidth="1"/>
    <col min="3598" max="3599" width="12" style="84" customWidth="1"/>
    <col min="3600" max="3600" width="17.42578125" style="84" customWidth="1"/>
    <col min="3601" max="3601" width="12" style="84" customWidth="1"/>
    <col min="3602" max="3603" width="14.42578125" style="84" customWidth="1"/>
    <col min="3604" max="3604" width="3.42578125" style="84" customWidth="1"/>
    <col min="3605" max="3605" width="12.5703125" style="84" customWidth="1"/>
    <col min="3606" max="3606" width="3.42578125" style="84" customWidth="1"/>
    <col min="3607" max="3840" width="9.140625" style="84"/>
    <col min="3841" max="3841" width="3.140625" style="84" customWidth="1"/>
    <col min="3842" max="3842" width="3.42578125" style="84" customWidth="1"/>
    <col min="3843" max="3843" width="0" style="84" hidden="1" customWidth="1"/>
    <col min="3844" max="3844" width="23.5703125" style="84" customWidth="1"/>
    <col min="3845" max="3848" width="12" style="84" customWidth="1"/>
    <col min="3849" max="3850" width="14.42578125" style="84" customWidth="1"/>
    <col min="3851" max="3851" width="3.140625" style="84" customWidth="1"/>
    <col min="3852" max="3852" width="23.5703125" style="84" customWidth="1"/>
    <col min="3853" max="3853" width="15.5703125" style="84" customWidth="1"/>
    <col min="3854" max="3855" width="12" style="84" customWidth="1"/>
    <col min="3856" max="3856" width="17.42578125" style="84" customWidth="1"/>
    <col min="3857" max="3857" width="12" style="84" customWidth="1"/>
    <col min="3858" max="3859" width="14.42578125" style="84" customWidth="1"/>
    <col min="3860" max="3860" width="3.42578125" style="84" customWidth="1"/>
    <col min="3861" max="3861" width="12.5703125" style="84" customWidth="1"/>
    <col min="3862" max="3862" width="3.42578125" style="84" customWidth="1"/>
    <col min="3863" max="4096" width="9.140625" style="84"/>
    <col min="4097" max="4097" width="3.140625" style="84" customWidth="1"/>
    <col min="4098" max="4098" width="3.42578125" style="84" customWidth="1"/>
    <col min="4099" max="4099" width="0" style="84" hidden="1" customWidth="1"/>
    <col min="4100" max="4100" width="23.5703125" style="84" customWidth="1"/>
    <col min="4101" max="4104" width="12" style="84" customWidth="1"/>
    <col min="4105" max="4106" width="14.42578125" style="84" customWidth="1"/>
    <col min="4107" max="4107" width="3.140625" style="84" customWidth="1"/>
    <col min="4108" max="4108" width="23.5703125" style="84" customWidth="1"/>
    <col min="4109" max="4109" width="15.5703125" style="84" customWidth="1"/>
    <col min="4110" max="4111" width="12" style="84" customWidth="1"/>
    <col min="4112" max="4112" width="17.42578125" style="84" customWidth="1"/>
    <col min="4113" max="4113" width="12" style="84" customWidth="1"/>
    <col min="4114" max="4115" width="14.42578125" style="84" customWidth="1"/>
    <col min="4116" max="4116" width="3.42578125" style="84" customWidth="1"/>
    <col min="4117" max="4117" width="12.5703125" style="84" customWidth="1"/>
    <col min="4118" max="4118" width="3.42578125" style="84" customWidth="1"/>
    <col min="4119" max="4352" width="9.140625" style="84"/>
    <col min="4353" max="4353" width="3.140625" style="84" customWidth="1"/>
    <col min="4354" max="4354" width="3.42578125" style="84" customWidth="1"/>
    <col min="4355" max="4355" width="0" style="84" hidden="1" customWidth="1"/>
    <col min="4356" max="4356" width="23.5703125" style="84" customWidth="1"/>
    <col min="4357" max="4360" width="12" style="84" customWidth="1"/>
    <col min="4361" max="4362" width="14.42578125" style="84" customWidth="1"/>
    <col min="4363" max="4363" width="3.140625" style="84" customWidth="1"/>
    <col min="4364" max="4364" width="23.5703125" style="84" customWidth="1"/>
    <col min="4365" max="4365" width="15.5703125" style="84" customWidth="1"/>
    <col min="4366" max="4367" width="12" style="84" customWidth="1"/>
    <col min="4368" max="4368" width="17.42578125" style="84" customWidth="1"/>
    <col min="4369" max="4369" width="12" style="84" customWidth="1"/>
    <col min="4370" max="4371" width="14.42578125" style="84" customWidth="1"/>
    <col min="4372" max="4372" width="3.42578125" style="84" customWidth="1"/>
    <col min="4373" max="4373" width="12.5703125" style="84" customWidth="1"/>
    <col min="4374" max="4374" width="3.42578125" style="84" customWidth="1"/>
    <col min="4375" max="4608" width="9.140625" style="84"/>
    <col min="4609" max="4609" width="3.140625" style="84" customWidth="1"/>
    <col min="4610" max="4610" width="3.42578125" style="84" customWidth="1"/>
    <col min="4611" max="4611" width="0" style="84" hidden="1" customWidth="1"/>
    <col min="4612" max="4612" width="23.5703125" style="84" customWidth="1"/>
    <col min="4613" max="4616" width="12" style="84" customWidth="1"/>
    <col min="4617" max="4618" width="14.42578125" style="84" customWidth="1"/>
    <col min="4619" max="4619" width="3.140625" style="84" customWidth="1"/>
    <col min="4620" max="4620" width="23.5703125" style="84" customWidth="1"/>
    <col min="4621" max="4621" width="15.5703125" style="84" customWidth="1"/>
    <col min="4622" max="4623" width="12" style="84" customWidth="1"/>
    <col min="4624" max="4624" width="17.42578125" style="84" customWidth="1"/>
    <col min="4625" max="4625" width="12" style="84" customWidth="1"/>
    <col min="4626" max="4627" width="14.42578125" style="84" customWidth="1"/>
    <col min="4628" max="4628" width="3.42578125" style="84" customWidth="1"/>
    <col min="4629" max="4629" width="12.5703125" style="84" customWidth="1"/>
    <col min="4630" max="4630" width="3.42578125" style="84" customWidth="1"/>
    <col min="4631" max="4864" width="9.140625" style="84"/>
    <col min="4865" max="4865" width="3.140625" style="84" customWidth="1"/>
    <col min="4866" max="4866" width="3.42578125" style="84" customWidth="1"/>
    <col min="4867" max="4867" width="0" style="84" hidden="1" customWidth="1"/>
    <col min="4868" max="4868" width="23.5703125" style="84" customWidth="1"/>
    <col min="4869" max="4872" width="12" style="84" customWidth="1"/>
    <col min="4873" max="4874" width="14.42578125" style="84" customWidth="1"/>
    <col min="4875" max="4875" width="3.140625" style="84" customWidth="1"/>
    <col min="4876" max="4876" width="23.5703125" style="84" customWidth="1"/>
    <col min="4877" max="4877" width="15.5703125" style="84" customWidth="1"/>
    <col min="4878" max="4879" width="12" style="84" customWidth="1"/>
    <col min="4880" max="4880" width="17.42578125" style="84" customWidth="1"/>
    <col min="4881" max="4881" width="12" style="84" customWidth="1"/>
    <col min="4882" max="4883" width="14.42578125" style="84" customWidth="1"/>
    <col min="4884" max="4884" width="3.42578125" style="84" customWidth="1"/>
    <col min="4885" max="4885" width="12.5703125" style="84" customWidth="1"/>
    <col min="4886" max="4886" width="3.42578125" style="84" customWidth="1"/>
    <col min="4887" max="5120" width="9.140625" style="84"/>
    <col min="5121" max="5121" width="3.140625" style="84" customWidth="1"/>
    <col min="5122" max="5122" width="3.42578125" style="84" customWidth="1"/>
    <col min="5123" max="5123" width="0" style="84" hidden="1" customWidth="1"/>
    <col min="5124" max="5124" width="23.5703125" style="84" customWidth="1"/>
    <col min="5125" max="5128" width="12" style="84" customWidth="1"/>
    <col min="5129" max="5130" width="14.42578125" style="84" customWidth="1"/>
    <col min="5131" max="5131" width="3.140625" style="84" customWidth="1"/>
    <col min="5132" max="5132" width="23.5703125" style="84" customWidth="1"/>
    <col min="5133" max="5133" width="15.5703125" style="84" customWidth="1"/>
    <col min="5134" max="5135" width="12" style="84" customWidth="1"/>
    <col min="5136" max="5136" width="17.42578125" style="84" customWidth="1"/>
    <col min="5137" max="5137" width="12" style="84" customWidth="1"/>
    <col min="5138" max="5139" width="14.42578125" style="84" customWidth="1"/>
    <col min="5140" max="5140" width="3.42578125" style="84" customWidth="1"/>
    <col min="5141" max="5141" width="12.5703125" style="84" customWidth="1"/>
    <col min="5142" max="5142" width="3.42578125" style="84" customWidth="1"/>
    <col min="5143" max="5376" width="9.140625" style="84"/>
    <col min="5377" max="5377" width="3.140625" style="84" customWidth="1"/>
    <col min="5378" max="5378" width="3.42578125" style="84" customWidth="1"/>
    <col min="5379" max="5379" width="0" style="84" hidden="1" customWidth="1"/>
    <col min="5380" max="5380" width="23.5703125" style="84" customWidth="1"/>
    <col min="5381" max="5384" width="12" style="84" customWidth="1"/>
    <col min="5385" max="5386" width="14.42578125" style="84" customWidth="1"/>
    <col min="5387" max="5387" width="3.140625" style="84" customWidth="1"/>
    <col min="5388" max="5388" width="23.5703125" style="84" customWidth="1"/>
    <col min="5389" max="5389" width="15.5703125" style="84" customWidth="1"/>
    <col min="5390" max="5391" width="12" style="84" customWidth="1"/>
    <col min="5392" max="5392" width="17.42578125" style="84" customWidth="1"/>
    <col min="5393" max="5393" width="12" style="84" customWidth="1"/>
    <col min="5394" max="5395" width="14.42578125" style="84" customWidth="1"/>
    <col min="5396" max="5396" width="3.42578125" style="84" customWidth="1"/>
    <col min="5397" max="5397" width="12.5703125" style="84" customWidth="1"/>
    <col min="5398" max="5398" width="3.42578125" style="84" customWidth="1"/>
    <col min="5399" max="5632" width="9.140625" style="84"/>
    <col min="5633" max="5633" width="3.140625" style="84" customWidth="1"/>
    <col min="5634" max="5634" width="3.42578125" style="84" customWidth="1"/>
    <col min="5635" max="5635" width="0" style="84" hidden="1" customWidth="1"/>
    <col min="5636" max="5636" width="23.5703125" style="84" customWidth="1"/>
    <col min="5637" max="5640" width="12" style="84" customWidth="1"/>
    <col min="5641" max="5642" width="14.42578125" style="84" customWidth="1"/>
    <col min="5643" max="5643" width="3.140625" style="84" customWidth="1"/>
    <col min="5644" max="5644" width="23.5703125" style="84" customWidth="1"/>
    <col min="5645" max="5645" width="15.5703125" style="84" customWidth="1"/>
    <col min="5646" max="5647" width="12" style="84" customWidth="1"/>
    <col min="5648" max="5648" width="17.42578125" style="84" customWidth="1"/>
    <col min="5649" max="5649" width="12" style="84" customWidth="1"/>
    <col min="5650" max="5651" width="14.42578125" style="84" customWidth="1"/>
    <col min="5652" max="5652" width="3.42578125" style="84" customWidth="1"/>
    <col min="5653" max="5653" width="12.5703125" style="84" customWidth="1"/>
    <col min="5654" max="5654" width="3.42578125" style="84" customWidth="1"/>
    <col min="5655" max="5888" width="9.140625" style="84"/>
    <col min="5889" max="5889" width="3.140625" style="84" customWidth="1"/>
    <col min="5890" max="5890" width="3.42578125" style="84" customWidth="1"/>
    <col min="5891" max="5891" width="0" style="84" hidden="1" customWidth="1"/>
    <col min="5892" max="5892" width="23.5703125" style="84" customWidth="1"/>
    <col min="5893" max="5896" width="12" style="84" customWidth="1"/>
    <col min="5897" max="5898" width="14.42578125" style="84" customWidth="1"/>
    <col min="5899" max="5899" width="3.140625" style="84" customWidth="1"/>
    <col min="5900" max="5900" width="23.5703125" style="84" customWidth="1"/>
    <col min="5901" max="5901" width="15.5703125" style="84" customWidth="1"/>
    <col min="5902" max="5903" width="12" style="84" customWidth="1"/>
    <col min="5904" max="5904" width="17.42578125" style="84" customWidth="1"/>
    <col min="5905" max="5905" width="12" style="84" customWidth="1"/>
    <col min="5906" max="5907" width="14.42578125" style="84" customWidth="1"/>
    <col min="5908" max="5908" width="3.42578125" style="84" customWidth="1"/>
    <col min="5909" max="5909" width="12.5703125" style="84" customWidth="1"/>
    <col min="5910" max="5910" width="3.42578125" style="84" customWidth="1"/>
    <col min="5911" max="6144" width="9.140625" style="84"/>
    <col min="6145" max="6145" width="3.140625" style="84" customWidth="1"/>
    <col min="6146" max="6146" width="3.42578125" style="84" customWidth="1"/>
    <col min="6147" max="6147" width="0" style="84" hidden="1" customWidth="1"/>
    <col min="6148" max="6148" width="23.5703125" style="84" customWidth="1"/>
    <col min="6149" max="6152" width="12" style="84" customWidth="1"/>
    <col min="6153" max="6154" width="14.42578125" style="84" customWidth="1"/>
    <col min="6155" max="6155" width="3.140625" style="84" customWidth="1"/>
    <col min="6156" max="6156" width="23.5703125" style="84" customWidth="1"/>
    <col min="6157" max="6157" width="15.5703125" style="84" customWidth="1"/>
    <col min="6158" max="6159" width="12" style="84" customWidth="1"/>
    <col min="6160" max="6160" width="17.42578125" style="84" customWidth="1"/>
    <col min="6161" max="6161" width="12" style="84" customWidth="1"/>
    <col min="6162" max="6163" width="14.42578125" style="84" customWidth="1"/>
    <col min="6164" max="6164" width="3.42578125" style="84" customWidth="1"/>
    <col min="6165" max="6165" width="12.5703125" style="84" customWidth="1"/>
    <col min="6166" max="6166" width="3.42578125" style="84" customWidth="1"/>
    <col min="6167" max="6400" width="9.140625" style="84"/>
    <col min="6401" max="6401" width="3.140625" style="84" customWidth="1"/>
    <col min="6402" max="6402" width="3.42578125" style="84" customWidth="1"/>
    <col min="6403" max="6403" width="0" style="84" hidden="1" customWidth="1"/>
    <col min="6404" max="6404" width="23.5703125" style="84" customWidth="1"/>
    <col min="6405" max="6408" width="12" style="84" customWidth="1"/>
    <col min="6409" max="6410" width="14.42578125" style="84" customWidth="1"/>
    <col min="6411" max="6411" width="3.140625" style="84" customWidth="1"/>
    <col min="6412" max="6412" width="23.5703125" style="84" customWidth="1"/>
    <col min="6413" max="6413" width="15.5703125" style="84" customWidth="1"/>
    <col min="6414" max="6415" width="12" style="84" customWidth="1"/>
    <col min="6416" max="6416" width="17.42578125" style="84" customWidth="1"/>
    <col min="6417" max="6417" width="12" style="84" customWidth="1"/>
    <col min="6418" max="6419" width="14.42578125" style="84" customWidth="1"/>
    <col min="6420" max="6420" width="3.42578125" style="84" customWidth="1"/>
    <col min="6421" max="6421" width="12.5703125" style="84" customWidth="1"/>
    <col min="6422" max="6422" width="3.42578125" style="84" customWidth="1"/>
    <col min="6423" max="6656" width="9.140625" style="84"/>
    <col min="6657" max="6657" width="3.140625" style="84" customWidth="1"/>
    <col min="6658" max="6658" width="3.42578125" style="84" customWidth="1"/>
    <col min="6659" max="6659" width="0" style="84" hidden="1" customWidth="1"/>
    <col min="6660" max="6660" width="23.5703125" style="84" customWidth="1"/>
    <col min="6661" max="6664" width="12" style="84" customWidth="1"/>
    <col min="6665" max="6666" width="14.42578125" style="84" customWidth="1"/>
    <col min="6667" max="6667" width="3.140625" style="84" customWidth="1"/>
    <col min="6668" max="6668" width="23.5703125" style="84" customWidth="1"/>
    <col min="6669" max="6669" width="15.5703125" style="84" customWidth="1"/>
    <col min="6670" max="6671" width="12" style="84" customWidth="1"/>
    <col min="6672" max="6672" width="17.42578125" style="84" customWidth="1"/>
    <col min="6673" max="6673" width="12" style="84" customWidth="1"/>
    <col min="6674" max="6675" width="14.42578125" style="84" customWidth="1"/>
    <col min="6676" max="6676" width="3.42578125" style="84" customWidth="1"/>
    <col min="6677" max="6677" width="12.5703125" style="84" customWidth="1"/>
    <col min="6678" max="6678" width="3.42578125" style="84" customWidth="1"/>
    <col min="6679" max="6912" width="9.140625" style="84"/>
    <col min="6913" max="6913" width="3.140625" style="84" customWidth="1"/>
    <col min="6914" max="6914" width="3.42578125" style="84" customWidth="1"/>
    <col min="6915" max="6915" width="0" style="84" hidden="1" customWidth="1"/>
    <col min="6916" max="6916" width="23.5703125" style="84" customWidth="1"/>
    <col min="6917" max="6920" width="12" style="84" customWidth="1"/>
    <col min="6921" max="6922" width="14.42578125" style="84" customWidth="1"/>
    <col min="6923" max="6923" width="3.140625" style="84" customWidth="1"/>
    <col min="6924" max="6924" width="23.5703125" style="84" customWidth="1"/>
    <col min="6925" max="6925" width="15.5703125" style="84" customWidth="1"/>
    <col min="6926" max="6927" width="12" style="84" customWidth="1"/>
    <col min="6928" max="6928" width="17.42578125" style="84" customWidth="1"/>
    <col min="6929" max="6929" width="12" style="84" customWidth="1"/>
    <col min="6930" max="6931" width="14.42578125" style="84" customWidth="1"/>
    <col min="6932" max="6932" width="3.42578125" style="84" customWidth="1"/>
    <col min="6933" max="6933" width="12.5703125" style="84" customWidth="1"/>
    <col min="6934" max="6934" width="3.42578125" style="84" customWidth="1"/>
    <col min="6935" max="7168" width="9.140625" style="84"/>
    <col min="7169" max="7169" width="3.140625" style="84" customWidth="1"/>
    <col min="7170" max="7170" width="3.42578125" style="84" customWidth="1"/>
    <col min="7171" max="7171" width="0" style="84" hidden="1" customWidth="1"/>
    <col min="7172" max="7172" width="23.5703125" style="84" customWidth="1"/>
    <col min="7173" max="7176" width="12" style="84" customWidth="1"/>
    <col min="7177" max="7178" width="14.42578125" style="84" customWidth="1"/>
    <col min="7179" max="7179" width="3.140625" style="84" customWidth="1"/>
    <col min="7180" max="7180" width="23.5703125" style="84" customWidth="1"/>
    <col min="7181" max="7181" width="15.5703125" style="84" customWidth="1"/>
    <col min="7182" max="7183" width="12" style="84" customWidth="1"/>
    <col min="7184" max="7184" width="17.42578125" style="84" customWidth="1"/>
    <col min="7185" max="7185" width="12" style="84" customWidth="1"/>
    <col min="7186" max="7187" width="14.42578125" style="84" customWidth="1"/>
    <col min="7188" max="7188" width="3.42578125" style="84" customWidth="1"/>
    <col min="7189" max="7189" width="12.5703125" style="84" customWidth="1"/>
    <col min="7190" max="7190" width="3.42578125" style="84" customWidth="1"/>
    <col min="7191" max="7424" width="9.140625" style="84"/>
    <col min="7425" max="7425" width="3.140625" style="84" customWidth="1"/>
    <col min="7426" max="7426" width="3.42578125" style="84" customWidth="1"/>
    <col min="7427" max="7427" width="0" style="84" hidden="1" customWidth="1"/>
    <col min="7428" max="7428" width="23.5703125" style="84" customWidth="1"/>
    <col min="7429" max="7432" width="12" style="84" customWidth="1"/>
    <col min="7433" max="7434" width="14.42578125" style="84" customWidth="1"/>
    <col min="7435" max="7435" width="3.140625" style="84" customWidth="1"/>
    <col min="7436" max="7436" width="23.5703125" style="84" customWidth="1"/>
    <col min="7437" max="7437" width="15.5703125" style="84" customWidth="1"/>
    <col min="7438" max="7439" width="12" style="84" customWidth="1"/>
    <col min="7440" max="7440" width="17.42578125" style="84" customWidth="1"/>
    <col min="7441" max="7441" width="12" style="84" customWidth="1"/>
    <col min="7442" max="7443" width="14.42578125" style="84" customWidth="1"/>
    <col min="7444" max="7444" width="3.42578125" style="84" customWidth="1"/>
    <col min="7445" max="7445" width="12.5703125" style="84" customWidth="1"/>
    <col min="7446" max="7446" width="3.42578125" style="84" customWidth="1"/>
    <col min="7447" max="7680" width="9.140625" style="84"/>
    <col min="7681" max="7681" width="3.140625" style="84" customWidth="1"/>
    <col min="7682" max="7682" width="3.42578125" style="84" customWidth="1"/>
    <col min="7683" max="7683" width="0" style="84" hidden="1" customWidth="1"/>
    <col min="7684" max="7684" width="23.5703125" style="84" customWidth="1"/>
    <col min="7685" max="7688" width="12" style="84" customWidth="1"/>
    <col min="7689" max="7690" width="14.42578125" style="84" customWidth="1"/>
    <col min="7691" max="7691" width="3.140625" style="84" customWidth="1"/>
    <col min="7692" max="7692" width="23.5703125" style="84" customWidth="1"/>
    <col min="7693" max="7693" width="15.5703125" style="84" customWidth="1"/>
    <col min="7694" max="7695" width="12" style="84" customWidth="1"/>
    <col min="7696" max="7696" width="17.42578125" style="84" customWidth="1"/>
    <col min="7697" max="7697" width="12" style="84" customWidth="1"/>
    <col min="7698" max="7699" width="14.42578125" style="84" customWidth="1"/>
    <col min="7700" max="7700" width="3.42578125" style="84" customWidth="1"/>
    <col min="7701" max="7701" width="12.5703125" style="84" customWidth="1"/>
    <col min="7702" max="7702" width="3.42578125" style="84" customWidth="1"/>
    <col min="7703" max="7936" width="9.140625" style="84"/>
    <col min="7937" max="7937" width="3.140625" style="84" customWidth="1"/>
    <col min="7938" max="7938" width="3.42578125" style="84" customWidth="1"/>
    <col min="7939" max="7939" width="0" style="84" hidden="1" customWidth="1"/>
    <col min="7940" max="7940" width="23.5703125" style="84" customWidth="1"/>
    <col min="7941" max="7944" width="12" style="84" customWidth="1"/>
    <col min="7945" max="7946" width="14.42578125" style="84" customWidth="1"/>
    <col min="7947" max="7947" width="3.140625" style="84" customWidth="1"/>
    <col min="7948" max="7948" width="23.5703125" style="84" customWidth="1"/>
    <col min="7949" max="7949" width="15.5703125" style="84" customWidth="1"/>
    <col min="7950" max="7951" width="12" style="84" customWidth="1"/>
    <col min="7952" max="7952" width="17.42578125" style="84" customWidth="1"/>
    <col min="7953" max="7953" width="12" style="84" customWidth="1"/>
    <col min="7954" max="7955" width="14.42578125" style="84" customWidth="1"/>
    <col min="7956" max="7956" width="3.42578125" style="84" customWidth="1"/>
    <col min="7957" max="7957" width="12.5703125" style="84" customWidth="1"/>
    <col min="7958" max="7958" width="3.42578125" style="84" customWidth="1"/>
    <col min="7959" max="8192" width="9.140625" style="84"/>
    <col min="8193" max="8193" width="3.140625" style="84" customWidth="1"/>
    <col min="8194" max="8194" width="3.42578125" style="84" customWidth="1"/>
    <col min="8195" max="8195" width="0" style="84" hidden="1" customWidth="1"/>
    <col min="8196" max="8196" width="23.5703125" style="84" customWidth="1"/>
    <col min="8197" max="8200" width="12" style="84" customWidth="1"/>
    <col min="8201" max="8202" width="14.42578125" style="84" customWidth="1"/>
    <col min="8203" max="8203" width="3.140625" style="84" customWidth="1"/>
    <col min="8204" max="8204" width="23.5703125" style="84" customWidth="1"/>
    <col min="8205" max="8205" width="15.5703125" style="84" customWidth="1"/>
    <col min="8206" max="8207" width="12" style="84" customWidth="1"/>
    <col min="8208" max="8208" width="17.42578125" style="84" customWidth="1"/>
    <col min="8209" max="8209" width="12" style="84" customWidth="1"/>
    <col min="8210" max="8211" width="14.42578125" style="84" customWidth="1"/>
    <col min="8212" max="8212" width="3.42578125" style="84" customWidth="1"/>
    <col min="8213" max="8213" width="12.5703125" style="84" customWidth="1"/>
    <col min="8214" max="8214" width="3.42578125" style="84" customWidth="1"/>
    <col min="8215" max="8448" width="9.140625" style="84"/>
    <col min="8449" max="8449" width="3.140625" style="84" customWidth="1"/>
    <col min="8450" max="8450" width="3.42578125" style="84" customWidth="1"/>
    <col min="8451" max="8451" width="0" style="84" hidden="1" customWidth="1"/>
    <col min="8452" max="8452" width="23.5703125" style="84" customWidth="1"/>
    <col min="8453" max="8456" width="12" style="84" customWidth="1"/>
    <col min="8457" max="8458" width="14.42578125" style="84" customWidth="1"/>
    <col min="8459" max="8459" width="3.140625" style="84" customWidth="1"/>
    <col min="8460" max="8460" width="23.5703125" style="84" customWidth="1"/>
    <col min="8461" max="8461" width="15.5703125" style="84" customWidth="1"/>
    <col min="8462" max="8463" width="12" style="84" customWidth="1"/>
    <col min="8464" max="8464" width="17.42578125" style="84" customWidth="1"/>
    <col min="8465" max="8465" width="12" style="84" customWidth="1"/>
    <col min="8466" max="8467" width="14.42578125" style="84" customWidth="1"/>
    <col min="8468" max="8468" width="3.42578125" style="84" customWidth="1"/>
    <col min="8469" max="8469" width="12.5703125" style="84" customWidth="1"/>
    <col min="8470" max="8470" width="3.42578125" style="84" customWidth="1"/>
    <col min="8471" max="8704" width="9.140625" style="84"/>
    <col min="8705" max="8705" width="3.140625" style="84" customWidth="1"/>
    <col min="8706" max="8706" width="3.42578125" style="84" customWidth="1"/>
    <col min="8707" max="8707" width="0" style="84" hidden="1" customWidth="1"/>
    <col min="8708" max="8708" width="23.5703125" style="84" customWidth="1"/>
    <col min="8709" max="8712" width="12" style="84" customWidth="1"/>
    <col min="8713" max="8714" width="14.42578125" style="84" customWidth="1"/>
    <col min="8715" max="8715" width="3.140625" style="84" customWidth="1"/>
    <col min="8716" max="8716" width="23.5703125" style="84" customWidth="1"/>
    <col min="8717" max="8717" width="15.5703125" style="84" customWidth="1"/>
    <col min="8718" max="8719" width="12" style="84" customWidth="1"/>
    <col min="8720" max="8720" width="17.42578125" style="84" customWidth="1"/>
    <col min="8721" max="8721" width="12" style="84" customWidth="1"/>
    <col min="8722" max="8723" width="14.42578125" style="84" customWidth="1"/>
    <col min="8724" max="8724" width="3.42578125" style="84" customWidth="1"/>
    <col min="8725" max="8725" width="12.5703125" style="84" customWidth="1"/>
    <col min="8726" max="8726" width="3.42578125" style="84" customWidth="1"/>
    <col min="8727" max="8960" width="9.140625" style="84"/>
    <col min="8961" max="8961" width="3.140625" style="84" customWidth="1"/>
    <col min="8962" max="8962" width="3.42578125" style="84" customWidth="1"/>
    <col min="8963" max="8963" width="0" style="84" hidden="1" customWidth="1"/>
    <col min="8964" max="8964" width="23.5703125" style="84" customWidth="1"/>
    <col min="8965" max="8968" width="12" style="84" customWidth="1"/>
    <col min="8969" max="8970" width="14.42578125" style="84" customWidth="1"/>
    <col min="8971" max="8971" width="3.140625" style="84" customWidth="1"/>
    <col min="8972" max="8972" width="23.5703125" style="84" customWidth="1"/>
    <col min="8973" max="8973" width="15.5703125" style="84" customWidth="1"/>
    <col min="8974" max="8975" width="12" style="84" customWidth="1"/>
    <col min="8976" max="8976" width="17.42578125" style="84" customWidth="1"/>
    <col min="8977" max="8977" width="12" style="84" customWidth="1"/>
    <col min="8978" max="8979" width="14.42578125" style="84" customWidth="1"/>
    <col min="8980" max="8980" width="3.42578125" style="84" customWidth="1"/>
    <col min="8981" max="8981" width="12.5703125" style="84" customWidth="1"/>
    <col min="8982" max="8982" width="3.42578125" style="84" customWidth="1"/>
    <col min="8983" max="9216" width="9.140625" style="84"/>
    <col min="9217" max="9217" width="3.140625" style="84" customWidth="1"/>
    <col min="9218" max="9218" width="3.42578125" style="84" customWidth="1"/>
    <col min="9219" max="9219" width="0" style="84" hidden="1" customWidth="1"/>
    <col min="9220" max="9220" width="23.5703125" style="84" customWidth="1"/>
    <col min="9221" max="9224" width="12" style="84" customWidth="1"/>
    <col min="9225" max="9226" width="14.42578125" style="84" customWidth="1"/>
    <col min="9227" max="9227" width="3.140625" style="84" customWidth="1"/>
    <col min="9228" max="9228" width="23.5703125" style="84" customWidth="1"/>
    <col min="9229" max="9229" width="15.5703125" style="84" customWidth="1"/>
    <col min="9230" max="9231" width="12" style="84" customWidth="1"/>
    <col min="9232" max="9232" width="17.42578125" style="84" customWidth="1"/>
    <col min="9233" max="9233" width="12" style="84" customWidth="1"/>
    <col min="9234" max="9235" width="14.42578125" style="84" customWidth="1"/>
    <col min="9236" max="9236" width="3.42578125" style="84" customWidth="1"/>
    <col min="9237" max="9237" width="12.5703125" style="84" customWidth="1"/>
    <col min="9238" max="9238" width="3.42578125" style="84" customWidth="1"/>
    <col min="9239" max="9472" width="9.140625" style="84"/>
    <col min="9473" max="9473" width="3.140625" style="84" customWidth="1"/>
    <col min="9474" max="9474" width="3.42578125" style="84" customWidth="1"/>
    <col min="9475" max="9475" width="0" style="84" hidden="1" customWidth="1"/>
    <col min="9476" max="9476" width="23.5703125" style="84" customWidth="1"/>
    <col min="9477" max="9480" width="12" style="84" customWidth="1"/>
    <col min="9481" max="9482" width="14.42578125" style="84" customWidth="1"/>
    <col min="9483" max="9483" width="3.140625" style="84" customWidth="1"/>
    <col min="9484" max="9484" width="23.5703125" style="84" customWidth="1"/>
    <col min="9485" max="9485" width="15.5703125" style="84" customWidth="1"/>
    <col min="9486" max="9487" width="12" style="84" customWidth="1"/>
    <col min="9488" max="9488" width="17.42578125" style="84" customWidth="1"/>
    <col min="9489" max="9489" width="12" style="84" customWidth="1"/>
    <col min="9490" max="9491" width="14.42578125" style="84" customWidth="1"/>
    <col min="9492" max="9492" width="3.42578125" style="84" customWidth="1"/>
    <col min="9493" max="9493" width="12.5703125" style="84" customWidth="1"/>
    <col min="9494" max="9494" width="3.42578125" style="84" customWidth="1"/>
    <col min="9495" max="9728" width="9.140625" style="84"/>
    <col min="9729" max="9729" width="3.140625" style="84" customWidth="1"/>
    <col min="9730" max="9730" width="3.42578125" style="84" customWidth="1"/>
    <col min="9731" max="9731" width="0" style="84" hidden="1" customWidth="1"/>
    <col min="9732" max="9732" width="23.5703125" style="84" customWidth="1"/>
    <col min="9733" max="9736" width="12" style="84" customWidth="1"/>
    <col min="9737" max="9738" width="14.42578125" style="84" customWidth="1"/>
    <col min="9739" max="9739" width="3.140625" style="84" customWidth="1"/>
    <col min="9740" max="9740" width="23.5703125" style="84" customWidth="1"/>
    <col min="9741" max="9741" width="15.5703125" style="84" customWidth="1"/>
    <col min="9742" max="9743" width="12" style="84" customWidth="1"/>
    <col min="9744" max="9744" width="17.42578125" style="84" customWidth="1"/>
    <col min="9745" max="9745" width="12" style="84" customWidth="1"/>
    <col min="9746" max="9747" width="14.42578125" style="84" customWidth="1"/>
    <col min="9748" max="9748" width="3.42578125" style="84" customWidth="1"/>
    <col min="9749" max="9749" width="12.5703125" style="84" customWidth="1"/>
    <col min="9750" max="9750" width="3.42578125" style="84" customWidth="1"/>
    <col min="9751" max="9984" width="9.140625" style="84"/>
    <col min="9985" max="9985" width="3.140625" style="84" customWidth="1"/>
    <col min="9986" max="9986" width="3.42578125" style="84" customWidth="1"/>
    <col min="9987" max="9987" width="0" style="84" hidden="1" customWidth="1"/>
    <col min="9988" max="9988" width="23.5703125" style="84" customWidth="1"/>
    <col min="9989" max="9992" width="12" style="84" customWidth="1"/>
    <col min="9993" max="9994" width="14.42578125" style="84" customWidth="1"/>
    <col min="9995" max="9995" width="3.140625" style="84" customWidth="1"/>
    <col min="9996" max="9996" width="23.5703125" style="84" customWidth="1"/>
    <col min="9997" max="9997" width="15.5703125" style="84" customWidth="1"/>
    <col min="9998" max="9999" width="12" style="84" customWidth="1"/>
    <col min="10000" max="10000" width="17.42578125" style="84" customWidth="1"/>
    <col min="10001" max="10001" width="12" style="84" customWidth="1"/>
    <col min="10002" max="10003" width="14.42578125" style="84" customWidth="1"/>
    <col min="10004" max="10004" width="3.42578125" style="84" customWidth="1"/>
    <col min="10005" max="10005" width="12.5703125" style="84" customWidth="1"/>
    <col min="10006" max="10006" width="3.42578125" style="84" customWidth="1"/>
    <col min="10007" max="10240" width="9.140625" style="84"/>
    <col min="10241" max="10241" width="3.140625" style="84" customWidth="1"/>
    <col min="10242" max="10242" width="3.42578125" style="84" customWidth="1"/>
    <col min="10243" max="10243" width="0" style="84" hidden="1" customWidth="1"/>
    <col min="10244" max="10244" width="23.5703125" style="84" customWidth="1"/>
    <col min="10245" max="10248" width="12" style="84" customWidth="1"/>
    <col min="10249" max="10250" width="14.42578125" style="84" customWidth="1"/>
    <col min="10251" max="10251" width="3.140625" style="84" customWidth="1"/>
    <col min="10252" max="10252" width="23.5703125" style="84" customWidth="1"/>
    <col min="10253" max="10253" width="15.5703125" style="84" customWidth="1"/>
    <col min="10254" max="10255" width="12" style="84" customWidth="1"/>
    <col min="10256" max="10256" width="17.42578125" style="84" customWidth="1"/>
    <col min="10257" max="10257" width="12" style="84" customWidth="1"/>
    <col min="10258" max="10259" width="14.42578125" style="84" customWidth="1"/>
    <col min="10260" max="10260" width="3.42578125" style="84" customWidth="1"/>
    <col min="10261" max="10261" width="12.5703125" style="84" customWidth="1"/>
    <col min="10262" max="10262" width="3.42578125" style="84" customWidth="1"/>
    <col min="10263" max="10496" width="9.140625" style="84"/>
    <col min="10497" max="10497" width="3.140625" style="84" customWidth="1"/>
    <col min="10498" max="10498" width="3.42578125" style="84" customWidth="1"/>
    <col min="10499" max="10499" width="0" style="84" hidden="1" customWidth="1"/>
    <col min="10500" max="10500" width="23.5703125" style="84" customWidth="1"/>
    <col min="10501" max="10504" width="12" style="84" customWidth="1"/>
    <col min="10505" max="10506" width="14.42578125" style="84" customWidth="1"/>
    <col min="10507" max="10507" width="3.140625" style="84" customWidth="1"/>
    <col min="10508" max="10508" width="23.5703125" style="84" customWidth="1"/>
    <col min="10509" max="10509" width="15.5703125" style="84" customWidth="1"/>
    <col min="10510" max="10511" width="12" style="84" customWidth="1"/>
    <col min="10512" max="10512" width="17.42578125" style="84" customWidth="1"/>
    <col min="10513" max="10513" width="12" style="84" customWidth="1"/>
    <col min="10514" max="10515" width="14.42578125" style="84" customWidth="1"/>
    <col min="10516" max="10516" width="3.42578125" style="84" customWidth="1"/>
    <col min="10517" max="10517" width="12.5703125" style="84" customWidth="1"/>
    <col min="10518" max="10518" width="3.42578125" style="84" customWidth="1"/>
    <col min="10519" max="10752" width="9.140625" style="84"/>
    <col min="10753" max="10753" width="3.140625" style="84" customWidth="1"/>
    <col min="10754" max="10754" width="3.42578125" style="84" customWidth="1"/>
    <col min="10755" max="10755" width="0" style="84" hidden="1" customWidth="1"/>
    <col min="10756" max="10756" width="23.5703125" style="84" customWidth="1"/>
    <col min="10757" max="10760" width="12" style="84" customWidth="1"/>
    <col min="10761" max="10762" width="14.42578125" style="84" customWidth="1"/>
    <col min="10763" max="10763" width="3.140625" style="84" customWidth="1"/>
    <col min="10764" max="10764" width="23.5703125" style="84" customWidth="1"/>
    <col min="10765" max="10765" width="15.5703125" style="84" customWidth="1"/>
    <col min="10766" max="10767" width="12" style="84" customWidth="1"/>
    <col min="10768" max="10768" width="17.42578125" style="84" customWidth="1"/>
    <col min="10769" max="10769" width="12" style="84" customWidth="1"/>
    <col min="10770" max="10771" width="14.42578125" style="84" customWidth="1"/>
    <col min="10772" max="10772" width="3.42578125" style="84" customWidth="1"/>
    <col min="10773" max="10773" width="12.5703125" style="84" customWidth="1"/>
    <col min="10774" max="10774" width="3.42578125" style="84" customWidth="1"/>
    <col min="10775" max="11008" width="9.140625" style="84"/>
    <col min="11009" max="11009" width="3.140625" style="84" customWidth="1"/>
    <col min="11010" max="11010" width="3.42578125" style="84" customWidth="1"/>
    <col min="11011" max="11011" width="0" style="84" hidden="1" customWidth="1"/>
    <col min="11012" max="11012" width="23.5703125" style="84" customWidth="1"/>
    <col min="11013" max="11016" width="12" style="84" customWidth="1"/>
    <col min="11017" max="11018" width="14.42578125" style="84" customWidth="1"/>
    <col min="11019" max="11019" width="3.140625" style="84" customWidth="1"/>
    <col min="11020" max="11020" width="23.5703125" style="84" customWidth="1"/>
    <col min="11021" max="11021" width="15.5703125" style="84" customWidth="1"/>
    <col min="11022" max="11023" width="12" style="84" customWidth="1"/>
    <col min="11024" max="11024" width="17.42578125" style="84" customWidth="1"/>
    <col min="11025" max="11025" width="12" style="84" customWidth="1"/>
    <col min="11026" max="11027" width="14.42578125" style="84" customWidth="1"/>
    <col min="11028" max="11028" width="3.42578125" style="84" customWidth="1"/>
    <col min="11029" max="11029" width="12.5703125" style="84" customWidth="1"/>
    <col min="11030" max="11030" width="3.42578125" style="84" customWidth="1"/>
    <col min="11031" max="11264" width="9.140625" style="84"/>
    <col min="11265" max="11265" width="3.140625" style="84" customWidth="1"/>
    <col min="11266" max="11266" width="3.42578125" style="84" customWidth="1"/>
    <col min="11267" max="11267" width="0" style="84" hidden="1" customWidth="1"/>
    <col min="11268" max="11268" width="23.5703125" style="84" customWidth="1"/>
    <col min="11269" max="11272" width="12" style="84" customWidth="1"/>
    <col min="11273" max="11274" width="14.42578125" style="84" customWidth="1"/>
    <col min="11275" max="11275" width="3.140625" style="84" customWidth="1"/>
    <col min="11276" max="11276" width="23.5703125" style="84" customWidth="1"/>
    <col min="11277" max="11277" width="15.5703125" style="84" customWidth="1"/>
    <col min="11278" max="11279" width="12" style="84" customWidth="1"/>
    <col min="11280" max="11280" width="17.42578125" style="84" customWidth="1"/>
    <col min="11281" max="11281" width="12" style="84" customWidth="1"/>
    <col min="11282" max="11283" width="14.42578125" style="84" customWidth="1"/>
    <col min="11284" max="11284" width="3.42578125" style="84" customWidth="1"/>
    <col min="11285" max="11285" width="12.5703125" style="84" customWidth="1"/>
    <col min="11286" max="11286" width="3.42578125" style="84" customWidth="1"/>
    <col min="11287" max="11520" width="9.140625" style="84"/>
    <col min="11521" max="11521" width="3.140625" style="84" customWidth="1"/>
    <col min="11522" max="11522" width="3.42578125" style="84" customWidth="1"/>
    <col min="11523" max="11523" width="0" style="84" hidden="1" customWidth="1"/>
    <col min="11524" max="11524" width="23.5703125" style="84" customWidth="1"/>
    <col min="11525" max="11528" width="12" style="84" customWidth="1"/>
    <col min="11529" max="11530" width="14.42578125" style="84" customWidth="1"/>
    <col min="11531" max="11531" width="3.140625" style="84" customWidth="1"/>
    <col min="11532" max="11532" width="23.5703125" style="84" customWidth="1"/>
    <col min="11533" max="11533" width="15.5703125" style="84" customWidth="1"/>
    <col min="11534" max="11535" width="12" style="84" customWidth="1"/>
    <col min="11536" max="11536" width="17.42578125" style="84" customWidth="1"/>
    <col min="11537" max="11537" width="12" style="84" customWidth="1"/>
    <col min="11538" max="11539" width="14.42578125" style="84" customWidth="1"/>
    <col min="11540" max="11540" width="3.42578125" style="84" customWidth="1"/>
    <col min="11541" max="11541" width="12.5703125" style="84" customWidth="1"/>
    <col min="11542" max="11542" width="3.42578125" style="84" customWidth="1"/>
    <col min="11543" max="11776" width="9.140625" style="84"/>
    <col min="11777" max="11777" width="3.140625" style="84" customWidth="1"/>
    <col min="11778" max="11778" width="3.42578125" style="84" customWidth="1"/>
    <col min="11779" max="11779" width="0" style="84" hidden="1" customWidth="1"/>
    <col min="11780" max="11780" width="23.5703125" style="84" customWidth="1"/>
    <col min="11781" max="11784" width="12" style="84" customWidth="1"/>
    <col min="11785" max="11786" width="14.42578125" style="84" customWidth="1"/>
    <col min="11787" max="11787" width="3.140625" style="84" customWidth="1"/>
    <col min="11788" max="11788" width="23.5703125" style="84" customWidth="1"/>
    <col min="11789" max="11789" width="15.5703125" style="84" customWidth="1"/>
    <col min="11790" max="11791" width="12" style="84" customWidth="1"/>
    <col min="11792" max="11792" width="17.42578125" style="84" customWidth="1"/>
    <col min="11793" max="11793" width="12" style="84" customWidth="1"/>
    <col min="11794" max="11795" width="14.42578125" style="84" customWidth="1"/>
    <col min="11796" max="11796" width="3.42578125" style="84" customWidth="1"/>
    <col min="11797" max="11797" width="12.5703125" style="84" customWidth="1"/>
    <col min="11798" max="11798" width="3.42578125" style="84" customWidth="1"/>
    <col min="11799" max="12032" width="9.140625" style="84"/>
    <col min="12033" max="12033" width="3.140625" style="84" customWidth="1"/>
    <col min="12034" max="12034" width="3.42578125" style="84" customWidth="1"/>
    <col min="12035" max="12035" width="0" style="84" hidden="1" customWidth="1"/>
    <col min="12036" max="12036" width="23.5703125" style="84" customWidth="1"/>
    <col min="12037" max="12040" width="12" style="84" customWidth="1"/>
    <col min="12041" max="12042" width="14.42578125" style="84" customWidth="1"/>
    <col min="12043" max="12043" width="3.140625" style="84" customWidth="1"/>
    <col min="12044" max="12044" width="23.5703125" style="84" customWidth="1"/>
    <col min="12045" max="12045" width="15.5703125" style="84" customWidth="1"/>
    <col min="12046" max="12047" width="12" style="84" customWidth="1"/>
    <col min="12048" max="12048" width="17.42578125" style="84" customWidth="1"/>
    <col min="12049" max="12049" width="12" style="84" customWidth="1"/>
    <col min="12050" max="12051" width="14.42578125" style="84" customWidth="1"/>
    <col min="12052" max="12052" width="3.42578125" style="84" customWidth="1"/>
    <col min="12053" max="12053" width="12.5703125" style="84" customWidth="1"/>
    <col min="12054" max="12054" width="3.42578125" style="84" customWidth="1"/>
    <col min="12055" max="12288" width="9.140625" style="84"/>
    <col min="12289" max="12289" width="3.140625" style="84" customWidth="1"/>
    <col min="12290" max="12290" width="3.42578125" style="84" customWidth="1"/>
    <col min="12291" max="12291" width="0" style="84" hidden="1" customWidth="1"/>
    <col min="12292" max="12292" width="23.5703125" style="84" customWidth="1"/>
    <col min="12293" max="12296" width="12" style="84" customWidth="1"/>
    <col min="12297" max="12298" width="14.42578125" style="84" customWidth="1"/>
    <col min="12299" max="12299" width="3.140625" style="84" customWidth="1"/>
    <col min="12300" max="12300" width="23.5703125" style="84" customWidth="1"/>
    <col min="12301" max="12301" width="15.5703125" style="84" customWidth="1"/>
    <col min="12302" max="12303" width="12" style="84" customWidth="1"/>
    <col min="12304" max="12304" width="17.42578125" style="84" customWidth="1"/>
    <col min="12305" max="12305" width="12" style="84" customWidth="1"/>
    <col min="12306" max="12307" width="14.42578125" style="84" customWidth="1"/>
    <col min="12308" max="12308" width="3.42578125" style="84" customWidth="1"/>
    <col min="12309" max="12309" width="12.5703125" style="84" customWidth="1"/>
    <col min="12310" max="12310" width="3.42578125" style="84" customWidth="1"/>
    <col min="12311" max="12544" width="9.140625" style="84"/>
    <col min="12545" max="12545" width="3.140625" style="84" customWidth="1"/>
    <col min="12546" max="12546" width="3.42578125" style="84" customWidth="1"/>
    <col min="12547" max="12547" width="0" style="84" hidden="1" customWidth="1"/>
    <col min="12548" max="12548" width="23.5703125" style="84" customWidth="1"/>
    <col min="12549" max="12552" width="12" style="84" customWidth="1"/>
    <col min="12553" max="12554" width="14.42578125" style="84" customWidth="1"/>
    <col min="12555" max="12555" width="3.140625" style="84" customWidth="1"/>
    <col min="12556" max="12556" width="23.5703125" style="84" customWidth="1"/>
    <col min="12557" max="12557" width="15.5703125" style="84" customWidth="1"/>
    <col min="12558" max="12559" width="12" style="84" customWidth="1"/>
    <col min="12560" max="12560" width="17.42578125" style="84" customWidth="1"/>
    <col min="12561" max="12561" width="12" style="84" customWidth="1"/>
    <col min="12562" max="12563" width="14.42578125" style="84" customWidth="1"/>
    <col min="12564" max="12564" width="3.42578125" style="84" customWidth="1"/>
    <col min="12565" max="12565" width="12.5703125" style="84" customWidth="1"/>
    <col min="12566" max="12566" width="3.42578125" style="84" customWidth="1"/>
    <col min="12567" max="12800" width="9.140625" style="84"/>
    <col min="12801" max="12801" width="3.140625" style="84" customWidth="1"/>
    <col min="12802" max="12802" width="3.42578125" style="84" customWidth="1"/>
    <col min="12803" max="12803" width="0" style="84" hidden="1" customWidth="1"/>
    <col min="12804" max="12804" width="23.5703125" style="84" customWidth="1"/>
    <col min="12805" max="12808" width="12" style="84" customWidth="1"/>
    <col min="12809" max="12810" width="14.42578125" style="84" customWidth="1"/>
    <col min="12811" max="12811" width="3.140625" style="84" customWidth="1"/>
    <col min="12812" max="12812" width="23.5703125" style="84" customWidth="1"/>
    <col min="12813" max="12813" width="15.5703125" style="84" customWidth="1"/>
    <col min="12814" max="12815" width="12" style="84" customWidth="1"/>
    <col min="12816" max="12816" width="17.42578125" style="84" customWidth="1"/>
    <col min="12817" max="12817" width="12" style="84" customWidth="1"/>
    <col min="12818" max="12819" width="14.42578125" style="84" customWidth="1"/>
    <col min="12820" max="12820" width="3.42578125" style="84" customWidth="1"/>
    <col min="12821" max="12821" width="12.5703125" style="84" customWidth="1"/>
    <col min="12822" max="12822" width="3.42578125" style="84" customWidth="1"/>
    <col min="12823" max="13056" width="9.140625" style="84"/>
    <col min="13057" max="13057" width="3.140625" style="84" customWidth="1"/>
    <col min="13058" max="13058" width="3.42578125" style="84" customWidth="1"/>
    <col min="13059" max="13059" width="0" style="84" hidden="1" customWidth="1"/>
    <col min="13060" max="13060" width="23.5703125" style="84" customWidth="1"/>
    <col min="13061" max="13064" width="12" style="84" customWidth="1"/>
    <col min="13065" max="13066" width="14.42578125" style="84" customWidth="1"/>
    <col min="13067" max="13067" width="3.140625" style="84" customWidth="1"/>
    <col min="13068" max="13068" width="23.5703125" style="84" customWidth="1"/>
    <col min="13069" max="13069" width="15.5703125" style="84" customWidth="1"/>
    <col min="13070" max="13071" width="12" style="84" customWidth="1"/>
    <col min="13072" max="13072" width="17.42578125" style="84" customWidth="1"/>
    <col min="13073" max="13073" width="12" style="84" customWidth="1"/>
    <col min="13074" max="13075" width="14.42578125" style="84" customWidth="1"/>
    <col min="13076" max="13076" width="3.42578125" style="84" customWidth="1"/>
    <col min="13077" max="13077" width="12.5703125" style="84" customWidth="1"/>
    <col min="13078" max="13078" width="3.42578125" style="84" customWidth="1"/>
    <col min="13079" max="13312" width="9.140625" style="84"/>
    <col min="13313" max="13313" width="3.140625" style="84" customWidth="1"/>
    <col min="13314" max="13314" width="3.42578125" style="84" customWidth="1"/>
    <col min="13315" max="13315" width="0" style="84" hidden="1" customWidth="1"/>
    <col min="13316" max="13316" width="23.5703125" style="84" customWidth="1"/>
    <col min="13317" max="13320" width="12" style="84" customWidth="1"/>
    <col min="13321" max="13322" width="14.42578125" style="84" customWidth="1"/>
    <col min="13323" max="13323" width="3.140625" style="84" customWidth="1"/>
    <col min="13324" max="13324" width="23.5703125" style="84" customWidth="1"/>
    <col min="13325" max="13325" width="15.5703125" style="84" customWidth="1"/>
    <col min="13326" max="13327" width="12" style="84" customWidth="1"/>
    <col min="13328" max="13328" width="17.42578125" style="84" customWidth="1"/>
    <col min="13329" max="13329" width="12" style="84" customWidth="1"/>
    <col min="13330" max="13331" width="14.42578125" style="84" customWidth="1"/>
    <col min="13332" max="13332" width="3.42578125" style="84" customWidth="1"/>
    <col min="13333" max="13333" width="12.5703125" style="84" customWidth="1"/>
    <col min="13334" max="13334" width="3.42578125" style="84" customWidth="1"/>
    <col min="13335" max="13568" width="9.140625" style="84"/>
    <col min="13569" max="13569" width="3.140625" style="84" customWidth="1"/>
    <col min="13570" max="13570" width="3.42578125" style="84" customWidth="1"/>
    <col min="13571" max="13571" width="0" style="84" hidden="1" customWidth="1"/>
    <col min="13572" max="13572" width="23.5703125" style="84" customWidth="1"/>
    <col min="13573" max="13576" width="12" style="84" customWidth="1"/>
    <col min="13577" max="13578" width="14.42578125" style="84" customWidth="1"/>
    <col min="13579" max="13579" width="3.140625" style="84" customWidth="1"/>
    <col min="13580" max="13580" width="23.5703125" style="84" customWidth="1"/>
    <col min="13581" max="13581" width="15.5703125" style="84" customWidth="1"/>
    <col min="13582" max="13583" width="12" style="84" customWidth="1"/>
    <col min="13584" max="13584" width="17.42578125" style="84" customWidth="1"/>
    <col min="13585" max="13585" width="12" style="84" customWidth="1"/>
    <col min="13586" max="13587" width="14.42578125" style="84" customWidth="1"/>
    <col min="13588" max="13588" width="3.42578125" style="84" customWidth="1"/>
    <col min="13589" max="13589" width="12.5703125" style="84" customWidth="1"/>
    <col min="13590" max="13590" width="3.42578125" style="84" customWidth="1"/>
    <col min="13591" max="13824" width="9.140625" style="84"/>
    <col min="13825" max="13825" width="3.140625" style="84" customWidth="1"/>
    <col min="13826" max="13826" width="3.42578125" style="84" customWidth="1"/>
    <col min="13827" max="13827" width="0" style="84" hidden="1" customWidth="1"/>
    <col min="13828" max="13828" width="23.5703125" style="84" customWidth="1"/>
    <col min="13829" max="13832" width="12" style="84" customWidth="1"/>
    <col min="13833" max="13834" width="14.42578125" style="84" customWidth="1"/>
    <col min="13835" max="13835" width="3.140625" style="84" customWidth="1"/>
    <col min="13836" max="13836" width="23.5703125" style="84" customWidth="1"/>
    <col min="13837" max="13837" width="15.5703125" style="84" customWidth="1"/>
    <col min="13838" max="13839" width="12" style="84" customWidth="1"/>
    <col min="13840" max="13840" width="17.42578125" style="84" customWidth="1"/>
    <col min="13841" max="13841" width="12" style="84" customWidth="1"/>
    <col min="13842" max="13843" width="14.42578125" style="84" customWidth="1"/>
    <col min="13844" max="13844" width="3.42578125" style="84" customWidth="1"/>
    <col min="13845" max="13845" width="12.5703125" style="84" customWidth="1"/>
    <col min="13846" max="13846" width="3.42578125" style="84" customWidth="1"/>
    <col min="13847" max="14080" width="9.140625" style="84"/>
    <col min="14081" max="14081" width="3.140625" style="84" customWidth="1"/>
    <col min="14082" max="14082" width="3.42578125" style="84" customWidth="1"/>
    <col min="14083" max="14083" width="0" style="84" hidden="1" customWidth="1"/>
    <col min="14084" max="14084" width="23.5703125" style="84" customWidth="1"/>
    <col min="14085" max="14088" width="12" style="84" customWidth="1"/>
    <col min="14089" max="14090" width="14.42578125" style="84" customWidth="1"/>
    <col min="14091" max="14091" width="3.140625" style="84" customWidth="1"/>
    <col min="14092" max="14092" width="23.5703125" style="84" customWidth="1"/>
    <col min="14093" max="14093" width="15.5703125" style="84" customWidth="1"/>
    <col min="14094" max="14095" width="12" style="84" customWidth="1"/>
    <col min="14096" max="14096" width="17.42578125" style="84" customWidth="1"/>
    <col min="14097" max="14097" width="12" style="84" customWidth="1"/>
    <col min="14098" max="14099" width="14.42578125" style="84" customWidth="1"/>
    <col min="14100" max="14100" width="3.42578125" style="84" customWidth="1"/>
    <col min="14101" max="14101" width="12.5703125" style="84" customWidth="1"/>
    <col min="14102" max="14102" width="3.42578125" style="84" customWidth="1"/>
    <col min="14103" max="14336" width="9.140625" style="84"/>
    <col min="14337" max="14337" width="3.140625" style="84" customWidth="1"/>
    <col min="14338" max="14338" width="3.42578125" style="84" customWidth="1"/>
    <col min="14339" max="14339" width="0" style="84" hidden="1" customWidth="1"/>
    <col min="14340" max="14340" width="23.5703125" style="84" customWidth="1"/>
    <col min="14341" max="14344" width="12" style="84" customWidth="1"/>
    <col min="14345" max="14346" width="14.42578125" style="84" customWidth="1"/>
    <col min="14347" max="14347" width="3.140625" style="84" customWidth="1"/>
    <col min="14348" max="14348" width="23.5703125" style="84" customWidth="1"/>
    <col min="14349" max="14349" width="15.5703125" style="84" customWidth="1"/>
    <col min="14350" max="14351" width="12" style="84" customWidth="1"/>
    <col min="14352" max="14352" width="17.42578125" style="84" customWidth="1"/>
    <col min="14353" max="14353" width="12" style="84" customWidth="1"/>
    <col min="14354" max="14355" width="14.42578125" style="84" customWidth="1"/>
    <col min="14356" max="14356" width="3.42578125" style="84" customWidth="1"/>
    <col min="14357" max="14357" width="12.5703125" style="84" customWidth="1"/>
    <col min="14358" max="14358" width="3.42578125" style="84" customWidth="1"/>
    <col min="14359" max="14592" width="9.140625" style="84"/>
    <col min="14593" max="14593" width="3.140625" style="84" customWidth="1"/>
    <col min="14594" max="14594" width="3.42578125" style="84" customWidth="1"/>
    <col min="14595" max="14595" width="0" style="84" hidden="1" customWidth="1"/>
    <col min="14596" max="14596" width="23.5703125" style="84" customWidth="1"/>
    <col min="14597" max="14600" width="12" style="84" customWidth="1"/>
    <col min="14601" max="14602" width="14.42578125" style="84" customWidth="1"/>
    <col min="14603" max="14603" width="3.140625" style="84" customWidth="1"/>
    <col min="14604" max="14604" width="23.5703125" style="84" customWidth="1"/>
    <col min="14605" max="14605" width="15.5703125" style="84" customWidth="1"/>
    <col min="14606" max="14607" width="12" style="84" customWidth="1"/>
    <col min="14608" max="14608" width="17.42578125" style="84" customWidth="1"/>
    <col min="14609" max="14609" width="12" style="84" customWidth="1"/>
    <col min="14610" max="14611" width="14.42578125" style="84" customWidth="1"/>
    <col min="14612" max="14612" width="3.42578125" style="84" customWidth="1"/>
    <col min="14613" max="14613" width="12.5703125" style="84" customWidth="1"/>
    <col min="14614" max="14614" width="3.42578125" style="84" customWidth="1"/>
    <col min="14615" max="14848" width="9.140625" style="84"/>
    <col min="14849" max="14849" width="3.140625" style="84" customWidth="1"/>
    <col min="14850" max="14850" width="3.42578125" style="84" customWidth="1"/>
    <col min="14851" max="14851" width="0" style="84" hidden="1" customWidth="1"/>
    <col min="14852" max="14852" width="23.5703125" style="84" customWidth="1"/>
    <col min="14853" max="14856" width="12" style="84" customWidth="1"/>
    <col min="14857" max="14858" width="14.42578125" style="84" customWidth="1"/>
    <col min="14859" max="14859" width="3.140625" style="84" customWidth="1"/>
    <col min="14860" max="14860" width="23.5703125" style="84" customWidth="1"/>
    <col min="14861" max="14861" width="15.5703125" style="84" customWidth="1"/>
    <col min="14862" max="14863" width="12" style="84" customWidth="1"/>
    <col min="14864" max="14864" width="17.42578125" style="84" customWidth="1"/>
    <col min="14865" max="14865" width="12" style="84" customWidth="1"/>
    <col min="14866" max="14867" width="14.42578125" style="84" customWidth="1"/>
    <col min="14868" max="14868" width="3.42578125" style="84" customWidth="1"/>
    <col min="14869" max="14869" width="12.5703125" style="84" customWidth="1"/>
    <col min="14870" max="14870" width="3.42578125" style="84" customWidth="1"/>
    <col min="14871" max="15104" width="9.140625" style="84"/>
    <col min="15105" max="15105" width="3.140625" style="84" customWidth="1"/>
    <col min="15106" max="15106" width="3.42578125" style="84" customWidth="1"/>
    <col min="15107" max="15107" width="0" style="84" hidden="1" customWidth="1"/>
    <col min="15108" max="15108" width="23.5703125" style="84" customWidth="1"/>
    <col min="15109" max="15112" width="12" style="84" customWidth="1"/>
    <col min="15113" max="15114" width="14.42578125" style="84" customWidth="1"/>
    <col min="15115" max="15115" width="3.140625" style="84" customWidth="1"/>
    <col min="15116" max="15116" width="23.5703125" style="84" customWidth="1"/>
    <col min="15117" max="15117" width="15.5703125" style="84" customWidth="1"/>
    <col min="15118" max="15119" width="12" style="84" customWidth="1"/>
    <col min="15120" max="15120" width="17.42578125" style="84" customWidth="1"/>
    <col min="15121" max="15121" width="12" style="84" customWidth="1"/>
    <col min="15122" max="15123" width="14.42578125" style="84" customWidth="1"/>
    <col min="15124" max="15124" width="3.42578125" style="84" customWidth="1"/>
    <col min="15125" max="15125" width="12.5703125" style="84" customWidth="1"/>
    <col min="15126" max="15126" width="3.42578125" style="84" customWidth="1"/>
    <col min="15127" max="15360" width="9.140625" style="84"/>
    <col min="15361" max="15361" width="3.140625" style="84" customWidth="1"/>
    <col min="15362" max="15362" width="3.42578125" style="84" customWidth="1"/>
    <col min="15363" max="15363" width="0" style="84" hidden="1" customWidth="1"/>
    <col min="15364" max="15364" width="23.5703125" style="84" customWidth="1"/>
    <col min="15365" max="15368" width="12" style="84" customWidth="1"/>
    <col min="15369" max="15370" width="14.42578125" style="84" customWidth="1"/>
    <col min="15371" max="15371" width="3.140625" style="84" customWidth="1"/>
    <col min="15372" max="15372" width="23.5703125" style="84" customWidth="1"/>
    <col min="15373" max="15373" width="15.5703125" style="84" customWidth="1"/>
    <col min="15374" max="15375" width="12" style="84" customWidth="1"/>
    <col min="15376" max="15376" width="17.42578125" style="84" customWidth="1"/>
    <col min="15377" max="15377" width="12" style="84" customWidth="1"/>
    <col min="15378" max="15379" width="14.42578125" style="84" customWidth="1"/>
    <col min="15380" max="15380" width="3.42578125" style="84" customWidth="1"/>
    <col min="15381" max="15381" width="12.5703125" style="84" customWidth="1"/>
    <col min="15382" max="15382" width="3.42578125" style="84" customWidth="1"/>
    <col min="15383" max="15616" width="9.140625" style="84"/>
    <col min="15617" max="15617" width="3.140625" style="84" customWidth="1"/>
    <col min="15618" max="15618" width="3.42578125" style="84" customWidth="1"/>
    <col min="15619" max="15619" width="0" style="84" hidden="1" customWidth="1"/>
    <col min="15620" max="15620" width="23.5703125" style="84" customWidth="1"/>
    <col min="15621" max="15624" width="12" style="84" customWidth="1"/>
    <col min="15625" max="15626" width="14.42578125" style="84" customWidth="1"/>
    <col min="15627" max="15627" width="3.140625" style="84" customWidth="1"/>
    <col min="15628" max="15628" width="23.5703125" style="84" customWidth="1"/>
    <col min="15629" max="15629" width="15.5703125" style="84" customWidth="1"/>
    <col min="15630" max="15631" width="12" style="84" customWidth="1"/>
    <col min="15632" max="15632" width="17.42578125" style="84" customWidth="1"/>
    <col min="15633" max="15633" width="12" style="84" customWidth="1"/>
    <col min="15634" max="15635" width="14.42578125" style="84" customWidth="1"/>
    <col min="15636" max="15636" width="3.42578125" style="84" customWidth="1"/>
    <col min="15637" max="15637" width="12.5703125" style="84" customWidth="1"/>
    <col min="15638" max="15638" width="3.42578125" style="84" customWidth="1"/>
    <col min="15639" max="15872" width="9.140625" style="84"/>
    <col min="15873" max="15873" width="3.140625" style="84" customWidth="1"/>
    <col min="15874" max="15874" width="3.42578125" style="84" customWidth="1"/>
    <col min="15875" max="15875" width="0" style="84" hidden="1" customWidth="1"/>
    <col min="15876" max="15876" width="23.5703125" style="84" customWidth="1"/>
    <col min="15877" max="15880" width="12" style="84" customWidth="1"/>
    <col min="15881" max="15882" width="14.42578125" style="84" customWidth="1"/>
    <col min="15883" max="15883" width="3.140625" style="84" customWidth="1"/>
    <col min="15884" max="15884" width="23.5703125" style="84" customWidth="1"/>
    <col min="15885" max="15885" width="15.5703125" style="84" customWidth="1"/>
    <col min="15886" max="15887" width="12" style="84" customWidth="1"/>
    <col min="15888" max="15888" width="17.42578125" style="84" customWidth="1"/>
    <col min="15889" max="15889" width="12" style="84" customWidth="1"/>
    <col min="15890" max="15891" width="14.42578125" style="84" customWidth="1"/>
    <col min="15892" max="15892" width="3.42578125" style="84" customWidth="1"/>
    <col min="15893" max="15893" width="12.5703125" style="84" customWidth="1"/>
    <col min="15894" max="15894" width="3.42578125" style="84" customWidth="1"/>
    <col min="15895" max="16128" width="9.140625" style="84"/>
    <col min="16129" max="16129" width="3.140625" style="84" customWidth="1"/>
    <col min="16130" max="16130" width="3.42578125" style="84" customWidth="1"/>
    <col min="16131" max="16131" width="0" style="84" hidden="1" customWidth="1"/>
    <col min="16132" max="16132" width="23.5703125" style="84" customWidth="1"/>
    <col min="16133" max="16136" width="12" style="84" customWidth="1"/>
    <col min="16137" max="16138" width="14.42578125" style="84" customWidth="1"/>
    <col min="16139" max="16139" width="3.140625" style="84" customWidth="1"/>
    <col min="16140" max="16140" width="23.5703125" style="84" customWidth="1"/>
    <col min="16141" max="16141" width="15.5703125" style="84" customWidth="1"/>
    <col min="16142" max="16143" width="12" style="84" customWidth="1"/>
    <col min="16144" max="16144" width="17.42578125" style="84" customWidth="1"/>
    <col min="16145" max="16145" width="12" style="84" customWidth="1"/>
    <col min="16146" max="16147" width="14.42578125" style="84" customWidth="1"/>
    <col min="16148" max="16148" width="3.42578125" style="84" customWidth="1"/>
    <col min="16149" max="16149" width="12.5703125" style="84" customWidth="1"/>
    <col min="16150" max="16150" width="3.42578125" style="84" customWidth="1"/>
    <col min="16151" max="16384" width="9.140625" style="84"/>
  </cols>
  <sheetData>
    <row r="3" spans="3:21" s="89" customFormat="1" ht="18">
      <c r="C3" s="88"/>
      <c r="D3" s="198" t="s">
        <v>536</v>
      </c>
      <c r="E3" s="199"/>
      <c r="F3" s="199"/>
      <c r="G3" s="199"/>
      <c r="H3" s="199"/>
      <c r="I3" s="199"/>
      <c r="J3" s="199"/>
      <c r="K3" s="200"/>
    </row>
    <row r="4" spans="3:21">
      <c r="C4" s="90"/>
      <c r="D4" s="201" t="s">
        <v>667</v>
      </c>
      <c r="E4" s="90"/>
      <c r="F4" s="90"/>
      <c r="G4" s="90"/>
      <c r="H4" s="90"/>
      <c r="I4" s="90"/>
      <c r="J4" s="90"/>
      <c r="K4" s="91"/>
    </row>
    <row r="5" spans="3:21">
      <c r="C5" s="90"/>
      <c r="D5" s="202" t="s">
        <v>668</v>
      </c>
      <c r="E5" s="90"/>
      <c r="F5" s="90"/>
      <c r="G5" s="90"/>
      <c r="H5" s="90"/>
      <c r="I5" s="90"/>
      <c r="J5" s="90"/>
      <c r="K5" s="91"/>
    </row>
    <row r="6" spans="3:21">
      <c r="C6" s="90"/>
      <c r="D6" s="202" t="s">
        <v>669</v>
      </c>
      <c r="E6" s="203"/>
      <c r="F6" s="90"/>
      <c r="G6" s="90"/>
      <c r="H6" s="90"/>
      <c r="I6" s="90"/>
      <c r="J6" s="90"/>
      <c r="K6" s="91"/>
    </row>
    <row r="7" spans="3:21">
      <c r="C7" s="90"/>
      <c r="D7" s="202" t="s">
        <v>670</v>
      </c>
      <c r="E7" s="90"/>
      <c r="F7" s="90"/>
      <c r="G7" s="204"/>
      <c r="H7" s="205"/>
      <c r="I7" s="204"/>
      <c r="J7" s="90"/>
      <c r="K7" s="91"/>
    </row>
    <row r="8" spans="3:21">
      <c r="C8" s="90"/>
      <c r="D8" s="778" t="s">
        <v>537</v>
      </c>
      <c r="E8" s="779"/>
      <c r="F8" s="779"/>
      <c r="G8" s="779"/>
      <c r="H8" s="779"/>
      <c r="I8" s="779"/>
      <c r="J8" s="779"/>
      <c r="K8" s="780"/>
    </row>
    <row r="9" spans="3:21">
      <c r="C9" s="90"/>
      <c r="D9" s="778"/>
      <c r="E9" s="779"/>
      <c r="F9" s="779"/>
      <c r="G9" s="779"/>
      <c r="H9" s="779"/>
      <c r="I9" s="779"/>
      <c r="J9" s="779"/>
      <c r="K9" s="780"/>
    </row>
    <row r="10" spans="3:21" ht="15.75" thickBot="1">
      <c r="C10" s="92"/>
      <c r="D10" s="206"/>
      <c r="E10" s="92"/>
      <c r="F10" s="92"/>
      <c r="G10" s="93"/>
      <c r="H10" s="94"/>
      <c r="I10" s="93"/>
      <c r="J10" s="92"/>
      <c r="K10" s="95"/>
    </row>
    <row r="11" spans="3:21" ht="15.75" thickBot="1">
      <c r="D11" s="96"/>
    </row>
    <row r="12" spans="3:21" ht="15.75" thickBot="1">
      <c r="C12" s="86"/>
      <c r="D12" s="85"/>
      <c r="E12" s="86"/>
      <c r="F12" s="86"/>
      <c r="G12" s="86"/>
      <c r="H12" s="224"/>
      <c r="I12" s="86"/>
      <c r="J12" s="86"/>
      <c r="K12" s="86"/>
      <c r="L12" s="86"/>
      <c r="M12" s="86"/>
      <c r="N12" s="86"/>
      <c r="O12" s="86"/>
      <c r="P12" s="86"/>
      <c r="Q12" s="86"/>
      <c r="R12" s="86"/>
      <c r="S12" s="86"/>
      <c r="T12" s="86"/>
      <c r="U12" s="87"/>
    </row>
    <row r="13" spans="3:21" ht="13.5" hidden="1" customHeight="1">
      <c r="C13" s="90"/>
      <c r="D13" s="202" t="s">
        <v>538</v>
      </c>
      <c r="E13" s="203"/>
      <c r="F13" s="203"/>
      <c r="G13" s="203"/>
      <c r="H13" s="203"/>
      <c r="I13" s="203"/>
      <c r="J13" s="209"/>
      <c r="K13" s="90"/>
      <c r="L13" s="210" t="s">
        <v>539</v>
      </c>
      <c r="M13" s="203"/>
      <c r="N13" s="203"/>
      <c r="O13" s="203"/>
      <c r="P13" s="203"/>
      <c r="Q13" s="90"/>
      <c r="R13" s="90"/>
      <c r="S13" s="209"/>
      <c r="T13" s="90"/>
      <c r="U13" s="91"/>
    </row>
    <row r="14" spans="3:21" ht="15.75" hidden="1" thickBot="1">
      <c r="C14" s="90"/>
      <c r="D14" s="202"/>
      <c r="E14" s="203"/>
      <c r="F14" s="203"/>
      <c r="G14" s="203"/>
      <c r="H14" s="203"/>
      <c r="I14" s="207"/>
      <c r="J14" s="211"/>
      <c r="K14" s="90"/>
      <c r="L14" s="210"/>
      <c r="M14" s="203"/>
      <c r="N14" s="203"/>
      <c r="O14" s="203"/>
      <c r="P14" s="203"/>
      <c r="Q14" s="203"/>
      <c r="R14" s="203"/>
      <c r="S14" s="207"/>
      <c r="T14" s="90"/>
      <c r="U14" s="91"/>
    </row>
    <row r="15" spans="3:21" ht="35.25" thickBot="1">
      <c r="C15" s="90"/>
      <c r="D15" s="97" t="s">
        <v>336</v>
      </c>
      <c r="E15" s="98" t="s">
        <v>540</v>
      </c>
      <c r="F15" s="98" t="s">
        <v>541</v>
      </c>
      <c r="G15" s="98" t="s">
        <v>542</v>
      </c>
      <c r="H15" s="98" t="s">
        <v>543</v>
      </c>
      <c r="I15" s="99" t="s">
        <v>544</v>
      </c>
      <c r="J15" s="100" t="s">
        <v>545</v>
      </c>
      <c r="K15" s="90"/>
      <c r="L15" s="97" t="s">
        <v>336</v>
      </c>
      <c r="M15" s="101" t="s">
        <v>546</v>
      </c>
      <c r="N15" s="98" t="s">
        <v>540</v>
      </c>
      <c r="O15" s="98" t="s">
        <v>541</v>
      </c>
      <c r="P15" s="98" t="s">
        <v>542</v>
      </c>
      <c r="Q15" s="98" t="s">
        <v>543</v>
      </c>
      <c r="R15" s="99" t="s">
        <v>544</v>
      </c>
      <c r="S15" s="100" t="s">
        <v>545</v>
      </c>
      <c r="T15" s="90"/>
      <c r="U15" s="102" t="s">
        <v>547</v>
      </c>
    </row>
    <row r="16" spans="3:21">
      <c r="C16" s="103">
        <v>1</v>
      </c>
      <c r="D16" s="104" t="s">
        <v>548</v>
      </c>
      <c r="E16" s="20">
        <v>0</v>
      </c>
      <c r="F16" s="20">
        <v>1</v>
      </c>
      <c r="G16" s="20">
        <v>0</v>
      </c>
      <c r="H16" s="20" t="s">
        <v>549</v>
      </c>
      <c r="I16" s="20" t="s">
        <v>549</v>
      </c>
      <c r="J16" s="21">
        <v>0.18162984857485934</v>
      </c>
      <c r="K16" s="90"/>
      <c r="L16" s="104" t="s">
        <v>548</v>
      </c>
      <c r="M16" s="20">
        <v>0</v>
      </c>
      <c r="N16" s="20">
        <v>1</v>
      </c>
      <c r="O16" s="20">
        <v>0</v>
      </c>
      <c r="P16" s="20">
        <v>0</v>
      </c>
      <c r="Q16" s="20" t="s">
        <v>549</v>
      </c>
      <c r="R16" s="20" t="s">
        <v>549</v>
      </c>
      <c r="S16" s="21">
        <v>-3.1353369086789917</v>
      </c>
      <c r="T16" s="212"/>
      <c r="U16" s="22">
        <v>-3.316966757253851</v>
      </c>
    </row>
    <row r="17" spans="3:21">
      <c r="C17" s="103">
        <v>2</v>
      </c>
      <c r="D17" s="105" t="s">
        <v>293</v>
      </c>
      <c r="E17" s="23">
        <v>0</v>
      </c>
      <c r="F17" s="23">
        <v>1</v>
      </c>
      <c r="G17" s="23">
        <v>0</v>
      </c>
      <c r="H17" s="23" t="s">
        <v>549</v>
      </c>
      <c r="I17" s="23" t="s">
        <v>549</v>
      </c>
      <c r="J17" s="24">
        <v>1.1338746968208027</v>
      </c>
      <c r="K17" s="90"/>
      <c r="L17" s="105" t="s">
        <v>293</v>
      </c>
      <c r="M17" s="23">
        <v>0</v>
      </c>
      <c r="N17" s="23">
        <v>1</v>
      </c>
      <c r="O17" s="23">
        <v>0</v>
      </c>
      <c r="P17" s="23">
        <v>0</v>
      </c>
      <c r="Q17" s="23" t="s">
        <v>549</v>
      </c>
      <c r="R17" s="23" t="s">
        <v>549</v>
      </c>
      <c r="S17" s="24">
        <v>-2.8637458899895774</v>
      </c>
      <c r="T17" s="212"/>
      <c r="U17" s="22">
        <v>-3.9976205868103802</v>
      </c>
    </row>
    <row r="18" spans="3:21">
      <c r="C18" s="103">
        <v>3</v>
      </c>
      <c r="D18" s="105" t="s">
        <v>550</v>
      </c>
      <c r="E18" s="23">
        <v>0</v>
      </c>
      <c r="F18" s="23">
        <v>1</v>
      </c>
      <c r="G18" s="23">
        <v>0</v>
      </c>
      <c r="H18" s="23" t="s">
        <v>549</v>
      </c>
      <c r="I18" s="23" t="s">
        <v>549</v>
      </c>
      <c r="J18" s="24">
        <v>7.470296200674445E-2</v>
      </c>
      <c r="K18" s="90"/>
      <c r="L18" s="105" t="s">
        <v>550</v>
      </c>
      <c r="M18" s="23">
        <v>0</v>
      </c>
      <c r="N18" s="23">
        <v>1</v>
      </c>
      <c r="O18" s="23">
        <v>0</v>
      </c>
      <c r="P18" s="23">
        <v>0</v>
      </c>
      <c r="Q18" s="23" t="s">
        <v>549</v>
      </c>
      <c r="R18" s="23" t="s">
        <v>549</v>
      </c>
      <c r="S18" s="24">
        <v>-3.5455235990647034</v>
      </c>
      <c r="T18" s="212"/>
      <c r="U18" s="22">
        <v>-3.6202265610714477</v>
      </c>
    </row>
    <row r="19" spans="3:21">
      <c r="C19" s="103">
        <v>4</v>
      </c>
      <c r="D19" s="105" t="s">
        <v>551</v>
      </c>
      <c r="E19" s="23" t="s">
        <v>549</v>
      </c>
      <c r="F19" s="23">
        <v>1</v>
      </c>
      <c r="G19" s="23">
        <v>0</v>
      </c>
      <c r="H19" s="23">
        <v>0</v>
      </c>
      <c r="I19" s="23">
        <v>0</v>
      </c>
      <c r="J19" s="24">
        <v>-0.20051974151841304</v>
      </c>
      <c r="K19" s="90"/>
      <c r="L19" s="105" t="s">
        <v>551</v>
      </c>
      <c r="M19" s="23" t="s">
        <v>549</v>
      </c>
      <c r="N19" s="23" t="s">
        <v>549</v>
      </c>
      <c r="O19" s="23">
        <v>0</v>
      </c>
      <c r="P19" s="23">
        <v>0</v>
      </c>
      <c r="Q19" s="23">
        <v>1</v>
      </c>
      <c r="R19" s="23">
        <v>0</v>
      </c>
      <c r="S19" s="24">
        <v>-0.10590613724308875</v>
      </c>
      <c r="T19" s="212"/>
      <c r="U19" s="22">
        <v>9.4613604275324281E-2</v>
      </c>
    </row>
    <row r="20" spans="3:21">
      <c r="C20" s="103">
        <v>5</v>
      </c>
      <c r="D20" s="105" t="s">
        <v>552</v>
      </c>
      <c r="E20" s="23" t="s">
        <v>549</v>
      </c>
      <c r="F20" s="23">
        <v>1</v>
      </c>
      <c r="G20" s="23">
        <v>0</v>
      </c>
      <c r="H20" s="23">
        <v>0</v>
      </c>
      <c r="I20" s="23">
        <v>0</v>
      </c>
      <c r="J20" s="24">
        <v>0.1157487405734986</v>
      </c>
      <c r="K20" s="90"/>
      <c r="L20" s="105" t="s">
        <v>552</v>
      </c>
      <c r="M20" s="23" t="s">
        <v>549</v>
      </c>
      <c r="N20" s="23" t="s">
        <v>549</v>
      </c>
      <c r="O20" s="23">
        <v>0</v>
      </c>
      <c r="P20" s="23">
        <v>0</v>
      </c>
      <c r="Q20" s="23">
        <v>1</v>
      </c>
      <c r="R20" s="23">
        <v>0</v>
      </c>
      <c r="S20" s="24">
        <v>-0.10590613724308875</v>
      </c>
      <c r="T20" s="212"/>
      <c r="U20" s="22">
        <v>-0.22165487781658735</v>
      </c>
    </row>
    <row r="21" spans="3:21">
      <c r="C21" s="103">
        <v>6</v>
      </c>
      <c r="D21" s="105" t="s">
        <v>553</v>
      </c>
      <c r="E21" s="23" t="s">
        <v>549</v>
      </c>
      <c r="F21" s="23">
        <v>1</v>
      </c>
      <c r="G21" s="23">
        <v>0</v>
      </c>
      <c r="H21" s="23">
        <v>0</v>
      </c>
      <c r="I21" s="23">
        <v>0</v>
      </c>
      <c r="J21" s="24">
        <v>-0.53386292841973804</v>
      </c>
      <c r="K21" s="90"/>
      <c r="L21" s="105" t="s">
        <v>553</v>
      </c>
      <c r="M21" s="23" t="s">
        <v>549</v>
      </c>
      <c r="N21" s="23" t="s">
        <v>549</v>
      </c>
      <c r="O21" s="23">
        <v>0</v>
      </c>
      <c r="P21" s="23">
        <v>0</v>
      </c>
      <c r="Q21" s="23">
        <v>1</v>
      </c>
      <c r="R21" s="23">
        <v>0</v>
      </c>
      <c r="S21" s="24">
        <v>-0.10590613724308875</v>
      </c>
      <c r="T21" s="212"/>
      <c r="U21" s="22">
        <v>0.42795679117664887</v>
      </c>
    </row>
    <row r="22" spans="3:21">
      <c r="C22" s="103">
        <v>7</v>
      </c>
      <c r="D22" s="105" t="s">
        <v>554</v>
      </c>
      <c r="E22" s="23" t="s">
        <v>549</v>
      </c>
      <c r="F22" s="23">
        <v>1</v>
      </c>
      <c r="G22" s="23">
        <v>0</v>
      </c>
      <c r="H22" s="23">
        <v>0</v>
      </c>
      <c r="I22" s="23">
        <v>0</v>
      </c>
      <c r="J22" s="24">
        <v>-0.53606258783504601</v>
      </c>
      <c r="K22" s="90"/>
      <c r="L22" s="105" t="s">
        <v>554</v>
      </c>
      <c r="M22" s="23" t="s">
        <v>549</v>
      </c>
      <c r="N22" s="23" t="s">
        <v>549</v>
      </c>
      <c r="O22" s="23">
        <v>0</v>
      </c>
      <c r="P22" s="23">
        <v>0</v>
      </c>
      <c r="Q22" s="23">
        <v>1</v>
      </c>
      <c r="R22" s="23">
        <v>0</v>
      </c>
      <c r="S22" s="24">
        <v>-0.10590613724308875</v>
      </c>
      <c r="T22" s="212"/>
      <c r="U22" s="22">
        <v>0.43015645059195728</v>
      </c>
    </row>
    <row r="23" spans="3:21">
      <c r="C23" s="103">
        <v>8</v>
      </c>
      <c r="D23" s="105" t="s">
        <v>555</v>
      </c>
      <c r="E23" s="23">
        <v>0</v>
      </c>
      <c r="F23" s="23">
        <v>1</v>
      </c>
      <c r="G23" s="23">
        <v>0</v>
      </c>
      <c r="H23" s="23" t="s">
        <v>549</v>
      </c>
      <c r="I23" s="23" t="s">
        <v>549</v>
      </c>
      <c r="J23" s="24">
        <v>2.0254519141196047E-2</v>
      </c>
      <c r="K23" s="90"/>
      <c r="L23" s="105" t="s">
        <v>555</v>
      </c>
      <c r="M23" s="23">
        <v>0</v>
      </c>
      <c r="N23" s="23">
        <v>1</v>
      </c>
      <c r="O23" s="23">
        <v>0</v>
      </c>
      <c r="P23" s="23">
        <v>0</v>
      </c>
      <c r="Q23" s="23" t="s">
        <v>549</v>
      </c>
      <c r="R23" s="23" t="s">
        <v>549</v>
      </c>
      <c r="S23" s="24">
        <v>-0.75845019481932519</v>
      </c>
      <c r="T23" s="212"/>
      <c r="U23" s="22">
        <v>-0.77870471396052121</v>
      </c>
    </row>
    <row r="24" spans="3:21">
      <c r="C24" s="103">
        <v>9</v>
      </c>
      <c r="D24" s="105" t="s">
        <v>556</v>
      </c>
      <c r="E24" s="23">
        <v>0</v>
      </c>
      <c r="F24" s="23">
        <v>1</v>
      </c>
      <c r="G24" s="23">
        <v>0</v>
      </c>
      <c r="H24" s="23" t="s">
        <v>549</v>
      </c>
      <c r="I24" s="23" t="s">
        <v>549</v>
      </c>
      <c r="J24" s="24">
        <v>2.0254519141196047E-2</v>
      </c>
      <c r="K24" s="90"/>
      <c r="L24" s="105" t="s">
        <v>556</v>
      </c>
      <c r="M24" s="23">
        <v>0</v>
      </c>
      <c r="N24" s="23">
        <v>1</v>
      </c>
      <c r="O24" s="23">
        <v>0</v>
      </c>
      <c r="P24" s="23">
        <v>0</v>
      </c>
      <c r="Q24" s="23" t="s">
        <v>549</v>
      </c>
      <c r="R24" s="23" t="s">
        <v>549</v>
      </c>
      <c r="S24" s="24">
        <v>-1.0357206316437553</v>
      </c>
      <c r="T24" s="212"/>
      <c r="U24" s="22">
        <v>-1.0559751507849513</v>
      </c>
    </row>
    <row r="25" spans="3:21">
      <c r="C25" s="103">
        <v>10</v>
      </c>
      <c r="D25" s="105" t="s">
        <v>557</v>
      </c>
      <c r="E25" s="23">
        <v>0</v>
      </c>
      <c r="F25" s="23">
        <v>1</v>
      </c>
      <c r="G25" s="23">
        <v>0</v>
      </c>
      <c r="H25" s="23" t="s">
        <v>549</v>
      </c>
      <c r="I25" s="23" t="s">
        <v>549</v>
      </c>
      <c r="J25" s="24">
        <v>2.0254519141196047E-2</v>
      </c>
      <c r="K25" s="90"/>
      <c r="L25" s="105" t="s">
        <v>557</v>
      </c>
      <c r="M25" s="23">
        <v>0</v>
      </c>
      <c r="N25" s="23">
        <v>1</v>
      </c>
      <c r="O25" s="23">
        <v>0</v>
      </c>
      <c r="P25" s="23">
        <v>0</v>
      </c>
      <c r="Q25" s="23" t="s">
        <v>549</v>
      </c>
      <c r="R25" s="23" t="s">
        <v>549</v>
      </c>
      <c r="S25" s="24">
        <v>-0.79374839120334784</v>
      </c>
      <c r="T25" s="212"/>
      <c r="U25" s="22">
        <v>-0.81400291034454386</v>
      </c>
    </row>
    <row r="26" spans="3:21">
      <c r="C26" s="103">
        <v>11</v>
      </c>
      <c r="D26" s="105" t="s">
        <v>501</v>
      </c>
      <c r="E26" s="23">
        <v>0</v>
      </c>
      <c r="F26" s="23">
        <v>1</v>
      </c>
      <c r="G26" s="23">
        <v>0</v>
      </c>
      <c r="H26" s="23" t="s">
        <v>549</v>
      </c>
      <c r="I26" s="23" t="s">
        <v>549</v>
      </c>
      <c r="J26" s="24">
        <v>2.0254519141196047E-2</v>
      </c>
      <c r="K26" s="90"/>
      <c r="L26" s="105" t="s">
        <v>501</v>
      </c>
      <c r="M26" s="23">
        <v>0</v>
      </c>
      <c r="N26" s="23">
        <v>1</v>
      </c>
      <c r="O26" s="23">
        <v>0</v>
      </c>
      <c r="P26" s="23">
        <v>0</v>
      </c>
      <c r="Q26" s="23" t="s">
        <v>549</v>
      </c>
      <c r="R26" s="23" t="s">
        <v>549</v>
      </c>
      <c r="S26" s="24">
        <v>-0.92552340675199463</v>
      </c>
      <c r="T26" s="212"/>
      <c r="U26" s="22">
        <v>-0.94577792589319065</v>
      </c>
    </row>
    <row r="27" spans="3:21">
      <c r="C27" s="103">
        <v>12</v>
      </c>
      <c r="D27" s="105" t="s">
        <v>558</v>
      </c>
      <c r="E27" s="23" t="s">
        <v>549</v>
      </c>
      <c r="F27" s="23">
        <v>1</v>
      </c>
      <c r="G27" s="23">
        <v>0</v>
      </c>
      <c r="H27" s="23">
        <v>0</v>
      </c>
      <c r="I27" s="23" t="s">
        <v>549</v>
      </c>
      <c r="J27" s="24">
        <v>-1.6426151092788039</v>
      </c>
      <c r="K27" s="90"/>
      <c r="L27" s="105" t="s">
        <v>558</v>
      </c>
      <c r="M27" s="23">
        <v>0</v>
      </c>
      <c r="N27" s="23" t="s">
        <v>549</v>
      </c>
      <c r="O27" s="23">
        <v>0</v>
      </c>
      <c r="P27" s="23">
        <v>0</v>
      </c>
      <c r="Q27" s="23">
        <v>1</v>
      </c>
      <c r="R27" s="23" t="s">
        <v>549</v>
      </c>
      <c r="S27" s="24">
        <v>-0.13040739388077993</v>
      </c>
      <c r="T27" s="212"/>
      <c r="U27" s="22">
        <v>1.512207715398024</v>
      </c>
    </row>
    <row r="28" spans="3:21">
      <c r="C28" s="103">
        <v>13</v>
      </c>
      <c r="D28" s="105" t="s">
        <v>502</v>
      </c>
      <c r="E28" s="23">
        <v>0</v>
      </c>
      <c r="F28" s="23">
        <v>1</v>
      </c>
      <c r="G28" s="23">
        <v>0</v>
      </c>
      <c r="H28" s="23" t="s">
        <v>549</v>
      </c>
      <c r="I28" s="23" t="s">
        <v>549</v>
      </c>
      <c r="J28" s="24">
        <v>2.0254519141196047E-2</v>
      </c>
      <c r="K28" s="90"/>
      <c r="L28" s="105" t="s">
        <v>502</v>
      </c>
      <c r="M28" s="23">
        <v>0</v>
      </c>
      <c r="N28" s="23">
        <v>1</v>
      </c>
      <c r="O28" s="23">
        <v>0</v>
      </c>
      <c r="P28" s="23">
        <v>0</v>
      </c>
      <c r="Q28" s="23" t="s">
        <v>549</v>
      </c>
      <c r="R28" s="23" t="s">
        <v>549</v>
      </c>
      <c r="S28" s="24">
        <v>-0.9038615759580324</v>
      </c>
      <c r="T28" s="212"/>
      <c r="U28" s="22">
        <v>-0.92411609509922843</v>
      </c>
    </row>
    <row r="29" spans="3:21">
      <c r="C29" s="103">
        <v>14</v>
      </c>
      <c r="D29" s="105" t="s">
        <v>303</v>
      </c>
      <c r="E29" s="23">
        <v>0</v>
      </c>
      <c r="F29" s="23">
        <v>1</v>
      </c>
      <c r="G29" s="23">
        <v>0</v>
      </c>
      <c r="H29" s="23" t="s">
        <v>549</v>
      </c>
      <c r="I29" s="23" t="s">
        <v>549</v>
      </c>
      <c r="J29" s="24">
        <v>2.0254519141196047E-2</v>
      </c>
      <c r="K29" s="90"/>
      <c r="L29" s="105" t="s">
        <v>303</v>
      </c>
      <c r="M29" s="23">
        <v>0</v>
      </c>
      <c r="N29" s="23">
        <v>1</v>
      </c>
      <c r="O29" s="23">
        <v>0</v>
      </c>
      <c r="P29" s="23">
        <v>0</v>
      </c>
      <c r="Q29" s="23" t="s">
        <v>549</v>
      </c>
      <c r="R29" s="23" t="s">
        <v>549</v>
      </c>
      <c r="S29" s="24">
        <v>-9.1273781621056216</v>
      </c>
      <c r="T29" s="212"/>
      <c r="U29" s="22">
        <v>-9.1476326812468169</v>
      </c>
    </row>
    <row r="30" spans="3:21">
      <c r="C30" s="103">
        <v>15</v>
      </c>
      <c r="D30" s="105" t="s">
        <v>559</v>
      </c>
      <c r="E30" s="23">
        <v>0</v>
      </c>
      <c r="F30" s="23">
        <v>1</v>
      </c>
      <c r="G30" s="23">
        <v>0</v>
      </c>
      <c r="H30" s="23" t="s">
        <v>549</v>
      </c>
      <c r="I30" s="23" t="s">
        <v>549</v>
      </c>
      <c r="J30" s="24">
        <v>2.0254519141196047E-2</v>
      </c>
      <c r="K30" s="90"/>
      <c r="L30" s="105" t="s">
        <v>559</v>
      </c>
      <c r="M30" s="23">
        <v>0</v>
      </c>
      <c r="N30" s="23">
        <v>1</v>
      </c>
      <c r="O30" s="23">
        <v>0</v>
      </c>
      <c r="P30" s="23">
        <v>0</v>
      </c>
      <c r="Q30" s="23" t="s">
        <v>549</v>
      </c>
      <c r="R30" s="23" t="s">
        <v>549</v>
      </c>
      <c r="S30" s="24">
        <v>-1.8320754180112897</v>
      </c>
      <c r="T30" s="212"/>
      <c r="U30" s="22">
        <v>-1.8523299371524857</v>
      </c>
    </row>
    <row r="31" spans="3:21">
      <c r="C31" s="103">
        <v>16</v>
      </c>
      <c r="D31" s="105" t="s">
        <v>560</v>
      </c>
      <c r="E31" s="23">
        <v>0</v>
      </c>
      <c r="F31" s="23">
        <v>1</v>
      </c>
      <c r="G31" s="23">
        <v>0</v>
      </c>
      <c r="H31" s="23" t="s">
        <v>549</v>
      </c>
      <c r="I31" s="23" t="s">
        <v>549</v>
      </c>
      <c r="J31" s="24">
        <v>2.0254519141196047E-2</v>
      </c>
      <c r="K31" s="90"/>
      <c r="L31" s="105" t="s">
        <v>560</v>
      </c>
      <c r="M31" s="23">
        <v>0</v>
      </c>
      <c r="N31" s="23">
        <v>1</v>
      </c>
      <c r="O31" s="23">
        <v>0</v>
      </c>
      <c r="P31" s="23">
        <v>0</v>
      </c>
      <c r="Q31" s="23" t="s">
        <v>549</v>
      </c>
      <c r="R31" s="23" t="s">
        <v>549</v>
      </c>
      <c r="S31" s="24">
        <v>-4.4888284917503007</v>
      </c>
      <c r="T31" s="212"/>
      <c r="U31" s="22">
        <v>-4.509083010891497</v>
      </c>
    </row>
    <row r="32" spans="3:21">
      <c r="C32" s="103">
        <v>17</v>
      </c>
      <c r="D32" s="105" t="s">
        <v>561</v>
      </c>
      <c r="E32" s="23">
        <v>0</v>
      </c>
      <c r="F32" s="23">
        <v>1</v>
      </c>
      <c r="G32" s="23">
        <v>0</v>
      </c>
      <c r="H32" s="23" t="s">
        <v>549</v>
      </c>
      <c r="I32" s="23" t="s">
        <v>549</v>
      </c>
      <c r="J32" s="24">
        <v>2.0254519141196047E-2</v>
      </c>
      <c r="K32" s="90"/>
      <c r="L32" s="105" t="s">
        <v>561</v>
      </c>
      <c r="M32" s="23">
        <v>0</v>
      </c>
      <c r="N32" s="23">
        <v>1</v>
      </c>
      <c r="O32" s="23">
        <v>0</v>
      </c>
      <c r="P32" s="23">
        <v>0</v>
      </c>
      <c r="Q32" s="23" t="s">
        <v>549</v>
      </c>
      <c r="R32" s="23" t="s">
        <v>549</v>
      </c>
      <c r="S32" s="24">
        <v>-4.3911606737930704</v>
      </c>
      <c r="T32" s="212"/>
      <c r="U32" s="22">
        <v>-4.4114151929342666</v>
      </c>
    </row>
    <row r="33" spans="3:21">
      <c r="C33" s="103">
        <v>18</v>
      </c>
      <c r="D33" s="105" t="s">
        <v>472</v>
      </c>
      <c r="E33" s="23">
        <v>0</v>
      </c>
      <c r="F33" s="23">
        <v>1</v>
      </c>
      <c r="G33" s="23">
        <v>0</v>
      </c>
      <c r="H33" s="23" t="s">
        <v>549</v>
      </c>
      <c r="I33" s="23" t="s">
        <v>549</v>
      </c>
      <c r="J33" s="24">
        <v>2.0254519141196047E-2</v>
      </c>
      <c r="K33" s="90"/>
      <c r="L33" s="105" t="s">
        <v>472</v>
      </c>
      <c r="M33" s="23">
        <v>0</v>
      </c>
      <c r="N33" s="23">
        <v>1</v>
      </c>
      <c r="O33" s="23">
        <v>0</v>
      </c>
      <c r="P33" s="23">
        <v>0</v>
      </c>
      <c r="Q33" s="23" t="s">
        <v>549</v>
      </c>
      <c r="R33" s="23" t="s">
        <v>549</v>
      </c>
      <c r="S33" s="24">
        <v>-0.2760901764592596</v>
      </c>
      <c r="T33" s="212"/>
      <c r="U33" s="22">
        <v>-0.29634469560045562</v>
      </c>
    </row>
    <row r="34" spans="3:21">
      <c r="C34" s="103">
        <v>19</v>
      </c>
      <c r="D34" s="105" t="s">
        <v>310</v>
      </c>
      <c r="E34" s="23">
        <v>0</v>
      </c>
      <c r="F34" s="23">
        <v>1</v>
      </c>
      <c r="G34" s="23">
        <v>0</v>
      </c>
      <c r="H34" s="23" t="s">
        <v>549</v>
      </c>
      <c r="I34" s="23" t="s">
        <v>549</v>
      </c>
      <c r="J34" s="24">
        <v>2.0254519141196047E-2</v>
      </c>
      <c r="K34" s="90"/>
      <c r="L34" s="105" t="s">
        <v>310</v>
      </c>
      <c r="M34" s="23">
        <v>0</v>
      </c>
      <c r="N34" s="23">
        <v>1</v>
      </c>
      <c r="O34" s="23">
        <v>0</v>
      </c>
      <c r="P34" s="23">
        <v>0</v>
      </c>
      <c r="Q34" s="23" t="s">
        <v>549</v>
      </c>
      <c r="R34" s="23" t="s">
        <v>549</v>
      </c>
      <c r="S34" s="24">
        <v>-0.37630348405859365</v>
      </c>
      <c r="T34" s="212"/>
      <c r="U34" s="22">
        <v>-0.39655800319978968</v>
      </c>
    </row>
    <row r="35" spans="3:21">
      <c r="C35" s="103">
        <v>20</v>
      </c>
      <c r="D35" s="105" t="s">
        <v>503</v>
      </c>
      <c r="E35" s="23">
        <v>0</v>
      </c>
      <c r="F35" s="23">
        <v>1</v>
      </c>
      <c r="G35" s="23">
        <v>0</v>
      </c>
      <c r="H35" s="23" t="s">
        <v>549</v>
      </c>
      <c r="I35" s="23" t="s">
        <v>549</v>
      </c>
      <c r="J35" s="24">
        <v>3.4185776672640021E-2</v>
      </c>
      <c r="K35" s="90"/>
      <c r="L35" s="105" t="s">
        <v>503</v>
      </c>
      <c r="M35" s="23" t="s">
        <v>549</v>
      </c>
      <c r="N35" s="23">
        <v>1</v>
      </c>
      <c r="O35" s="23">
        <v>0</v>
      </c>
      <c r="P35" s="23">
        <v>0</v>
      </c>
      <c r="Q35" s="23" t="s">
        <v>549</v>
      </c>
      <c r="R35" s="23" t="s">
        <v>549</v>
      </c>
      <c r="S35" s="24">
        <v>-2.8009509451764503</v>
      </c>
      <c r="T35" s="212"/>
      <c r="U35" s="22">
        <v>-2.8351367218490902</v>
      </c>
    </row>
    <row r="36" spans="3:21">
      <c r="C36" s="103">
        <v>21</v>
      </c>
      <c r="D36" s="105" t="s">
        <v>314</v>
      </c>
      <c r="E36" s="23" t="s">
        <v>549</v>
      </c>
      <c r="F36" s="23">
        <v>1</v>
      </c>
      <c r="G36" s="23">
        <v>0</v>
      </c>
      <c r="H36" s="23">
        <v>0</v>
      </c>
      <c r="I36" s="23">
        <v>0</v>
      </c>
      <c r="J36" s="24">
        <v>0.15807392806431295</v>
      </c>
      <c r="K36" s="90"/>
      <c r="L36" s="105" t="s">
        <v>340</v>
      </c>
      <c r="M36" s="23" t="s">
        <v>549</v>
      </c>
      <c r="N36" s="23" t="s">
        <v>549</v>
      </c>
      <c r="O36" s="23">
        <v>0</v>
      </c>
      <c r="P36" s="23">
        <v>0</v>
      </c>
      <c r="Q36" s="23">
        <v>1</v>
      </c>
      <c r="R36" s="23">
        <v>0</v>
      </c>
      <c r="S36" s="24">
        <v>-0.13040739388077993</v>
      </c>
      <c r="T36" s="212"/>
      <c r="U36" s="22">
        <v>-0.28848132194509291</v>
      </c>
    </row>
    <row r="37" spans="3:21">
      <c r="C37" s="103">
        <v>22</v>
      </c>
      <c r="D37" s="105" t="s">
        <v>562</v>
      </c>
      <c r="E37" s="23" t="s">
        <v>549</v>
      </c>
      <c r="F37" s="23">
        <v>1</v>
      </c>
      <c r="G37" s="23">
        <v>0</v>
      </c>
      <c r="H37" s="23" t="s">
        <v>549</v>
      </c>
      <c r="I37" s="23" t="s">
        <v>549</v>
      </c>
      <c r="J37" s="24">
        <v>0.30922398376646776</v>
      </c>
      <c r="K37" s="90"/>
      <c r="L37" s="105" t="s">
        <v>562</v>
      </c>
      <c r="M37" s="23" t="s">
        <v>549</v>
      </c>
      <c r="N37" s="23" t="s">
        <v>549</v>
      </c>
      <c r="O37" s="23">
        <v>1</v>
      </c>
      <c r="P37" s="23">
        <v>0</v>
      </c>
      <c r="Q37" s="23" t="s">
        <v>549</v>
      </c>
      <c r="R37" s="23" t="s">
        <v>549</v>
      </c>
      <c r="S37" s="24">
        <v>0.30922398376646776</v>
      </c>
      <c r="T37" s="212"/>
      <c r="U37" s="22">
        <v>0</v>
      </c>
    </row>
    <row r="38" spans="3:21">
      <c r="C38" s="103">
        <v>23</v>
      </c>
      <c r="D38" s="105"/>
      <c r="E38" s="23"/>
      <c r="F38" s="23"/>
      <c r="G38" s="23"/>
      <c r="H38" s="23"/>
      <c r="I38" s="23"/>
      <c r="J38" s="24"/>
      <c r="K38" s="90"/>
      <c r="L38" s="105"/>
      <c r="M38" s="23"/>
      <c r="N38" s="23"/>
      <c r="O38" s="23"/>
      <c r="P38" s="23"/>
      <c r="Q38" s="23"/>
      <c r="R38" s="23"/>
      <c r="S38" s="24"/>
      <c r="T38" s="212"/>
      <c r="U38" s="22"/>
    </row>
    <row r="39" spans="3:21">
      <c r="C39" s="103">
        <v>24</v>
      </c>
      <c r="D39" s="359" t="s">
        <v>548</v>
      </c>
      <c r="E39" s="360">
        <v>0</v>
      </c>
      <c r="F39" s="360">
        <v>1</v>
      </c>
      <c r="G39" s="360">
        <v>0</v>
      </c>
      <c r="H39" s="360" t="s">
        <v>549</v>
      </c>
      <c r="I39" s="360" t="s">
        <v>549</v>
      </c>
      <c r="J39" s="361">
        <v>0.18162984857485934</v>
      </c>
      <c r="K39" s="90"/>
      <c r="L39" s="105" t="s">
        <v>548</v>
      </c>
      <c r="M39" s="23">
        <v>1</v>
      </c>
      <c r="N39" s="23">
        <v>0</v>
      </c>
      <c r="O39" s="23">
        <v>0</v>
      </c>
      <c r="P39" s="23">
        <v>0</v>
      </c>
      <c r="Q39" s="23" t="s">
        <v>549</v>
      </c>
      <c r="R39" s="23" t="s">
        <v>549</v>
      </c>
      <c r="S39" s="24">
        <v>-5.5752083160829438</v>
      </c>
      <c r="T39" s="212"/>
      <c r="U39" s="22">
        <v>-5.7568381646578031</v>
      </c>
    </row>
    <row r="40" spans="3:21">
      <c r="C40" s="103">
        <v>25</v>
      </c>
      <c r="D40" s="359" t="s">
        <v>293</v>
      </c>
      <c r="E40" s="360">
        <v>0</v>
      </c>
      <c r="F40" s="360">
        <v>1</v>
      </c>
      <c r="G40" s="360">
        <v>0</v>
      </c>
      <c r="H40" s="360" t="s">
        <v>549</v>
      </c>
      <c r="I40" s="360" t="s">
        <v>549</v>
      </c>
      <c r="J40" s="361">
        <v>1.1338746968208027</v>
      </c>
      <c r="K40" s="90"/>
      <c r="L40" s="105" t="s">
        <v>293</v>
      </c>
      <c r="M40" s="23">
        <v>1</v>
      </c>
      <c r="N40" s="23">
        <v>0</v>
      </c>
      <c r="O40" s="23">
        <v>0</v>
      </c>
      <c r="P40" s="23">
        <v>0</v>
      </c>
      <c r="Q40" s="23" t="s">
        <v>549</v>
      </c>
      <c r="R40" s="23" t="s">
        <v>549</v>
      </c>
      <c r="S40" s="24">
        <v>-7.9489589921669603</v>
      </c>
      <c r="T40" s="212"/>
      <c r="U40" s="22">
        <v>-9.0828336889877637</v>
      </c>
    </row>
    <row r="41" spans="3:21">
      <c r="C41" s="103">
        <v>26</v>
      </c>
      <c r="D41" s="359" t="s">
        <v>550</v>
      </c>
      <c r="E41" s="360">
        <v>0</v>
      </c>
      <c r="F41" s="360">
        <v>1</v>
      </c>
      <c r="G41" s="360">
        <v>0</v>
      </c>
      <c r="H41" s="360" t="s">
        <v>549</v>
      </c>
      <c r="I41" s="360" t="s">
        <v>549</v>
      </c>
      <c r="J41" s="361">
        <v>7.470296200674445E-2</v>
      </c>
      <c r="K41" s="90"/>
      <c r="L41" s="105" t="s">
        <v>550</v>
      </c>
      <c r="M41" s="23">
        <v>1</v>
      </c>
      <c r="N41" s="23">
        <v>0</v>
      </c>
      <c r="O41" s="23">
        <v>0</v>
      </c>
      <c r="P41" s="23">
        <v>0</v>
      </c>
      <c r="Q41" s="23" t="s">
        <v>549</v>
      </c>
      <c r="R41" s="23" t="s">
        <v>549</v>
      </c>
      <c r="S41" s="24">
        <v>-6.0737268680644059</v>
      </c>
      <c r="T41" s="212"/>
      <c r="U41" s="22">
        <v>-6.1484298300711506</v>
      </c>
    </row>
    <row r="42" spans="3:21">
      <c r="C42" s="103">
        <v>28</v>
      </c>
      <c r="D42" s="359" t="s">
        <v>551</v>
      </c>
      <c r="E42" s="360" t="s">
        <v>549</v>
      </c>
      <c r="F42" s="360">
        <v>1</v>
      </c>
      <c r="G42" s="360">
        <v>0</v>
      </c>
      <c r="H42" s="360">
        <v>0</v>
      </c>
      <c r="I42" s="360">
        <v>0</v>
      </c>
      <c r="J42" s="361">
        <v>-0.20051974151841304</v>
      </c>
      <c r="K42" s="90"/>
      <c r="L42" s="105" t="s">
        <v>551</v>
      </c>
      <c r="M42" s="23" t="s">
        <v>549</v>
      </c>
      <c r="N42" s="23" t="s">
        <v>549</v>
      </c>
      <c r="O42" s="23">
        <v>0</v>
      </c>
      <c r="P42" s="23">
        <v>0</v>
      </c>
      <c r="Q42" s="23">
        <v>1</v>
      </c>
      <c r="R42" s="23">
        <v>0</v>
      </c>
      <c r="S42" s="24">
        <v>-0.10590613724308875</v>
      </c>
      <c r="T42" s="212"/>
      <c r="U42" s="22">
        <v>9.4613604275324281E-2</v>
      </c>
    </row>
    <row r="43" spans="3:21">
      <c r="C43" s="103">
        <v>29</v>
      </c>
      <c r="D43" s="359" t="s">
        <v>552</v>
      </c>
      <c r="E43" s="360" t="s">
        <v>549</v>
      </c>
      <c r="F43" s="360">
        <v>1</v>
      </c>
      <c r="G43" s="360">
        <v>0</v>
      </c>
      <c r="H43" s="360">
        <v>0</v>
      </c>
      <c r="I43" s="360">
        <v>0</v>
      </c>
      <c r="J43" s="361">
        <v>0.1157487405734986</v>
      </c>
      <c r="K43" s="90"/>
      <c r="L43" s="105" t="s">
        <v>552</v>
      </c>
      <c r="M43" s="23" t="s">
        <v>549</v>
      </c>
      <c r="N43" s="23" t="s">
        <v>549</v>
      </c>
      <c r="O43" s="23">
        <v>0</v>
      </c>
      <c r="P43" s="23">
        <v>0</v>
      </c>
      <c r="Q43" s="23">
        <v>1</v>
      </c>
      <c r="R43" s="23">
        <v>0</v>
      </c>
      <c r="S43" s="24">
        <v>-0.10590613724308875</v>
      </c>
      <c r="T43" s="212"/>
      <c r="U43" s="22">
        <v>-0.22165487781658735</v>
      </c>
    </row>
    <row r="44" spans="3:21">
      <c r="C44" s="103">
        <v>30</v>
      </c>
      <c r="D44" s="359" t="s">
        <v>553</v>
      </c>
      <c r="E44" s="360" t="s">
        <v>549</v>
      </c>
      <c r="F44" s="360">
        <v>1</v>
      </c>
      <c r="G44" s="360">
        <v>0</v>
      </c>
      <c r="H44" s="360">
        <v>0</v>
      </c>
      <c r="I44" s="360">
        <v>0</v>
      </c>
      <c r="J44" s="361">
        <v>-0.53386292841973759</v>
      </c>
      <c r="K44" s="90"/>
      <c r="L44" s="105" t="s">
        <v>553</v>
      </c>
      <c r="M44" s="23" t="s">
        <v>549</v>
      </c>
      <c r="N44" s="23" t="s">
        <v>549</v>
      </c>
      <c r="O44" s="23">
        <v>0</v>
      </c>
      <c r="P44" s="23">
        <v>0</v>
      </c>
      <c r="Q44" s="23">
        <v>1</v>
      </c>
      <c r="R44" s="23">
        <v>0</v>
      </c>
      <c r="S44" s="24">
        <v>-0.10590613724308875</v>
      </c>
      <c r="T44" s="212"/>
      <c r="U44" s="22">
        <v>0.42795679117664887</v>
      </c>
    </row>
    <row r="45" spans="3:21">
      <c r="C45" s="103">
        <v>31</v>
      </c>
      <c r="D45" s="359" t="s">
        <v>554</v>
      </c>
      <c r="E45" s="360" t="s">
        <v>549</v>
      </c>
      <c r="F45" s="360">
        <v>1</v>
      </c>
      <c r="G45" s="360">
        <v>0</v>
      </c>
      <c r="H45" s="360">
        <v>0</v>
      </c>
      <c r="I45" s="360">
        <v>0</v>
      </c>
      <c r="J45" s="361">
        <v>-0.53606258783504601</v>
      </c>
      <c r="K45" s="90"/>
      <c r="L45" s="105" t="s">
        <v>554</v>
      </c>
      <c r="M45" s="23" t="s">
        <v>549</v>
      </c>
      <c r="N45" s="23" t="s">
        <v>549</v>
      </c>
      <c r="O45" s="23">
        <v>0</v>
      </c>
      <c r="P45" s="23">
        <v>0</v>
      </c>
      <c r="Q45" s="23">
        <v>1</v>
      </c>
      <c r="R45" s="23">
        <v>0</v>
      </c>
      <c r="S45" s="24">
        <v>-0.10590613724308875</v>
      </c>
      <c r="T45" s="212"/>
      <c r="U45" s="22">
        <v>0.43015645059195728</v>
      </c>
    </row>
    <row r="46" spans="3:21">
      <c r="C46" s="103">
        <v>32</v>
      </c>
      <c r="D46" s="359" t="s">
        <v>555</v>
      </c>
      <c r="E46" s="360">
        <v>0</v>
      </c>
      <c r="F46" s="360">
        <v>1</v>
      </c>
      <c r="G46" s="360">
        <v>0</v>
      </c>
      <c r="H46" s="360" t="s">
        <v>549</v>
      </c>
      <c r="I46" s="360" t="s">
        <v>549</v>
      </c>
      <c r="J46" s="361">
        <v>2.0254519141196047E-2</v>
      </c>
      <c r="K46" s="90"/>
      <c r="L46" s="105" t="s">
        <v>555</v>
      </c>
      <c r="M46" s="23">
        <v>1</v>
      </c>
      <c r="N46" s="23">
        <v>0</v>
      </c>
      <c r="O46" s="23">
        <v>0</v>
      </c>
      <c r="P46" s="23">
        <v>0</v>
      </c>
      <c r="Q46" s="23" t="s">
        <v>549</v>
      </c>
      <c r="R46" s="23" t="s">
        <v>549</v>
      </c>
      <c r="S46" s="24">
        <v>-1.4192980914359248</v>
      </c>
      <c r="T46" s="212"/>
      <c r="U46" s="22">
        <v>-1.4395526105771208</v>
      </c>
    </row>
    <row r="47" spans="3:21">
      <c r="C47" s="103">
        <v>33</v>
      </c>
      <c r="D47" s="359" t="s">
        <v>563</v>
      </c>
      <c r="E47" s="360" t="s">
        <v>549</v>
      </c>
      <c r="F47" s="360">
        <v>1</v>
      </c>
      <c r="G47" s="360">
        <v>0</v>
      </c>
      <c r="H47" s="360" t="s">
        <v>549</v>
      </c>
      <c r="I47" s="360" t="s">
        <v>549</v>
      </c>
      <c r="J47" s="361">
        <v>2.0254519141196047E-2</v>
      </c>
      <c r="K47" s="90"/>
      <c r="L47" s="105" t="s">
        <v>563</v>
      </c>
      <c r="M47" s="23">
        <v>1</v>
      </c>
      <c r="N47" s="23" t="s">
        <v>549</v>
      </c>
      <c r="O47" s="23">
        <v>0</v>
      </c>
      <c r="P47" s="23">
        <v>0</v>
      </c>
      <c r="Q47" s="23" t="s">
        <v>549</v>
      </c>
      <c r="R47" s="23" t="s">
        <v>549</v>
      </c>
      <c r="S47" s="24">
        <v>-1.7955085787455409</v>
      </c>
      <c r="T47" s="212"/>
      <c r="U47" s="22">
        <v>-1.815763097886737</v>
      </c>
    </row>
    <row r="48" spans="3:21">
      <c r="C48" s="103">
        <v>34</v>
      </c>
      <c r="D48" s="359" t="s">
        <v>556</v>
      </c>
      <c r="E48" s="360">
        <v>0</v>
      </c>
      <c r="F48" s="360">
        <v>1</v>
      </c>
      <c r="G48" s="360">
        <v>0</v>
      </c>
      <c r="H48" s="360" t="s">
        <v>549</v>
      </c>
      <c r="I48" s="360" t="s">
        <v>549</v>
      </c>
      <c r="J48" s="361">
        <v>2.0254519141196047E-2</v>
      </c>
      <c r="K48" s="90"/>
      <c r="L48" s="105" t="s">
        <v>556</v>
      </c>
      <c r="M48" s="23">
        <v>1</v>
      </c>
      <c r="N48" s="23">
        <v>0</v>
      </c>
      <c r="O48" s="23">
        <v>0</v>
      </c>
      <c r="P48" s="23">
        <v>0</v>
      </c>
      <c r="Q48" s="23" t="s">
        <v>549</v>
      </c>
      <c r="R48" s="23" t="s">
        <v>549</v>
      </c>
      <c r="S48" s="24">
        <v>-2.1729152901086737</v>
      </c>
      <c r="T48" s="212"/>
      <c r="U48" s="22">
        <v>-2.1931698092498699</v>
      </c>
    </row>
    <row r="49" spans="3:21">
      <c r="C49" s="103">
        <v>35</v>
      </c>
      <c r="D49" s="359" t="s">
        <v>557</v>
      </c>
      <c r="E49" s="360">
        <v>0</v>
      </c>
      <c r="F49" s="360">
        <v>1</v>
      </c>
      <c r="G49" s="360">
        <v>0</v>
      </c>
      <c r="H49" s="360" t="s">
        <v>549</v>
      </c>
      <c r="I49" s="360" t="s">
        <v>549</v>
      </c>
      <c r="J49" s="361">
        <v>2.0254519141196047E-2</v>
      </c>
      <c r="K49" s="90"/>
      <c r="L49" s="105" t="s">
        <v>557</v>
      </c>
      <c r="M49" s="23">
        <v>1</v>
      </c>
      <c r="N49" s="23">
        <v>0</v>
      </c>
      <c r="O49" s="23">
        <v>0</v>
      </c>
      <c r="P49" s="23">
        <v>0</v>
      </c>
      <c r="Q49" s="23" t="s">
        <v>549</v>
      </c>
      <c r="R49" s="23" t="s">
        <v>549</v>
      </c>
      <c r="S49" s="24">
        <v>-1.5248004300239186</v>
      </c>
      <c r="T49" s="212"/>
      <c r="U49" s="22">
        <v>-1.5450549491651147</v>
      </c>
    </row>
    <row r="50" spans="3:21">
      <c r="C50" s="103">
        <v>36</v>
      </c>
      <c r="D50" s="359" t="s">
        <v>564</v>
      </c>
      <c r="E50" s="360" t="s">
        <v>549</v>
      </c>
      <c r="F50" s="360">
        <v>1</v>
      </c>
      <c r="G50" s="360">
        <v>0</v>
      </c>
      <c r="H50" s="360" t="s">
        <v>549</v>
      </c>
      <c r="I50" s="360" t="s">
        <v>549</v>
      </c>
      <c r="J50" s="361">
        <v>2.0254519141196047E-2</v>
      </c>
      <c r="K50" s="90"/>
      <c r="L50" s="105" t="s">
        <v>564</v>
      </c>
      <c r="M50" s="23">
        <v>1</v>
      </c>
      <c r="N50" s="23" t="s">
        <v>549</v>
      </c>
      <c r="O50" s="23">
        <v>0</v>
      </c>
      <c r="P50" s="23">
        <v>0</v>
      </c>
      <c r="Q50" s="23" t="s">
        <v>549</v>
      </c>
      <c r="R50" s="23" t="s">
        <v>549</v>
      </c>
      <c r="S50" s="24">
        <v>-2.4996318935816175</v>
      </c>
      <c r="T50" s="212"/>
      <c r="U50" s="22">
        <v>-2.5198864127228138</v>
      </c>
    </row>
    <row r="51" spans="3:21">
      <c r="C51" s="103">
        <v>37</v>
      </c>
      <c r="D51" s="359" t="s">
        <v>501</v>
      </c>
      <c r="E51" s="360">
        <v>0</v>
      </c>
      <c r="F51" s="360">
        <v>1</v>
      </c>
      <c r="G51" s="360">
        <v>0</v>
      </c>
      <c r="H51" s="360" t="s">
        <v>549</v>
      </c>
      <c r="I51" s="360" t="s">
        <v>549</v>
      </c>
      <c r="J51" s="361">
        <v>2.0254519141196047E-2</v>
      </c>
      <c r="K51" s="90"/>
      <c r="L51" s="105" t="s">
        <v>501</v>
      </c>
      <c r="M51" s="23">
        <v>1</v>
      </c>
      <c r="N51" s="23">
        <v>0</v>
      </c>
      <c r="O51" s="23">
        <v>0</v>
      </c>
      <c r="P51" s="23">
        <v>0</v>
      </c>
      <c r="Q51" s="23" t="s">
        <v>549</v>
      </c>
      <c r="R51" s="23" t="s">
        <v>549</v>
      </c>
      <c r="S51" s="24">
        <v>-1.8734007624310425</v>
      </c>
      <c r="T51" s="212"/>
      <c r="U51" s="22">
        <v>-1.8936552815722385</v>
      </c>
    </row>
    <row r="52" spans="3:21">
      <c r="C52" s="103">
        <v>38</v>
      </c>
      <c r="D52" s="359" t="s">
        <v>558</v>
      </c>
      <c r="E52" s="360" t="s">
        <v>549</v>
      </c>
      <c r="F52" s="360">
        <v>1</v>
      </c>
      <c r="G52" s="360">
        <v>0</v>
      </c>
      <c r="H52" s="360">
        <v>0</v>
      </c>
      <c r="I52" s="360" t="s">
        <v>549</v>
      </c>
      <c r="J52" s="361">
        <v>-1.6426151092788039</v>
      </c>
      <c r="K52" s="90"/>
      <c r="L52" s="105" t="s">
        <v>558</v>
      </c>
      <c r="M52" s="23">
        <v>1</v>
      </c>
      <c r="N52" s="23" t="s">
        <v>549</v>
      </c>
      <c r="O52" s="23">
        <v>0</v>
      </c>
      <c r="P52" s="23">
        <v>0</v>
      </c>
      <c r="Q52" s="23">
        <v>0</v>
      </c>
      <c r="R52" s="23" t="s">
        <v>549</v>
      </c>
      <c r="S52" s="24">
        <v>-2.4528916331677815</v>
      </c>
      <c r="T52" s="212"/>
      <c r="U52" s="22">
        <v>-0.81027652388897753</v>
      </c>
    </row>
    <row r="53" spans="3:21">
      <c r="C53" s="103">
        <v>39</v>
      </c>
      <c r="D53" s="359" t="s">
        <v>502</v>
      </c>
      <c r="E53" s="360">
        <v>0</v>
      </c>
      <c r="F53" s="360">
        <v>1</v>
      </c>
      <c r="G53" s="360">
        <v>0</v>
      </c>
      <c r="H53" s="360" t="s">
        <v>549</v>
      </c>
      <c r="I53" s="360" t="s">
        <v>549</v>
      </c>
      <c r="J53" s="361">
        <v>2.0254519141196047E-2</v>
      </c>
      <c r="K53" s="90"/>
      <c r="L53" s="105" t="s">
        <v>502</v>
      </c>
      <c r="M53" s="23">
        <v>1</v>
      </c>
      <c r="N53" s="23">
        <v>0</v>
      </c>
      <c r="O53" s="23">
        <v>0</v>
      </c>
      <c r="P53" s="23">
        <v>0</v>
      </c>
      <c r="Q53" s="23" t="s">
        <v>549</v>
      </c>
      <c r="R53" s="23" t="s">
        <v>549</v>
      </c>
      <c r="S53" s="24">
        <v>-20.791713261664754</v>
      </c>
      <c r="T53" s="212"/>
      <c r="U53" s="22">
        <v>-20.811967780805951</v>
      </c>
    </row>
    <row r="54" spans="3:21">
      <c r="C54" s="103">
        <v>40</v>
      </c>
      <c r="D54" s="359" t="s">
        <v>303</v>
      </c>
      <c r="E54" s="360">
        <v>0</v>
      </c>
      <c r="F54" s="360">
        <v>1</v>
      </c>
      <c r="G54" s="360">
        <v>0</v>
      </c>
      <c r="H54" s="360" t="s">
        <v>549</v>
      </c>
      <c r="I54" s="360" t="s">
        <v>549</v>
      </c>
      <c r="J54" s="361">
        <v>2.0254519141196047E-2</v>
      </c>
      <c r="K54" s="90"/>
      <c r="L54" s="105" t="s">
        <v>303</v>
      </c>
      <c r="M54" s="23">
        <v>1</v>
      </c>
      <c r="N54" s="23">
        <v>0</v>
      </c>
      <c r="O54" s="23">
        <v>0</v>
      </c>
      <c r="P54" s="23">
        <v>0</v>
      </c>
      <c r="Q54" s="23" t="s">
        <v>549</v>
      </c>
      <c r="R54" s="23" t="s">
        <v>549</v>
      </c>
      <c r="S54" s="24">
        <v>-4.799452726904927</v>
      </c>
      <c r="T54" s="212"/>
      <c r="U54" s="22">
        <v>-4.8197072460461232</v>
      </c>
    </row>
    <row r="55" spans="3:21">
      <c r="C55" s="103">
        <v>41</v>
      </c>
      <c r="D55" s="359" t="s">
        <v>559</v>
      </c>
      <c r="E55" s="360">
        <v>0</v>
      </c>
      <c r="F55" s="360">
        <v>1</v>
      </c>
      <c r="G55" s="360">
        <v>0</v>
      </c>
      <c r="H55" s="360" t="s">
        <v>549</v>
      </c>
      <c r="I55" s="360" t="s">
        <v>549</v>
      </c>
      <c r="J55" s="361">
        <v>2.0254519141196047E-2</v>
      </c>
      <c r="K55" s="90"/>
      <c r="L55" s="105" t="s">
        <v>559</v>
      </c>
      <c r="M55" s="23">
        <v>1</v>
      </c>
      <c r="N55" s="23">
        <v>0</v>
      </c>
      <c r="O55" s="23">
        <v>0</v>
      </c>
      <c r="P55" s="23">
        <v>0</v>
      </c>
      <c r="Q55" s="23" t="s">
        <v>549</v>
      </c>
      <c r="R55" s="23" t="s">
        <v>549</v>
      </c>
      <c r="S55" s="24">
        <v>-3.0274716623608411</v>
      </c>
      <c r="T55" s="212"/>
      <c r="U55" s="22">
        <v>-3.0477261815020373</v>
      </c>
    </row>
    <row r="56" spans="3:21">
      <c r="C56" s="103">
        <v>42</v>
      </c>
      <c r="D56" s="359" t="s">
        <v>560</v>
      </c>
      <c r="E56" s="360">
        <v>0</v>
      </c>
      <c r="F56" s="360">
        <v>1</v>
      </c>
      <c r="G56" s="360">
        <v>0</v>
      </c>
      <c r="H56" s="360" t="s">
        <v>549</v>
      </c>
      <c r="I56" s="360" t="s">
        <v>549</v>
      </c>
      <c r="J56" s="361">
        <v>2.0254519141196047E-2</v>
      </c>
      <c r="K56" s="90"/>
      <c r="L56" s="105" t="s">
        <v>560</v>
      </c>
      <c r="M56" s="23">
        <v>1</v>
      </c>
      <c r="N56" s="23">
        <v>0</v>
      </c>
      <c r="O56" s="23">
        <v>0</v>
      </c>
      <c r="P56" s="23">
        <v>0</v>
      </c>
      <c r="Q56" s="23" t="s">
        <v>549</v>
      </c>
      <c r="R56" s="23" t="s">
        <v>549</v>
      </c>
      <c r="S56" s="24">
        <v>-6.7219289919592509</v>
      </c>
      <c r="T56" s="212"/>
      <c r="U56" s="22">
        <v>-6.7421835111004471</v>
      </c>
    </row>
    <row r="57" spans="3:21">
      <c r="C57" s="103">
        <v>43</v>
      </c>
      <c r="D57" s="359" t="s">
        <v>561</v>
      </c>
      <c r="E57" s="360">
        <v>0</v>
      </c>
      <c r="F57" s="360">
        <v>1</v>
      </c>
      <c r="G57" s="360">
        <v>0</v>
      </c>
      <c r="H57" s="360" t="s">
        <v>549</v>
      </c>
      <c r="I57" s="360" t="s">
        <v>549</v>
      </c>
      <c r="J57" s="361">
        <v>2.0254519141196047E-2</v>
      </c>
      <c r="K57" s="90"/>
      <c r="L57" s="105" t="s">
        <v>561</v>
      </c>
      <c r="M57" s="23">
        <v>1</v>
      </c>
      <c r="N57" s="23">
        <v>0</v>
      </c>
      <c r="O57" s="23">
        <v>0</v>
      </c>
      <c r="P57" s="23">
        <v>0</v>
      </c>
      <c r="Q57" s="23" t="s">
        <v>549</v>
      </c>
      <c r="R57" s="23" t="s">
        <v>549</v>
      </c>
      <c r="S57" s="24">
        <v>-3.6490566431171434</v>
      </c>
      <c r="T57" s="212"/>
      <c r="U57" s="22">
        <v>-3.6693111622583396</v>
      </c>
    </row>
    <row r="58" spans="3:21">
      <c r="C58" s="103">
        <v>44</v>
      </c>
      <c r="D58" s="359" t="s">
        <v>472</v>
      </c>
      <c r="E58" s="360">
        <v>0</v>
      </c>
      <c r="F58" s="360">
        <v>1</v>
      </c>
      <c r="G58" s="360">
        <v>0</v>
      </c>
      <c r="H58" s="360" t="s">
        <v>549</v>
      </c>
      <c r="I58" s="360" t="s">
        <v>549</v>
      </c>
      <c r="J58" s="361">
        <v>2.0254519141196047E-2</v>
      </c>
      <c r="K58" s="90"/>
      <c r="L58" s="105" t="s">
        <v>472</v>
      </c>
      <c r="M58" s="23">
        <v>1</v>
      </c>
      <c r="N58" s="23">
        <v>0</v>
      </c>
      <c r="O58" s="23">
        <v>0</v>
      </c>
      <c r="P58" s="23">
        <v>0</v>
      </c>
      <c r="Q58" s="23" t="s">
        <v>549</v>
      </c>
      <c r="R58" s="23" t="s">
        <v>549</v>
      </c>
      <c r="S58" s="24">
        <v>-0.53082087431688396</v>
      </c>
      <c r="T58" s="212"/>
      <c r="U58" s="22">
        <v>-0.55107539345807999</v>
      </c>
    </row>
    <row r="59" spans="3:21">
      <c r="C59" s="103">
        <v>45</v>
      </c>
      <c r="D59" s="359" t="s">
        <v>310</v>
      </c>
      <c r="E59" s="360">
        <v>0</v>
      </c>
      <c r="F59" s="360">
        <v>1</v>
      </c>
      <c r="G59" s="360">
        <v>0</v>
      </c>
      <c r="H59" s="360" t="s">
        <v>549</v>
      </c>
      <c r="I59" s="360" t="s">
        <v>549</v>
      </c>
      <c r="J59" s="361">
        <v>2.0254519141196047E-2</v>
      </c>
      <c r="K59" s="90"/>
      <c r="L59" s="105" t="s">
        <v>310</v>
      </c>
      <c r="M59" s="23">
        <v>1</v>
      </c>
      <c r="N59" s="23">
        <v>0</v>
      </c>
      <c r="O59" s="23">
        <v>0</v>
      </c>
      <c r="P59" s="23">
        <v>0</v>
      </c>
      <c r="Q59" s="23" t="s">
        <v>549</v>
      </c>
      <c r="R59" s="23" t="s">
        <v>549</v>
      </c>
      <c r="S59" s="24">
        <v>-4.2988112330745327</v>
      </c>
      <c r="T59" s="212"/>
      <c r="U59" s="22">
        <v>-4.319065752215729</v>
      </c>
    </row>
    <row r="60" spans="3:21" ht="12.75" customHeight="1" thickBot="1">
      <c r="C60" s="103">
        <v>60</v>
      </c>
      <c r="D60" s="106" t="str">
        <f t="shared" ref="D60" si="0">IF(ISERROR(VLOOKUP($C60,GHGBaseline_MTCO2E,2,FALSE)),"",VLOOKUP($C60,GHGBaseline_MTCO2E,2,FALSE))</f>
        <v/>
      </c>
      <c r="E60" s="25" t="str">
        <f t="shared" ref="E60" si="1">IF(ISERROR(VLOOKUP($C60,GHGBaseline_MTCO2E,4,FALSE)),"",VLOOKUP($C60,GHGBaseline_MTCO2E,4,FALSE))</f>
        <v/>
      </c>
      <c r="F60" s="25" t="str">
        <f t="shared" ref="F60" si="2">IF(ISERROR(VLOOKUP($C60,GHGBaseline_MTCO2E,6,FALSE)),"",VLOOKUP($C60,GHGBaseline_MTCO2E,6,FALSE))</f>
        <v/>
      </c>
      <c r="G60" s="25" t="str">
        <f t="shared" ref="G60" si="3">IF(ISERROR(VLOOKUP($C60,GHGBaseline_MTCO2E,8,FALSE)),"",VLOOKUP($C60,GHGBaseline_MTCO2E,8,FALSE))</f>
        <v/>
      </c>
      <c r="H60" s="25" t="str">
        <f t="shared" ref="H60" si="4">IF(ISERROR(VLOOKUP($C60,GHGBaseline_MTCO2E,10,FALSE)),"",VLOOKUP($C60,GHGBaseline_MTCO2E,10,FALSE))</f>
        <v/>
      </c>
      <c r="I60" s="25" t="str">
        <f t="shared" ref="I60" si="5">IF(ISERROR(VLOOKUP($C60,GHGBaseline_MTCO2E,12,FALSE)),"",VLOOKUP($C60,GHGBaseline_MTCO2E,12,FALSE))</f>
        <v/>
      </c>
      <c r="J60" s="26"/>
      <c r="K60" s="90"/>
      <c r="L60" s="106" t="str">
        <f t="shared" ref="L60" si="6">IF(ISERROR(VLOOKUP($C60,GHGAlternative_MTCO2E,2,FALSE)),"",VLOOKUP($C60,GHGAlternative_MTCO2E,2,FALSE))</f>
        <v/>
      </c>
      <c r="M60" s="25" t="str">
        <f t="shared" ref="M60" si="7">IF(ISERROR(VLOOKUP($C60,GHGAlternative_MTCO2E,4,FALSE)),"",VLOOKUP($C60,GHGAlternative_MTCO2E,4,FALSE))</f>
        <v/>
      </c>
      <c r="N60" s="25" t="str">
        <f t="shared" ref="N60" si="8">IF(ISERROR(VLOOKUP($C60,GHGAlternative_MTCO2E,6,FALSE)),"",VLOOKUP($C60,GHGAlternative_MTCO2E,6,FALSE))</f>
        <v/>
      </c>
      <c r="O60" s="25" t="str">
        <f t="shared" ref="O60" si="9">IF(ISERROR(VLOOKUP($C60,GHGAlternative_MTCO2E,8,FALSE)),"",VLOOKUP($C60,GHGAlternative_MTCO2E,8,FALSE))</f>
        <v/>
      </c>
      <c r="P60" s="25" t="str">
        <f t="shared" ref="P60" si="10">IF(ISERROR(VLOOKUP($C60,GHGAlternative_MTCO2E,10,FALSE)),"",VLOOKUP($C60,GHGAlternative_MTCO2E,10,FALSE))</f>
        <v/>
      </c>
      <c r="Q60" s="25" t="str">
        <f t="shared" ref="Q60" si="11">IF(ISERROR(VLOOKUP($C60,GHGAlternative_MTCO2E,12,FALSE)),"",VLOOKUP($C60,GHGAlternative_MTCO2E,12,FALSE))</f>
        <v/>
      </c>
      <c r="R60" s="25" t="str">
        <f t="shared" ref="R60" si="12">IF(ISERROR(VLOOKUP($C60,GHGAlternative_MTCO2E,14,FALSE)),"",VLOOKUP($C60,GHGAlternative_MTCO2E,14,FALSE))</f>
        <v/>
      </c>
      <c r="S60" s="26" t="str">
        <f t="shared" ref="S60" si="13">IF(ISERROR(VLOOKUP($C60,GHGAlternative_MTCO2E,16,FALSE)),"0",VLOOKUP($C60,GHGAlternative_MTCO2E,16,FALSE))</f>
        <v>0</v>
      </c>
      <c r="T60" s="212"/>
      <c r="U60" s="27"/>
    </row>
    <row r="61" spans="3:21" ht="27.75" customHeight="1">
      <c r="C61" s="90"/>
      <c r="D61" s="213"/>
      <c r="E61" s="28"/>
      <c r="F61" s="28"/>
      <c r="G61" s="28"/>
      <c r="H61" s="28"/>
      <c r="I61" s="28"/>
      <c r="J61" s="28"/>
      <c r="K61" s="90"/>
      <c r="L61" s="420"/>
      <c r="M61" s="5"/>
      <c r="N61" s="5"/>
      <c r="O61" s="5"/>
      <c r="P61" s="421"/>
      <c r="Q61" s="5"/>
      <c r="R61" s="90"/>
      <c r="S61" s="90"/>
      <c r="T61" s="90"/>
      <c r="U61" s="208"/>
    </row>
    <row r="62" spans="3:21" ht="29.25" customHeight="1">
      <c r="C62" s="90"/>
      <c r="D62" s="781" t="s">
        <v>565</v>
      </c>
      <c r="E62" s="782"/>
      <c r="F62" s="782"/>
      <c r="G62" s="782"/>
      <c r="H62" s="782"/>
      <c r="I62" s="782"/>
      <c r="J62" s="90"/>
      <c r="K62" s="214"/>
      <c r="L62" s="5"/>
      <c r="M62" s="5"/>
      <c r="N62" s="422"/>
      <c r="O62" s="422"/>
      <c r="P62" s="5"/>
      <c r="Q62" s="5"/>
      <c r="R62" s="90"/>
      <c r="S62" s="90"/>
      <c r="T62" s="90"/>
      <c r="U62" s="91"/>
    </row>
    <row r="63" spans="3:21" ht="15.75">
      <c r="C63" s="103"/>
      <c r="D63" s="215" t="s">
        <v>566</v>
      </c>
      <c r="E63" s="90"/>
      <c r="F63" s="90"/>
      <c r="G63" s="90"/>
      <c r="H63" s="90"/>
      <c r="I63" s="90"/>
      <c r="J63" s="90"/>
      <c r="K63" s="5"/>
      <c r="L63" s="76"/>
      <c r="M63" s="5"/>
      <c r="N63" s="5"/>
      <c r="O63" s="76"/>
      <c r="P63" s="422"/>
      <c r="Q63" s="5"/>
      <c r="R63" s="90"/>
      <c r="S63" s="90"/>
      <c r="T63" s="90"/>
      <c r="U63" s="91"/>
    </row>
    <row r="64" spans="3:21" ht="27.75" customHeight="1">
      <c r="C64" s="103"/>
      <c r="D64" s="216" t="s">
        <v>567</v>
      </c>
      <c r="E64" s="90"/>
      <c r="F64" s="90"/>
      <c r="G64" s="90"/>
      <c r="H64" s="90"/>
      <c r="I64" s="90"/>
      <c r="J64" s="90"/>
      <c r="K64" s="5"/>
      <c r="L64" s="73"/>
      <c r="M64" s="29"/>
      <c r="N64" s="500"/>
      <c r="O64" s="500"/>
      <c r="P64" s="500"/>
      <c r="Q64" s="500"/>
      <c r="R64" s="90"/>
      <c r="S64" s="90"/>
      <c r="T64" s="90"/>
      <c r="U64" s="91"/>
    </row>
    <row r="65" spans="3:21" ht="27.75" customHeight="1">
      <c r="C65" s="103"/>
      <c r="D65" s="783" t="s">
        <v>568</v>
      </c>
      <c r="E65" s="784"/>
      <c r="F65" s="784"/>
      <c r="G65" s="784"/>
      <c r="H65" s="784"/>
      <c r="I65" s="784"/>
      <c r="J65" s="90"/>
      <c r="K65" s="5"/>
      <c r="L65" s="5"/>
      <c r="M65" s="29"/>
      <c r="N65" s="500"/>
      <c r="O65" s="500"/>
      <c r="P65" s="500"/>
      <c r="Q65" s="500"/>
      <c r="R65" s="90"/>
      <c r="S65" s="90"/>
      <c r="T65" s="90"/>
      <c r="U65" s="91"/>
    </row>
    <row r="66" spans="3:21" ht="27.75" customHeight="1">
      <c r="C66" s="108"/>
      <c r="D66" s="776" t="s">
        <v>569</v>
      </c>
      <c r="E66" s="777"/>
      <c r="F66" s="777"/>
      <c r="G66" s="777"/>
      <c r="H66" s="777"/>
      <c r="I66" s="777"/>
      <c r="J66" s="5"/>
      <c r="K66" s="5"/>
      <c r="L66" s="5"/>
      <c r="M66" s="29"/>
      <c r="N66" s="500"/>
      <c r="O66" s="500"/>
      <c r="P66" s="500"/>
      <c r="Q66" s="500"/>
      <c r="R66" s="5"/>
      <c r="S66" s="90"/>
      <c r="T66" s="90"/>
      <c r="U66" s="91"/>
    </row>
    <row r="67" spans="3:21" ht="27.75" customHeight="1">
      <c r="D67" s="785" t="s">
        <v>570</v>
      </c>
      <c r="E67" s="786"/>
      <c r="F67" s="786"/>
      <c r="G67" s="786"/>
      <c r="H67" s="786"/>
      <c r="I67" s="786"/>
      <c r="J67" s="5"/>
      <c r="K67" s="5"/>
      <c r="L67" s="5"/>
      <c r="M67" s="29"/>
      <c r="N67" s="500"/>
      <c r="O67" s="500"/>
      <c r="P67" s="500"/>
      <c r="Q67" s="500"/>
      <c r="R67" s="5"/>
      <c r="S67" s="5"/>
      <c r="T67" s="5"/>
      <c r="U67" s="131"/>
    </row>
    <row r="68" spans="3:21" ht="27.75" customHeight="1">
      <c r="D68" s="785" t="s">
        <v>571</v>
      </c>
      <c r="E68" s="786"/>
      <c r="F68" s="786"/>
      <c r="G68" s="786"/>
      <c r="H68" s="786"/>
      <c r="I68" s="786"/>
      <c r="J68" s="5"/>
      <c r="K68" s="5"/>
      <c r="L68" s="5"/>
      <c r="M68" s="30"/>
      <c r="N68" s="500"/>
      <c r="O68" s="500"/>
      <c r="P68" s="500"/>
      <c r="Q68" s="500"/>
      <c r="R68" s="5"/>
      <c r="S68" s="5"/>
      <c r="T68" s="5"/>
      <c r="U68" s="131"/>
    </row>
    <row r="69" spans="3:21" ht="27.75" customHeight="1">
      <c r="D69" s="785"/>
      <c r="E69" s="786"/>
      <c r="F69" s="786"/>
      <c r="G69" s="786"/>
      <c r="H69" s="786"/>
      <c r="I69" s="786"/>
      <c r="J69" s="5"/>
      <c r="K69" s="5"/>
      <c r="L69" s="5"/>
      <c r="M69" s="30"/>
      <c r="N69" s="786"/>
      <c r="O69" s="786"/>
      <c r="P69" s="786"/>
      <c r="Q69" s="786"/>
      <c r="R69" s="5"/>
      <c r="S69" s="5"/>
      <c r="T69" s="5"/>
      <c r="U69" s="131"/>
    </row>
    <row r="70" spans="3:21" ht="15.75" thickBot="1">
      <c r="D70" s="787"/>
      <c r="E70" s="788"/>
      <c r="F70" s="788"/>
      <c r="G70" s="788"/>
      <c r="H70" s="788"/>
      <c r="I70" s="788"/>
      <c r="J70" s="110"/>
      <c r="K70" s="110"/>
      <c r="L70" s="110"/>
      <c r="M70" s="110"/>
      <c r="N70" s="110"/>
      <c r="O70" s="110"/>
      <c r="P70" s="110"/>
      <c r="Q70" s="110"/>
      <c r="R70" s="110"/>
      <c r="S70" s="110"/>
      <c r="T70" s="110"/>
      <c r="U70" s="156"/>
    </row>
  </sheetData>
  <sheetProtection sheet="1" objects="1" scenarios="1" formatColumns="0" formatRows="0"/>
  <mergeCells count="12">
    <mergeCell ref="D67:I67"/>
    <mergeCell ref="N67:Q67"/>
    <mergeCell ref="D68:I70"/>
    <mergeCell ref="N68:Q68"/>
    <mergeCell ref="N69:Q69"/>
    <mergeCell ref="D66:I66"/>
    <mergeCell ref="N66:Q66"/>
    <mergeCell ref="D8:K9"/>
    <mergeCell ref="D62:I62"/>
    <mergeCell ref="N64:Q64"/>
    <mergeCell ref="D65:I65"/>
    <mergeCell ref="N65:Q65"/>
  </mergeCells>
  <conditionalFormatting sqref="J13 J16:J60 S16:S60 U16:U60">
    <cfRule type="containsText" dxfId="1" priority="2" stopIfTrue="1" operator="containsText" text="INPUT ERROR">
      <formula>NOT(ISERROR(SEARCH("INPUT ERROR",J13)))</formula>
    </cfRule>
  </conditionalFormatting>
  <conditionalFormatting sqref="S13 P61 M64:M69">
    <cfRule type="containsText" dxfId="0" priority="4" stopIfTrue="1" operator="containsText" text="INPUT ERROR">
      <formula>NOT(ISERROR(SEARCH("INPUT ERROR",M13)))</formula>
    </cfRule>
  </conditionalFormatting>
  <hyperlinks>
    <hyperlink ref="D65:I65" r:id="rId1" display="Documentation Chapters for Greenhouse Gas Emission and Energy Factors Used in the Waste Reduction Model (WARM)" xr:uid="{B6D7FFFA-4DDA-4575-867E-EE36A33A217E}"/>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934810-49DA-4256-A7C6-703EF9ADE110}">
  <dimension ref="A1:N88"/>
  <sheetViews>
    <sheetView view="pageBreakPreview" zoomScaleNormal="100" zoomScaleSheetLayoutView="100" workbookViewId="0">
      <selection sqref="A1:L1"/>
    </sheetView>
  </sheetViews>
  <sheetFormatPr defaultRowHeight="15"/>
  <cols>
    <col min="1" max="1" width="9.140625" style="5" customWidth="1"/>
    <col min="2" max="2" width="9.140625" style="5"/>
    <col min="3" max="3" width="11.7109375" style="5" customWidth="1"/>
    <col min="4" max="11" width="9.140625" style="5"/>
    <col min="12" max="12" width="16.7109375" style="5" customWidth="1"/>
    <col min="13" max="16384" width="9.140625" style="5"/>
  </cols>
  <sheetData>
    <row r="1" spans="1:14" ht="27" thickBot="1">
      <c r="A1" s="452" t="s">
        <v>584</v>
      </c>
      <c r="B1" s="453"/>
      <c r="C1" s="453"/>
      <c r="D1" s="453"/>
      <c r="E1" s="453"/>
      <c r="F1" s="453"/>
      <c r="G1" s="453"/>
      <c r="H1" s="453"/>
      <c r="I1" s="453"/>
      <c r="J1" s="453"/>
      <c r="K1" s="453"/>
      <c r="L1" s="454"/>
    </row>
    <row r="2" spans="1:14">
      <c r="A2" s="107"/>
      <c r="L2" s="131"/>
    </row>
    <row r="3" spans="1:14" ht="48" customHeight="1">
      <c r="A3" s="455" t="s">
        <v>585</v>
      </c>
      <c r="B3" s="425"/>
      <c r="C3" s="425"/>
      <c r="D3" s="425"/>
      <c r="E3" s="425"/>
      <c r="F3" s="425"/>
      <c r="G3" s="425"/>
      <c r="H3" s="425"/>
      <c r="I3" s="425"/>
      <c r="J3" s="425"/>
      <c r="K3" s="425"/>
      <c r="L3" s="456"/>
    </row>
    <row r="4" spans="1:14">
      <c r="A4" s="107"/>
      <c r="L4" s="131"/>
    </row>
    <row r="5" spans="1:14" ht="33" customHeight="1">
      <c r="A5" s="455" t="s">
        <v>586</v>
      </c>
      <c r="B5" s="425"/>
      <c r="C5" s="425"/>
      <c r="D5" s="425"/>
      <c r="E5" s="425"/>
      <c r="F5" s="425"/>
      <c r="G5" s="425"/>
      <c r="H5" s="425"/>
      <c r="I5" s="425"/>
      <c r="J5" s="425"/>
      <c r="K5" s="425"/>
      <c r="L5" s="456"/>
    </row>
    <row r="6" spans="1:14">
      <c r="A6" s="107"/>
      <c r="L6" s="131"/>
    </row>
    <row r="7" spans="1:14" ht="26.25">
      <c r="A7" s="447" t="s">
        <v>666</v>
      </c>
      <c r="B7" s="448"/>
      <c r="C7" s="448"/>
      <c r="D7" s="448"/>
      <c r="E7" s="448"/>
      <c r="F7" s="448"/>
      <c r="G7" s="448"/>
      <c r="H7" s="448"/>
      <c r="I7" s="448"/>
      <c r="J7" s="448"/>
      <c r="K7" s="448"/>
      <c r="L7" s="449"/>
    </row>
    <row r="8" spans="1:14">
      <c r="A8" s="430" t="s">
        <v>2</v>
      </c>
      <c r="B8" s="431"/>
      <c r="C8" s="431"/>
      <c r="D8" s="431" t="s">
        <v>3</v>
      </c>
      <c r="E8" s="431"/>
      <c r="F8" s="431"/>
      <c r="G8" s="431"/>
      <c r="H8" s="431"/>
      <c r="I8" s="431"/>
      <c r="J8" s="431"/>
      <c r="K8" s="431"/>
      <c r="L8" s="465"/>
    </row>
    <row r="9" spans="1:14">
      <c r="A9" s="471" t="s">
        <v>4</v>
      </c>
      <c r="B9" s="472"/>
      <c r="C9" s="472"/>
      <c r="D9" s="461" t="s">
        <v>5</v>
      </c>
      <c r="E9" s="461"/>
      <c r="F9" s="461"/>
      <c r="G9" s="461"/>
      <c r="H9" s="461"/>
      <c r="I9" s="461"/>
      <c r="J9" s="461"/>
      <c r="K9" s="461"/>
      <c r="L9" s="462"/>
    </row>
    <row r="10" spans="1:14">
      <c r="A10" s="466" t="str">
        <f>'User Manual'!A52</f>
        <v>FAQ</v>
      </c>
      <c r="B10" s="467"/>
      <c r="C10" s="467"/>
      <c r="D10" s="461" t="s">
        <v>6</v>
      </c>
      <c r="E10" s="461"/>
      <c r="F10" s="461"/>
      <c r="G10" s="461"/>
      <c r="H10" s="461"/>
      <c r="I10" s="461"/>
      <c r="J10" s="461"/>
      <c r="K10" s="461"/>
      <c r="L10" s="462"/>
    </row>
    <row r="11" spans="1:14">
      <c r="A11" s="468" t="str">
        <f>'User Manual'!A55</f>
        <v>Program Dashboard</v>
      </c>
      <c r="B11" s="469"/>
      <c r="C11" s="470"/>
      <c r="D11" s="461" t="s">
        <v>7</v>
      </c>
      <c r="E11" s="461"/>
      <c r="F11" s="461"/>
      <c r="G11" s="461"/>
      <c r="H11" s="461"/>
      <c r="I11" s="461"/>
      <c r="J11" s="461"/>
      <c r="K11" s="461"/>
      <c r="L11" s="462"/>
    </row>
    <row r="12" spans="1:14">
      <c r="A12" s="468" t="str">
        <f>'User Manual'!A58</f>
        <v>Monthly Tracker</v>
      </c>
      <c r="B12" s="469"/>
      <c r="C12" s="470"/>
      <c r="D12" s="461" t="s">
        <v>8</v>
      </c>
      <c r="E12" s="461"/>
      <c r="F12" s="461"/>
      <c r="G12" s="461"/>
      <c r="H12" s="461"/>
      <c r="I12" s="461"/>
      <c r="J12" s="461"/>
      <c r="K12" s="461"/>
      <c r="L12" s="462"/>
    </row>
    <row r="13" spans="1:14">
      <c r="A13" s="473" t="str">
        <f>'User Manual'!A61</f>
        <v>Facility Survey</v>
      </c>
      <c r="B13" s="474"/>
      <c r="C13" s="475"/>
      <c r="D13" s="461" t="s">
        <v>9</v>
      </c>
      <c r="E13" s="461"/>
      <c r="F13" s="461"/>
      <c r="G13" s="461"/>
      <c r="H13" s="461"/>
      <c r="I13" s="461"/>
      <c r="J13" s="461"/>
      <c r="K13" s="461"/>
      <c r="L13" s="462"/>
    </row>
    <row r="14" spans="1:14" ht="15" customHeight="1">
      <c r="A14" s="473" t="str">
        <f>'User Manual'!A64</f>
        <v>Observation Checklist</v>
      </c>
      <c r="B14" s="474"/>
      <c r="C14" s="475"/>
      <c r="D14" s="461" t="s">
        <v>10</v>
      </c>
      <c r="E14" s="461"/>
      <c r="F14" s="461"/>
      <c r="G14" s="461"/>
      <c r="H14" s="461"/>
      <c r="I14" s="461"/>
      <c r="J14" s="461"/>
      <c r="K14" s="461"/>
      <c r="L14" s="462"/>
      <c r="N14" s="406"/>
    </row>
    <row r="15" spans="1:14">
      <c r="A15" s="473" t="s">
        <v>11</v>
      </c>
      <c r="B15" s="474"/>
      <c r="C15" s="475"/>
      <c r="D15" s="461" t="s">
        <v>12</v>
      </c>
      <c r="E15" s="461"/>
      <c r="F15" s="461"/>
      <c r="G15" s="461"/>
      <c r="H15" s="461"/>
      <c r="I15" s="461"/>
      <c r="J15" s="461"/>
      <c r="K15" s="461"/>
      <c r="L15" s="462"/>
    </row>
    <row r="16" spans="1:14">
      <c r="A16" s="476" t="str">
        <f>'User Manual'!A70</f>
        <v>Container Capacity Calculator</v>
      </c>
      <c r="B16" s="477"/>
      <c r="C16" s="477"/>
      <c r="D16" s="461" t="s">
        <v>13</v>
      </c>
      <c r="E16" s="461"/>
      <c r="F16" s="461"/>
      <c r="G16" s="461"/>
      <c r="H16" s="461"/>
      <c r="I16" s="461"/>
      <c r="J16" s="461"/>
      <c r="K16" s="461"/>
      <c r="L16" s="462"/>
    </row>
    <row r="17" spans="1:12">
      <c r="A17" s="478" t="str">
        <f>'User Manual'!A73</f>
        <v>Container Cost Calculator</v>
      </c>
      <c r="B17" s="479"/>
      <c r="C17" s="479"/>
      <c r="D17" s="461" t="s">
        <v>14</v>
      </c>
      <c r="E17" s="461"/>
      <c r="F17" s="461"/>
      <c r="G17" s="461"/>
      <c r="H17" s="461"/>
      <c r="I17" s="461"/>
      <c r="J17" s="461"/>
      <c r="K17" s="461"/>
      <c r="L17" s="462"/>
    </row>
    <row r="18" spans="1:12">
      <c r="A18" s="463" t="str">
        <f>'User Manual'!A76</f>
        <v>Financial Calculator</v>
      </c>
      <c r="B18" s="464"/>
      <c r="C18" s="464"/>
      <c r="D18" s="461" t="s">
        <v>15</v>
      </c>
      <c r="E18" s="461"/>
      <c r="F18" s="461"/>
      <c r="G18" s="461"/>
      <c r="H18" s="461"/>
      <c r="I18" s="461"/>
      <c r="J18" s="461"/>
      <c r="K18" s="461"/>
      <c r="L18" s="462"/>
    </row>
    <row r="19" spans="1:12">
      <c r="A19" s="457" t="str">
        <f>'User Manual'!A79</f>
        <v>Job Creation Calculator</v>
      </c>
      <c r="B19" s="458"/>
      <c r="C19" s="458"/>
      <c r="D19" s="461" t="s">
        <v>16</v>
      </c>
      <c r="E19" s="461"/>
      <c r="F19" s="461"/>
      <c r="G19" s="461"/>
      <c r="H19" s="461"/>
      <c r="I19" s="461"/>
      <c r="J19" s="461"/>
      <c r="K19" s="461"/>
      <c r="L19" s="462"/>
    </row>
    <row r="20" spans="1:12">
      <c r="A20" s="459" t="str">
        <f>'User Manual'!A82</f>
        <v>Carbon Calculator</v>
      </c>
      <c r="B20" s="460"/>
      <c r="C20" s="460"/>
      <c r="D20" s="461" t="s">
        <v>17</v>
      </c>
      <c r="E20" s="461"/>
      <c r="F20" s="461"/>
      <c r="G20" s="461"/>
      <c r="H20" s="461"/>
      <c r="I20" s="461"/>
      <c r="J20" s="461"/>
      <c r="K20" s="461"/>
      <c r="L20" s="462"/>
    </row>
    <row r="21" spans="1:12">
      <c r="A21" s="107"/>
      <c r="L21" s="131"/>
    </row>
    <row r="22" spans="1:12" ht="26.25">
      <c r="A22" s="447" t="s">
        <v>18</v>
      </c>
      <c r="B22" s="480"/>
      <c r="C22" s="448"/>
      <c r="D22" s="448"/>
      <c r="E22" s="448"/>
      <c r="F22" s="448"/>
      <c r="G22" s="448"/>
      <c r="H22" s="448"/>
      <c r="I22" s="448"/>
      <c r="J22" s="448"/>
      <c r="K22" s="448"/>
      <c r="L22" s="449"/>
    </row>
    <row r="23" spans="1:12">
      <c r="A23" s="107"/>
      <c r="B23" s="435" t="s">
        <v>19</v>
      </c>
      <c r="C23" s="435"/>
      <c r="D23" s="435"/>
      <c r="E23" s="435"/>
      <c r="F23" s="435"/>
      <c r="G23" s="435"/>
      <c r="H23" s="435"/>
      <c r="I23" s="435"/>
      <c r="J23" s="435"/>
      <c r="K23" s="435"/>
      <c r="L23" s="436"/>
    </row>
    <row r="24" spans="1:12">
      <c r="A24" s="178"/>
      <c r="C24" s="439" t="s">
        <v>20</v>
      </c>
      <c r="D24" s="439"/>
      <c r="E24" s="439"/>
      <c r="F24" s="439"/>
      <c r="G24" s="439"/>
      <c r="H24" s="439"/>
      <c r="I24" s="439"/>
      <c r="J24" s="439"/>
      <c r="K24" s="439"/>
      <c r="L24" s="440"/>
    </row>
    <row r="25" spans="1:12">
      <c r="A25" s="178"/>
      <c r="C25" s="439" t="s">
        <v>21</v>
      </c>
      <c r="D25" s="439"/>
      <c r="E25" s="439"/>
      <c r="F25" s="439"/>
      <c r="G25" s="439"/>
      <c r="H25" s="439"/>
      <c r="I25" s="439"/>
      <c r="J25" s="439"/>
      <c r="K25" s="439"/>
      <c r="L25" s="440"/>
    </row>
    <row r="26" spans="1:12">
      <c r="A26" s="178"/>
      <c r="C26" s="439" t="s">
        <v>22</v>
      </c>
      <c r="D26" s="439"/>
      <c r="E26" s="439"/>
      <c r="F26" s="439"/>
      <c r="G26" s="439"/>
      <c r="H26" s="439"/>
      <c r="I26" s="439"/>
      <c r="J26" s="439"/>
      <c r="K26" s="439"/>
      <c r="L26" s="440"/>
    </row>
    <row r="27" spans="1:12">
      <c r="A27" s="107"/>
      <c r="C27" s="403"/>
      <c r="L27" s="131"/>
    </row>
    <row r="28" spans="1:12">
      <c r="A28" s="407"/>
      <c r="B28" s="404"/>
      <c r="C28" s="441" t="s">
        <v>23</v>
      </c>
      <c r="D28" s="441"/>
      <c r="E28" s="441"/>
      <c r="F28" s="441"/>
      <c r="G28" s="441"/>
      <c r="H28" s="441"/>
      <c r="I28" s="441"/>
      <c r="J28" s="441"/>
      <c r="K28" s="441"/>
      <c r="L28" s="442"/>
    </row>
    <row r="29" spans="1:12">
      <c r="A29" s="107"/>
      <c r="L29" s="131"/>
    </row>
    <row r="30" spans="1:12" ht="26.25">
      <c r="A30" s="447" t="s">
        <v>24</v>
      </c>
      <c r="B30" s="448"/>
      <c r="C30" s="448"/>
      <c r="D30" s="448"/>
      <c r="E30" s="448"/>
      <c r="F30" s="448"/>
      <c r="G30" s="448"/>
      <c r="H30" s="448"/>
      <c r="I30" s="448"/>
      <c r="J30" s="448"/>
      <c r="K30" s="448"/>
      <c r="L30" s="449"/>
    </row>
    <row r="31" spans="1:12">
      <c r="A31" s="107"/>
      <c r="B31" s="405" t="s">
        <v>25</v>
      </c>
      <c r="C31" s="481" t="s">
        <v>26</v>
      </c>
      <c r="D31" s="482"/>
      <c r="E31" s="482"/>
      <c r="F31" s="482"/>
      <c r="G31" s="483"/>
      <c r="L31" s="131"/>
    </row>
    <row r="32" spans="1:12">
      <c r="A32" s="107"/>
      <c r="B32" s="7" t="s">
        <v>27</v>
      </c>
      <c r="C32" s="446" t="s">
        <v>28</v>
      </c>
      <c r="D32" s="446"/>
      <c r="E32" s="446"/>
      <c r="F32" s="446"/>
      <c r="G32" s="446"/>
      <c r="L32" s="131"/>
    </row>
    <row r="33" spans="1:12">
      <c r="A33" s="107"/>
      <c r="B33" s="7" t="s">
        <v>29</v>
      </c>
      <c r="C33" s="446" t="s">
        <v>30</v>
      </c>
      <c r="D33" s="446"/>
      <c r="E33" s="446"/>
      <c r="F33" s="446"/>
      <c r="G33" s="446"/>
      <c r="L33" s="131"/>
    </row>
    <row r="34" spans="1:12">
      <c r="A34" s="107"/>
      <c r="B34" s="7" t="s">
        <v>31</v>
      </c>
      <c r="C34" s="446" t="s">
        <v>32</v>
      </c>
      <c r="D34" s="446"/>
      <c r="E34" s="446"/>
      <c r="F34" s="446"/>
      <c r="G34" s="446"/>
      <c r="L34" s="131"/>
    </row>
    <row r="35" spans="1:12">
      <c r="A35" s="407"/>
      <c r="B35" s="7" t="s">
        <v>33</v>
      </c>
      <c r="C35" s="446" t="s">
        <v>34</v>
      </c>
      <c r="D35" s="446"/>
      <c r="E35" s="446"/>
      <c r="F35" s="446"/>
      <c r="G35" s="446"/>
      <c r="H35" s="404"/>
      <c r="I35" s="404"/>
      <c r="J35" s="404"/>
      <c r="K35" s="404"/>
      <c r="L35" s="408"/>
    </row>
    <row r="36" spans="1:12">
      <c r="A36" s="107"/>
      <c r="L36" s="131"/>
    </row>
    <row r="37" spans="1:12" ht="26.25">
      <c r="A37" s="447" t="s">
        <v>587</v>
      </c>
      <c r="B37" s="448"/>
      <c r="C37" s="448"/>
      <c r="D37" s="448"/>
      <c r="E37" s="448"/>
      <c r="F37" s="448"/>
      <c r="G37" s="448"/>
      <c r="H37" s="448"/>
      <c r="I37" s="448"/>
      <c r="J37" s="448"/>
      <c r="K37" s="448"/>
      <c r="L37" s="449"/>
    </row>
    <row r="38" spans="1:12">
      <c r="A38" s="178" t="s">
        <v>35</v>
      </c>
      <c r="L38" s="131"/>
    </row>
    <row r="39" spans="1:12">
      <c r="A39" s="107"/>
      <c r="B39" s="426" t="s">
        <v>36</v>
      </c>
      <c r="C39" s="426"/>
      <c r="D39" s="426"/>
      <c r="E39" s="426"/>
      <c r="F39" s="426"/>
      <c r="G39" s="426"/>
      <c r="H39" s="426"/>
      <c r="I39" s="426"/>
      <c r="J39" s="426"/>
      <c r="K39" s="426"/>
      <c r="L39" s="427"/>
    </row>
    <row r="40" spans="1:12">
      <c r="A40" s="107"/>
      <c r="B40" s="426" t="s">
        <v>652</v>
      </c>
      <c r="C40" s="426"/>
      <c r="D40" s="426"/>
      <c r="E40" s="426"/>
      <c r="F40" s="426"/>
      <c r="G40" s="426"/>
      <c r="H40" s="426"/>
      <c r="I40" s="426"/>
      <c r="J40" s="426"/>
      <c r="K40" s="426"/>
      <c r="L40" s="427"/>
    </row>
    <row r="41" spans="1:12">
      <c r="A41" s="107"/>
      <c r="C41" s="439" t="s">
        <v>20</v>
      </c>
      <c r="D41" s="439"/>
      <c r="E41" s="439"/>
      <c r="F41" s="439"/>
      <c r="G41" s="439"/>
      <c r="H41" s="439"/>
      <c r="I41" s="439"/>
      <c r="J41" s="439"/>
      <c r="K41" s="439"/>
      <c r="L41" s="440"/>
    </row>
    <row r="42" spans="1:12">
      <c r="A42" s="107"/>
      <c r="C42" s="439" t="s">
        <v>21</v>
      </c>
      <c r="D42" s="439"/>
      <c r="E42" s="439"/>
      <c r="F42" s="439"/>
      <c r="G42" s="439"/>
      <c r="H42" s="439"/>
      <c r="I42" s="439"/>
      <c r="J42" s="439"/>
      <c r="K42" s="439"/>
      <c r="L42" s="440"/>
    </row>
    <row r="43" spans="1:12">
      <c r="A43" s="407"/>
      <c r="B43" s="404"/>
      <c r="C43" s="450" t="s">
        <v>22</v>
      </c>
      <c r="D43" s="450"/>
      <c r="E43" s="450"/>
      <c r="F43" s="450"/>
      <c r="G43" s="450"/>
      <c r="H43" s="450"/>
      <c r="I43" s="450"/>
      <c r="J43" s="450"/>
      <c r="K43" s="450"/>
      <c r="L43" s="451"/>
    </row>
    <row r="44" spans="1:12">
      <c r="A44" s="107"/>
      <c r="L44" s="131"/>
    </row>
    <row r="45" spans="1:12" ht="26.25">
      <c r="A45" s="443" t="s">
        <v>37</v>
      </c>
      <c r="B45" s="444"/>
      <c r="C45" s="444"/>
      <c r="D45" s="444"/>
      <c r="E45" s="444"/>
      <c r="F45" s="444"/>
      <c r="G45" s="444"/>
      <c r="H45" s="444"/>
      <c r="I45" s="444"/>
      <c r="J45" s="444"/>
      <c r="K45" s="444"/>
      <c r="L45" s="445"/>
    </row>
    <row r="46" spans="1:12">
      <c r="A46" s="178" t="s">
        <v>38</v>
      </c>
      <c r="L46" s="131"/>
    </row>
    <row r="47" spans="1:12">
      <c r="A47" s="107"/>
      <c r="B47" s="426" t="s">
        <v>653</v>
      </c>
      <c r="C47" s="426"/>
      <c r="D47" s="426"/>
      <c r="E47" s="426"/>
      <c r="F47" s="426"/>
      <c r="G47" s="426"/>
      <c r="H47" s="426"/>
      <c r="I47" s="426"/>
      <c r="J47" s="426"/>
      <c r="K47" s="426"/>
      <c r="L47" s="427"/>
    </row>
    <row r="48" spans="1:12">
      <c r="A48" s="107"/>
      <c r="B48" s="426" t="s">
        <v>39</v>
      </c>
      <c r="C48" s="426"/>
      <c r="D48" s="426"/>
      <c r="E48" s="426"/>
      <c r="F48" s="426"/>
      <c r="G48" s="426"/>
      <c r="H48" s="426"/>
      <c r="I48" s="426"/>
      <c r="J48" s="426"/>
      <c r="K48" s="426"/>
      <c r="L48" s="427"/>
    </row>
    <row r="49" spans="1:12">
      <c r="A49" s="107"/>
      <c r="C49" s="426" t="s">
        <v>40</v>
      </c>
      <c r="D49" s="426"/>
      <c r="E49" s="426"/>
      <c r="F49" s="426"/>
      <c r="G49" s="426"/>
      <c r="H49" s="426"/>
      <c r="I49" s="426"/>
      <c r="J49" s="426"/>
      <c r="K49" s="426"/>
      <c r="L49" s="427"/>
    </row>
    <row r="50" spans="1:12">
      <c r="A50" s="107"/>
      <c r="C50" s="426" t="s">
        <v>41</v>
      </c>
      <c r="D50" s="426"/>
      <c r="E50" s="426"/>
      <c r="F50" s="426"/>
      <c r="G50" s="426"/>
      <c r="H50" s="426"/>
      <c r="I50" s="426"/>
      <c r="J50" s="426"/>
      <c r="K50" s="426"/>
      <c r="L50" s="427"/>
    </row>
    <row r="51" spans="1:12" ht="12" customHeight="1">
      <c r="A51" s="407"/>
      <c r="B51" s="404"/>
      <c r="C51" s="432" t="s">
        <v>42</v>
      </c>
      <c r="D51" s="432"/>
      <c r="E51" s="432"/>
      <c r="F51" s="432"/>
      <c r="G51" s="432"/>
      <c r="H51" s="432"/>
      <c r="I51" s="432"/>
      <c r="J51" s="432"/>
      <c r="K51" s="432"/>
      <c r="L51" s="433"/>
    </row>
    <row r="52" spans="1:12" ht="0.75" hidden="1" customHeight="1">
      <c r="A52" s="107"/>
      <c r="C52" s="419"/>
      <c r="D52" s="419"/>
      <c r="E52" s="419"/>
      <c r="F52" s="419"/>
      <c r="G52" s="419"/>
      <c r="H52" s="419"/>
      <c r="I52" s="419"/>
      <c r="J52" s="419"/>
      <c r="K52" s="419"/>
      <c r="L52" s="418"/>
    </row>
    <row r="53" spans="1:12" ht="1.5" hidden="1" customHeight="1">
      <c r="A53" s="107"/>
      <c r="L53" s="131"/>
    </row>
    <row r="54" spans="1:12" ht="26.25">
      <c r="A54" s="443" t="s">
        <v>43</v>
      </c>
      <c r="B54" s="444"/>
      <c r="C54" s="444"/>
      <c r="D54" s="444"/>
      <c r="E54" s="444"/>
      <c r="F54" s="444"/>
      <c r="G54" s="444"/>
      <c r="H54" s="444"/>
      <c r="I54" s="444"/>
      <c r="J54" s="444"/>
      <c r="K54" s="444"/>
      <c r="L54" s="445"/>
    </row>
    <row r="55" spans="1:12">
      <c r="A55" s="434" t="s">
        <v>44</v>
      </c>
      <c r="B55" s="435"/>
      <c r="C55" s="435"/>
      <c r="D55" s="435"/>
      <c r="E55" s="435"/>
      <c r="F55" s="435"/>
      <c r="G55" s="435"/>
      <c r="H55" s="435"/>
      <c r="I55" s="435"/>
      <c r="J55" s="435"/>
      <c r="K55" s="435"/>
      <c r="L55" s="436"/>
    </row>
    <row r="56" spans="1:12">
      <c r="A56" s="107"/>
      <c r="B56" s="426" t="s">
        <v>45</v>
      </c>
      <c r="C56" s="426"/>
      <c r="D56" s="426"/>
      <c r="E56" s="426"/>
      <c r="F56" s="426"/>
      <c r="G56" s="426"/>
      <c r="H56" s="426"/>
      <c r="I56" s="426"/>
      <c r="J56" s="426"/>
      <c r="K56" s="426"/>
      <c r="L56" s="427"/>
    </row>
    <row r="57" spans="1:12">
      <c r="A57" s="107"/>
      <c r="B57" s="426" t="s">
        <v>46</v>
      </c>
      <c r="C57" s="426"/>
      <c r="D57" s="426"/>
      <c r="E57" s="426"/>
      <c r="F57" s="426"/>
      <c r="G57" s="426"/>
      <c r="H57" s="426"/>
      <c r="I57" s="426"/>
      <c r="J57" s="426"/>
      <c r="K57" s="426"/>
      <c r="L57" s="427"/>
    </row>
    <row r="58" spans="1:12">
      <c r="A58" s="107"/>
      <c r="B58" s="426" t="s">
        <v>47</v>
      </c>
      <c r="C58" s="426"/>
      <c r="D58" s="426"/>
      <c r="E58" s="426"/>
      <c r="F58" s="426"/>
      <c r="G58" s="426"/>
      <c r="H58" s="426"/>
      <c r="I58" s="426"/>
      <c r="J58" s="426"/>
      <c r="K58" s="426"/>
      <c r="L58" s="427"/>
    </row>
    <row r="59" spans="1:12">
      <c r="A59" s="107"/>
      <c r="C59" s="426" t="s">
        <v>48</v>
      </c>
      <c r="D59" s="426"/>
      <c r="E59" s="426"/>
      <c r="F59" s="426"/>
      <c r="G59" s="426"/>
      <c r="H59" s="426"/>
      <c r="I59" s="426"/>
      <c r="J59" s="426"/>
      <c r="K59" s="426"/>
      <c r="L59" s="427"/>
    </row>
    <row r="60" spans="1:12">
      <c r="A60" s="107"/>
      <c r="C60" s="426" t="s">
        <v>49</v>
      </c>
      <c r="D60" s="426"/>
      <c r="E60" s="426"/>
      <c r="F60" s="426"/>
      <c r="G60" s="426"/>
      <c r="H60" s="426"/>
      <c r="I60" s="426"/>
      <c r="J60" s="426"/>
      <c r="K60" s="426"/>
      <c r="L60" s="427"/>
    </row>
    <row r="61" spans="1:12">
      <c r="A61" s="107"/>
      <c r="C61" s="403"/>
      <c r="L61" s="131"/>
    </row>
    <row r="62" spans="1:12">
      <c r="A62" s="407"/>
      <c r="B62" s="404" t="s">
        <v>588</v>
      </c>
      <c r="C62" s="404"/>
      <c r="D62" s="404"/>
      <c r="E62" s="404"/>
      <c r="F62" s="404"/>
      <c r="G62" s="404"/>
      <c r="H62" s="404"/>
      <c r="I62" s="404"/>
      <c r="J62" s="404"/>
      <c r="K62" s="404"/>
      <c r="L62" s="408"/>
    </row>
    <row r="63" spans="1:12">
      <c r="A63" s="107"/>
      <c r="L63" s="131"/>
    </row>
    <row r="64" spans="1:12" ht="26.25">
      <c r="A64" s="443" t="s">
        <v>654</v>
      </c>
      <c r="B64" s="444"/>
      <c r="C64" s="444"/>
      <c r="D64" s="444"/>
      <c r="E64" s="444"/>
      <c r="F64" s="444"/>
      <c r="G64" s="444"/>
      <c r="H64" s="444"/>
      <c r="I64" s="444"/>
      <c r="J64" s="444"/>
      <c r="K64" s="444"/>
      <c r="L64" s="445"/>
    </row>
    <row r="65" spans="1:12">
      <c r="A65" s="107"/>
      <c r="B65" s="437" t="s">
        <v>50</v>
      </c>
      <c r="C65" s="437"/>
      <c r="D65" s="437"/>
      <c r="E65" s="437"/>
      <c r="F65" s="437"/>
      <c r="G65" s="437"/>
      <c r="H65" s="437"/>
      <c r="I65" s="437"/>
      <c r="J65" s="437"/>
      <c r="K65" s="437"/>
      <c r="L65" s="438"/>
    </row>
    <row r="66" spans="1:12">
      <c r="A66" s="107"/>
      <c r="B66" s="426" t="s">
        <v>589</v>
      </c>
      <c r="C66" s="426"/>
      <c r="D66" s="426"/>
      <c r="E66" s="426"/>
      <c r="F66" s="426"/>
      <c r="G66" s="426"/>
      <c r="H66" s="426"/>
      <c r="I66" s="426"/>
      <c r="J66" s="426"/>
      <c r="K66" s="426"/>
      <c r="L66" s="427"/>
    </row>
    <row r="67" spans="1:12">
      <c r="A67" s="107"/>
      <c r="C67" s="426" t="s">
        <v>590</v>
      </c>
      <c r="D67" s="426"/>
      <c r="E67" s="426"/>
      <c r="F67" s="426"/>
      <c r="G67" s="426"/>
      <c r="H67" s="426"/>
      <c r="I67" s="426"/>
      <c r="J67" s="426"/>
      <c r="K67" s="426"/>
      <c r="L67" s="427"/>
    </row>
    <row r="68" spans="1:12">
      <c r="A68" s="407"/>
      <c r="B68" s="404"/>
      <c r="C68" s="432" t="s">
        <v>51</v>
      </c>
      <c r="D68" s="432"/>
      <c r="E68" s="432"/>
      <c r="F68" s="432"/>
      <c r="G68" s="432"/>
      <c r="H68" s="432"/>
      <c r="I68" s="432"/>
      <c r="J68" s="432"/>
      <c r="K68" s="432"/>
      <c r="L68" s="433"/>
    </row>
    <row r="69" spans="1:12" ht="15.75" thickBot="1">
      <c r="A69" s="107"/>
      <c r="L69" s="131"/>
    </row>
    <row r="70" spans="1:12" ht="26.25">
      <c r="A70" s="495" t="s">
        <v>52</v>
      </c>
      <c r="B70" s="496"/>
      <c r="C70" s="496"/>
      <c r="D70" s="496"/>
      <c r="E70" s="496"/>
      <c r="F70" s="496"/>
      <c r="G70" s="496"/>
      <c r="H70" s="496"/>
      <c r="I70" s="496"/>
      <c r="J70" s="496"/>
      <c r="K70" s="496"/>
      <c r="L70" s="497"/>
    </row>
    <row r="71" spans="1:12">
      <c r="A71" s="491" t="s">
        <v>655</v>
      </c>
      <c r="B71" s="492"/>
      <c r="C71" s="492"/>
      <c r="D71" s="492"/>
      <c r="E71" s="492"/>
      <c r="F71" s="492"/>
      <c r="G71" s="492"/>
      <c r="H71" s="492"/>
      <c r="I71" s="492"/>
      <c r="J71" s="492"/>
      <c r="K71" s="492"/>
      <c r="L71" s="493"/>
    </row>
    <row r="72" spans="1:12">
      <c r="A72" s="488"/>
      <c r="B72" s="489"/>
      <c r="C72" s="489"/>
      <c r="D72" s="489"/>
      <c r="E72" s="489"/>
      <c r="F72" s="489"/>
      <c r="G72" s="489"/>
      <c r="H72" s="489"/>
      <c r="I72" s="489"/>
      <c r="J72" s="489"/>
      <c r="K72" s="489"/>
      <c r="L72" s="490"/>
    </row>
    <row r="73" spans="1:12">
      <c r="A73" s="430" t="s">
        <v>53</v>
      </c>
      <c r="B73" s="431"/>
      <c r="C73" s="431"/>
      <c r="D73" s="431" t="s">
        <v>54</v>
      </c>
      <c r="E73" s="431"/>
      <c r="F73" s="431"/>
      <c r="G73" s="431"/>
      <c r="H73" s="431"/>
      <c r="I73" s="431"/>
      <c r="J73" s="431"/>
      <c r="K73" s="431"/>
      <c r="L73" s="465"/>
    </row>
    <row r="74" spans="1:12">
      <c r="A74" s="428" t="s">
        <v>55</v>
      </c>
      <c r="B74" s="429"/>
      <c r="C74" s="429"/>
      <c r="D74" s="446" t="s">
        <v>591</v>
      </c>
      <c r="E74" s="446"/>
      <c r="F74" s="446"/>
      <c r="G74" s="446"/>
      <c r="H74" s="446"/>
      <c r="I74" s="446"/>
      <c r="J74" s="446"/>
      <c r="K74" s="446"/>
      <c r="L74" s="494"/>
    </row>
    <row r="75" spans="1:12">
      <c r="A75" s="428" t="s">
        <v>56</v>
      </c>
      <c r="B75" s="429"/>
      <c r="C75" s="429"/>
      <c r="D75" s="446" t="s">
        <v>57</v>
      </c>
      <c r="E75" s="446"/>
      <c r="F75" s="446"/>
      <c r="G75" s="446"/>
      <c r="H75" s="446"/>
      <c r="I75" s="446"/>
      <c r="J75" s="446"/>
      <c r="K75" s="446"/>
      <c r="L75" s="494"/>
    </row>
    <row r="76" spans="1:12">
      <c r="A76" s="428" t="s">
        <v>58</v>
      </c>
      <c r="B76" s="429"/>
      <c r="C76" s="429"/>
      <c r="D76" s="446" t="s">
        <v>59</v>
      </c>
      <c r="E76" s="446"/>
      <c r="F76" s="446"/>
      <c r="G76" s="446"/>
      <c r="H76" s="446"/>
      <c r="I76" s="446"/>
      <c r="J76" s="446"/>
      <c r="K76" s="446"/>
      <c r="L76" s="494"/>
    </row>
    <row r="77" spans="1:12">
      <c r="A77" s="428" t="s">
        <v>60</v>
      </c>
      <c r="B77" s="429"/>
      <c r="C77" s="429"/>
      <c r="D77" s="446" t="s">
        <v>61</v>
      </c>
      <c r="E77" s="446"/>
      <c r="F77" s="446"/>
      <c r="G77" s="446"/>
      <c r="H77" s="446"/>
      <c r="I77" s="446"/>
      <c r="J77" s="446"/>
      <c r="K77" s="446"/>
      <c r="L77" s="494"/>
    </row>
    <row r="78" spans="1:12" ht="15.75" thickBot="1">
      <c r="A78" s="498" t="s">
        <v>62</v>
      </c>
      <c r="B78" s="499"/>
      <c r="C78" s="499"/>
      <c r="D78" s="486" t="s">
        <v>63</v>
      </c>
      <c r="E78" s="486"/>
      <c r="F78" s="486"/>
      <c r="G78" s="486"/>
      <c r="H78" s="486"/>
      <c r="I78" s="486"/>
      <c r="J78" s="486"/>
      <c r="K78" s="486"/>
      <c r="L78" s="487"/>
    </row>
    <row r="79" spans="1:12">
      <c r="A79" s="107"/>
      <c r="L79" s="131"/>
    </row>
    <row r="80" spans="1:12" ht="26.25">
      <c r="A80" s="447" t="s">
        <v>64</v>
      </c>
      <c r="B80" s="448"/>
      <c r="C80" s="448"/>
      <c r="D80" s="448"/>
      <c r="E80" s="448"/>
      <c r="F80" s="448"/>
      <c r="G80" s="448"/>
      <c r="H80" s="448"/>
      <c r="I80" s="448"/>
      <c r="J80" s="448"/>
      <c r="K80" s="448"/>
      <c r="L80" s="449"/>
    </row>
    <row r="81" spans="1:12">
      <c r="A81" s="107"/>
      <c r="B81" s="437" t="s">
        <v>65</v>
      </c>
      <c r="C81" s="437"/>
      <c r="D81" s="437"/>
      <c r="E81" s="437"/>
      <c r="F81" s="437"/>
      <c r="G81" s="437"/>
      <c r="H81" s="437"/>
      <c r="I81" s="437"/>
      <c r="J81" s="437"/>
      <c r="K81" s="437"/>
      <c r="L81" s="438"/>
    </row>
    <row r="82" spans="1:12">
      <c r="A82" s="107"/>
      <c r="B82" s="426" t="s">
        <v>66</v>
      </c>
      <c r="C82" s="426"/>
      <c r="D82" s="426"/>
      <c r="E82" s="426"/>
      <c r="F82" s="426"/>
      <c r="G82" s="426"/>
      <c r="H82" s="426"/>
      <c r="I82" s="426"/>
      <c r="J82" s="426"/>
      <c r="K82" s="426"/>
      <c r="L82" s="427"/>
    </row>
    <row r="83" spans="1:12">
      <c r="A83" s="107"/>
      <c r="B83" s="426" t="s">
        <v>67</v>
      </c>
      <c r="C83" s="426"/>
      <c r="D83" s="426"/>
      <c r="E83" s="426"/>
      <c r="F83" s="426"/>
      <c r="G83" s="426"/>
      <c r="H83" s="426"/>
      <c r="I83" s="426"/>
      <c r="J83" s="426"/>
      <c r="K83" s="426"/>
      <c r="L83" s="427"/>
    </row>
    <row r="84" spans="1:12">
      <c r="A84" s="107"/>
      <c r="C84" s="426" t="s">
        <v>68</v>
      </c>
      <c r="D84" s="426"/>
      <c r="E84" s="426"/>
      <c r="F84" s="426"/>
      <c r="G84" s="426"/>
      <c r="H84" s="426"/>
      <c r="I84" s="426"/>
      <c r="J84" s="426"/>
      <c r="K84" s="426"/>
      <c r="L84" s="427"/>
    </row>
    <row r="85" spans="1:12">
      <c r="A85" s="107"/>
      <c r="C85" s="426" t="s">
        <v>69</v>
      </c>
      <c r="D85" s="426"/>
      <c r="E85" s="426"/>
      <c r="F85" s="426"/>
      <c r="G85" s="426"/>
      <c r="H85" s="426"/>
      <c r="I85" s="426"/>
      <c r="J85" s="426"/>
      <c r="K85" s="426"/>
      <c r="L85" s="427"/>
    </row>
    <row r="86" spans="1:12">
      <c r="A86" s="107"/>
      <c r="C86" s="426" t="s">
        <v>70</v>
      </c>
      <c r="D86" s="426"/>
      <c r="E86" s="426"/>
      <c r="F86" s="426"/>
      <c r="G86" s="426"/>
      <c r="H86" s="426"/>
      <c r="I86" s="426"/>
      <c r="J86" s="426"/>
      <c r="K86" s="426"/>
      <c r="L86" s="427"/>
    </row>
    <row r="87" spans="1:12">
      <c r="A87" s="107"/>
      <c r="L87" s="131"/>
    </row>
    <row r="88" spans="1:12" ht="15.75" thickBot="1">
      <c r="A88" s="109"/>
      <c r="B88" s="484" t="s">
        <v>71</v>
      </c>
      <c r="C88" s="484"/>
      <c r="D88" s="484"/>
      <c r="E88" s="484"/>
      <c r="F88" s="484"/>
      <c r="G88" s="484"/>
      <c r="H88" s="484"/>
      <c r="I88" s="484"/>
      <c r="J88" s="484"/>
      <c r="K88" s="484"/>
      <c r="L88" s="485"/>
    </row>
  </sheetData>
  <sheetProtection sheet="1" objects="1" scenarios="1" formatColumns="0" formatRows="0"/>
  <mergeCells count="89">
    <mergeCell ref="D78:L78"/>
    <mergeCell ref="C68:L68"/>
    <mergeCell ref="A72:L72"/>
    <mergeCell ref="A71:L71"/>
    <mergeCell ref="C86:L86"/>
    <mergeCell ref="A80:L80"/>
    <mergeCell ref="D73:L73"/>
    <mergeCell ref="D74:L74"/>
    <mergeCell ref="D75:L75"/>
    <mergeCell ref="D76:L76"/>
    <mergeCell ref="D77:L77"/>
    <mergeCell ref="A70:L70"/>
    <mergeCell ref="A76:C76"/>
    <mergeCell ref="A78:C78"/>
    <mergeCell ref="A77:C77"/>
    <mergeCell ref="B88:L88"/>
    <mergeCell ref="B81:L81"/>
    <mergeCell ref="B82:L82"/>
    <mergeCell ref="B83:L83"/>
    <mergeCell ref="C84:L84"/>
    <mergeCell ref="C85:L85"/>
    <mergeCell ref="D17:L17"/>
    <mergeCell ref="D18:L18"/>
    <mergeCell ref="B56:L56"/>
    <mergeCell ref="B57:L57"/>
    <mergeCell ref="B58:L58"/>
    <mergeCell ref="D19:L19"/>
    <mergeCell ref="D20:L20"/>
    <mergeCell ref="A22:L22"/>
    <mergeCell ref="C34:G34"/>
    <mergeCell ref="C33:G33"/>
    <mergeCell ref="A30:L30"/>
    <mergeCell ref="C31:G31"/>
    <mergeCell ref="C32:G32"/>
    <mergeCell ref="B23:L23"/>
    <mergeCell ref="C24:L24"/>
    <mergeCell ref="C25:L25"/>
    <mergeCell ref="A13:C13"/>
    <mergeCell ref="A14:C14"/>
    <mergeCell ref="A15:C15"/>
    <mergeCell ref="A16:C16"/>
    <mergeCell ref="A17:C17"/>
    <mergeCell ref="A10:C10"/>
    <mergeCell ref="A11:C11"/>
    <mergeCell ref="A12:C12"/>
    <mergeCell ref="A9:C9"/>
    <mergeCell ref="D9:L9"/>
    <mergeCell ref="A1:L1"/>
    <mergeCell ref="A3:L3"/>
    <mergeCell ref="A7:L7"/>
    <mergeCell ref="A19:C19"/>
    <mergeCell ref="A20:C20"/>
    <mergeCell ref="D10:L10"/>
    <mergeCell ref="D11:L11"/>
    <mergeCell ref="D12:L12"/>
    <mergeCell ref="D13:L13"/>
    <mergeCell ref="D14:L14"/>
    <mergeCell ref="D15:L15"/>
    <mergeCell ref="D16:L16"/>
    <mergeCell ref="A18:C18"/>
    <mergeCell ref="A8:C8"/>
    <mergeCell ref="A5:L5"/>
    <mergeCell ref="D8:L8"/>
    <mergeCell ref="C26:L26"/>
    <mergeCell ref="C28:L28"/>
    <mergeCell ref="A45:L45"/>
    <mergeCell ref="A54:L54"/>
    <mergeCell ref="A64:L64"/>
    <mergeCell ref="C35:G35"/>
    <mergeCell ref="A37:L37"/>
    <mergeCell ref="C59:L59"/>
    <mergeCell ref="B39:L39"/>
    <mergeCell ref="B40:L40"/>
    <mergeCell ref="C41:L41"/>
    <mergeCell ref="C42:L42"/>
    <mergeCell ref="C43:L43"/>
    <mergeCell ref="B47:L47"/>
    <mergeCell ref="B48:L48"/>
    <mergeCell ref="C49:L49"/>
    <mergeCell ref="C50:L50"/>
    <mergeCell ref="C51:L51"/>
    <mergeCell ref="A55:L55"/>
    <mergeCell ref="C60:L60"/>
    <mergeCell ref="B65:L65"/>
    <mergeCell ref="B66:L66"/>
    <mergeCell ref="C67:L67"/>
    <mergeCell ref="A74:C74"/>
    <mergeCell ref="A75:C75"/>
    <mergeCell ref="A73:C73"/>
  </mergeCells>
  <pageMargins left="0.7" right="0.7" top="0.75" bottom="0.75" header="0.3" footer="0.3"/>
  <pageSetup scale="74" orientation="portrait" r:id="rId1"/>
  <rowBreaks count="1" manualBreakCount="1">
    <brk id="52" max="11" man="1"/>
  </rowBreaks>
  <colBreaks count="1" manualBreakCount="1">
    <brk id="12"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C72641-DAF7-42AA-B021-9A4A3598F230}">
  <dimension ref="A1:O91"/>
  <sheetViews>
    <sheetView workbookViewId="0">
      <selection activeCell="R9" sqref="R9"/>
    </sheetView>
  </sheetViews>
  <sheetFormatPr defaultColWidth="9.140625" defaultRowHeight="15"/>
  <cols>
    <col min="1" max="1" width="1.5703125" style="5" customWidth="1"/>
    <col min="2" max="2" width="25.7109375" style="5" customWidth="1"/>
    <col min="3" max="3" width="15.140625" style="5" customWidth="1"/>
    <col min="4" max="15" width="9.140625" style="5"/>
    <col min="16" max="16" width="9.140625" style="5" customWidth="1"/>
    <col min="17" max="16384" width="9.140625" style="5"/>
  </cols>
  <sheetData>
    <row r="1" spans="1:15" ht="27" thickBot="1">
      <c r="A1" s="452" t="str" cm="1">
        <f t="array" aca="1" ref="A1" ca="1">RIGHT(CELL("filename",A1),LEN(CELL("filename",A1))-SEARCH("]",CELL("filename",A1)))</f>
        <v>User Manual</v>
      </c>
      <c r="B1" s="453"/>
      <c r="C1" s="453"/>
      <c r="D1" s="453"/>
      <c r="E1" s="453"/>
      <c r="F1" s="453"/>
      <c r="G1" s="453"/>
      <c r="H1" s="453"/>
      <c r="I1" s="453"/>
      <c r="J1" s="453"/>
      <c r="K1" s="453"/>
      <c r="L1" s="453"/>
      <c r="M1" s="453"/>
      <c r="N1" s="453"/>
      <c r="O1" s="454"/>
    </row>
    <row r="2" spans="1:15">
      <c r="A2" s="344"/>
      <c r="B2" s="286"/>
      <c r="C2" s="286"/>
      <c r="D2" s="286"/>
      <c r="E2" s="286"/>
      <c r="F2" s="286"/>
      <c r="G2" s="286"/>
      <c r="H2" s="286"/>
      <c r="I2" s="286"/>
      <c r="J2" s="286"/>
      <c r="K2" s="286"/>
      <c r="L2" s="286"/>
      <c r="M2" s="286"/>
      <c r="N2" s="286"/>
      <c r="O2" s="287"/>
    </row>
    <row r="3" spans="1:15">
      <c r="A3" s="177" t="s">
        <v>72</v>
      </c>
      <c r="O3" s="131"/>
    </row>
    <row r="4" spans="1:15" ht="78" customHeight="1">
      <c r="A4" s="178"/>
      <c r="B4" s="425" t="s">
        <v>73</v>
      </c>
      <c r="C4" s="425"/>
      <c r="D4" s="425"/>
      <c r="E4" s="425"/>
      <c r="F4" s="425"/>
      <c r="G4" s="425"/>
      <c r="H4" s="425"/>
      <c r="I4" s="425"/>
      <c r="J4" s="425"/>
      <c r="K4" s="425"/>
      <c r="L4" s="425"/>
      <c r="M4" s="425"/>
      <c r="N4" s="425"/>
      <c r="O4" s="456"/>
    </row>
    <row r="5" spans="1:15">
      <c r="A5" s="178"/>
      <c r="O5" s="131"/>
    </row>
    <row r="6" spans="1:15">
      <c r="A6" s="178" t="s">
        <v>74</v>
      </c>
      <c r="O6" s="131"/>
    </row>
    <row r="7" spans="1:15">
      <c r="A7" s="178"/>
      <c r="B7" s="500" t="s">
        <v>75</v>
      </c>
      <c r="C7" s="500"/>
      <c r="D7" s="500"/>
      <c r="E7" s="500"/>
      <c r="F7" s="500"/>
      <c r="G7" s="500"/>
      <c r="H7" s="500"/>
      <c r="I7" s="500"/>
      <c r="J7" s="500"/>
      <c r="K7" s="500"/>
      <c r="L7" s="500"/>
      <c r="M7" s="500"/>
      <c r="N7" s="500"/>
      <c r="O7" s="501"/>
    </row>
    <row r="8" spans="1:15">
      <c r="A8" s="178"/>
      <c r="O8" s="131"/>
    </row>
    <row r="9" spans="1:15">
      <c r="A9" s="177" t="s">
        <v>76</v>
      </c>
      <c r="O9" s="131"/>
    </row>
    <row r="10" spans="1:15" ht="29.45" customHeight="1">
      <c r="A10" s="178"/>
      <c r="B10" s="519" t="s">
        <v>77</v>
      </c>
      <c r="C10" s="519"/>
      <c r="D10" s="519"/>
      <c r="E10" s="519"/>
      <c r="F10" s="519"/>
      <c r="G10" s="519"/>
      <c r="H10" s="519"/>
      <c r="I10" s="519"/>
      <c r="J10" s="519"/>
      <c r="K10" s="519"/>
      <c r="L10" s="519"/>
      <c r="M10" s="519"/>
      <c r="N10" s="519"/>
      <c r="O10" s="520"/>
    </row>
    <row r="11" spans="1:15">
      <c r="A11" s="178"/>
      <c r="B11" s="61"/>
      <c r="C11" s="61"/>
      <c r="D11" s="61"/>
      <c r="E11" s="61"/>
      <c r="F11" s="61"/>
      <c r="G11" s="61"/>
      <c r="H11" s="61"/>
      <c r="I11" s="61"/>
      <c r="J11" s="61"/>
      <c r="K11" s="61"/>
      <c r="L11" s="61"/>
      <c r="M11" s="61"/>
      <c r="N11" s="61"/>
      <c r="O11" s="144"/>
    </row>
    <row r="12" spans="1:15" ht="31.5" customHeight="1">
      <c r="A12" s="178"/>
      <c r="B12" s="521" t="s">
        <v>78</v>
      </c>
      <c r="C12" s="521"/>
      <c r="D12" s="521"/>
      <c r="E12" s="521"/>
      <c r="F12" s="521"/>
      <c r="G12" s="521"/>
      <c r="H12" s="521"/>
      <c r="I12" s="521"/>
      <c r="J12" s="521"/>
      <c r="K12" s="521"/>
      <c r="L12" s="521"/>
      <c r="M12" s="521"/>
      <c r="N12" s="521"/>
      <c r="O12" s="522"/>
    </row>
    <row r="13" spans="1:15">
      <c r="A13" s="178"/>
      <c r="B13" s="355"/>
      <c r="C13" s="355"/>
      <c r="D13" s="355"/>
      <c r="E13" s="355"/>
      <c r="F13" s="355"/>
      <c r="G13" s="355"/>
      <c r="H13" s="355"/>
      <c r="I13" s="355"/>
      <c r="J13" s="355"/>
      <c r="K13" s="355"/>
      <c r="L13" s="355"/>
      <c r="M13" s="355"/>
      <c r="N13" s="355"/>
      <c r="O13" s="356"/>
    </row>
    <row r="14" spans="1:15" ht="43.5" customHeight="1">
      <c r="A14" s="178"/>
      <c r="B14" s="425" t="s">
        <v>79</v>
      </c>
      <c r="C14" s="425"/>
      <c r="D14" s="425"/>
      <c r="E14" s="425"/>
      <c r="F14" s="425"/>
      <c r="G14" s="425"/>
      <c r="H14" s="425"/>
      <c r="I14" s="425"/>
      <c r="J14" s="425"/>
      <c r="K14" s="425"/>
      <c r="L14" s="425"/>
      <c r="M14" s="425"/>
      <c r="N14" s="425"/>
      <c r="O14" s="456"/>
    </row>
    <row r="15" spans="1:15">
      <c r="A15" s="178"/>
      <c r="B15" s="61"/>
      <c r="C15" s="61"/>
      <c r="D15" s="61"/>
      <c r="E15" s="61"/>
      <c r="F15" s="61"/>
      <c r="G15" s="61"/>
      <c r="H15" s="61"/>
      <c r="I15" s="61"/>
      <c r="J15" s="61"/>
      <c r="K15" s="61"/>
      <c r="L15" s="61"/>
      <c r="M15" s="61"/>
      <c r="N15" s="61"/>
      <c r="O15" s="144"/>
    </row>
    <row r="16" spans="1:15" ht="72.95" customHeight="1">
      <c r="A16" s="178"/>
      <c r="B16" s="519" t="s">
        <v>80</v>
      </c>
      <c r="C16" s="519"/>
      <c r="D16" s="519"/>
      <c r="E16" s="519"/>
      <c r="F16" s="519"/>
      <c r="G16" s="519"/>
      <c r="H16" s="519"/>
      <c r="I16" s="519"/>
      <c r="J16" s="519"/>
      <c r="K16" s="519"/>
      <c r="L16" s="519"/>
      <c r="M16" s="519"/>
      <c r="N16" s="519"/>
      <c r="O16" s="520"/>
    </row>
    <row r="17" spans="1:15">
      <c r="A17" s="178"/>
      <c r="B17" s="61"/>
      <c r="C17" s="61"/>
      <c r="D17" s="61"/>
      <c r="E17" s="61"/>
      <c r="F17" s="61"/>
      <c r="G17" s="61"/>
      <c r="H17" s="61"/>
      <c r="I17" s="61"/>
      <c r="J17" s="61"/>
      <c r="K17" s="61"/>
      <c r="L17" s="61"/>
      <c r="M17" s="61"/>
      <c r="N17" s="61"/>
      <c r="O17" s="144"/>
    </row>
    <row r="18" spans="1:15" ht="63.75" customHeight="1">
      <c r="A18" s="178"/>
      <c r="B18" s="519" t="s">
        <v>81</v>
      </c>
      <c r="C18" s="519"/>
      <c r="D18" s="519"/>
      <c r="E18" s="519"/>
      <c r="F18" s="519"/>
      <c r="G18" s="519"/>
      <c r="H18" s="519"/>
      <c r="I18" s="519"/>
      <c r="J18" s="519"/>
      <c r="K18" s="519"/>
      <c r="L18" s="519"/>
      <c r="M18" s="519"/>
      <c r="N18" s="519"/>
      <c r="O18" s="520"/>
    </row>
    <row r="19" spans="1:15">
      <c r="A19" s="178"/>
      <c r="B19" s="61"/>
      <c r="C19" s="61"/>
      <c r="D19" s="61"/>
      <c r="E19" s="61"/>
      <c r="F19" s="61"/>
      <c r="G19" s="61"/>
      <c r="H19" s="61"/>
      <c r="I19" s="61"/>
      <c r="J19" s="61"/>
      <c r="K19" s="61"/>
      <c r="L19" s="61"/>
      <c r="M19" s="61"/>
      <c r="N19" s="61"/>
      <c r="O19" s="144"/>
    </row>
    <row r="20" spans="1:15" ht="58.5" customHeight="1">
      <c r="A20" s="178"/>
      <c r="B20" s="519" t="s">
        <v>82</v>
      </c>
      <c r="C20" s="519"/>
      <c r="D20" s="519"/>
      <c r="E20" s="519"/>
      <c r="F20" s="519"/>
      <c r="G20" s="519"/>
      <c r="H20" s="519"/>
      <c r="I20" s="519"/>
      <c r="J20" s="519"/>
      <c r="K20" s="519"/>
      <c r="L20" s="519"/>
      <c r="M20" s="519"/>
      <c r="N20" s="519"/>
      <c r="O20" s="520"/>
    </row>
    <row r="21" spans="1:15">
      <c r="A21" s="178"/>
      <c r="B21" s="61"/>
      <c r="C21" s="61"/>
      <c r="D21" s="61"/>
      <c r="E21" s="61"/>
      <c r="F21" s="61"/>
      <c r="G21" s="61"/>
      <c r="H21" s="61"/>
      <c r="I21" s="61"/>
      <c r="J21" s="61"/>
      <c r="K21" s="61"/>
      <c r="L21" s="61"/>
      <c r="M21" s="61"/>
      <c r="N21" s="61"/>
      <c r="O21" s="144"/>
    </row>
    <row r="22" spans="1:15" ht="27.6" customHeight="1">
      <c r="A22" s="178"/>
      <c r="B22" s="519" t="s">
        <v>83</v>
      </c>
      <c r="C22" s="519"/>
      <c r="D22" s="519"/>
      <c r="E22" s="519"/>
      <c r="F22" s="519"/>
      <c r="G22" s="519"/>
      <c r="H22" s="519"/>
      <c r="I22" s="519"/>
      <c r="J22" s="519"/>
      <c r="K22" s="519"/>
      <c r="L22" s="519"/>
      <c r="M22" s="519"/>
      <c r="N22" s="519"/>
      <c r="O22" s="520"/>
    </row>
    <row r="23" spans="1:15">
      <c r="A23" s="178"/>
      <c r="B23" s="61"/>
      <c r="C23" s="61"/>
      <c r="D23" s="61"/>
      <c r="E23" s="61"/>
      <c r="F23" s="61"/>
      <c r="G23" s="61"/>
      <c r="H23" s="61"/>
      <c r="I23" s="61"/>
      <c r="J23" s="61"/>
      <c r="K23" s="61"/>
      <c r="L23" s="61"/>
      <c r="M23" s="61"/>
      <c r="N23" s="61"/>
      <c r="O23" s="144"/>
    </row>
    <row r="24" spans="1:15" ht="46.5" customHeight="1">
      <c r="A24" s="178"/>
      <c r="B24" s="521" t="s">
        <v>84</v>
      </c>
      <c r="C24" s="521"/>
      <c r="D24" s="521"/>
      <c r="E24" s="521"/>
      <c r="F24" s="521"/>
      <c r="G24" s="521"/>
      <c r="H24" s="521"/>
      <c r="I24" s="521"/>
      <c r="J24" s="521"/>
      <c r="K24" s="521"/>
      <c r="L24" s="521"/>
      <c r="M24" s="521"/>
      <c r="N24" s="521"/>
      <c r="O24" s="522"/>
    </row>
    <row r="25" spans="1:15">
      <c r="A25" s="178"/>
      <c r="B25" s="61"/>
      <c r="C25" s="61"/>
      <c r="D25" s="61"/>
      <c r="E25" s="61"/>
      <c r="F25" s="61"/>
      <c r="G25" s="61"/>
      <c r="H25" s="61"/>
      <c r="I25" s="61"/>
      <c r="J25" s="61"/>
      <c r="K25" s="61"/>
      <c r="L25" s="61"/>
      <c r="M25" s="61"/>
      <c r="N25" s="61"/>
      <c r="O25" s="144"/>
    </row>
    <row r="26" spans="1:15">
      <c r="A26" s="178" t="s">
        <v>85</v>
      </c>
      <c r="C26" s="345"/>
      <c r="D26" s="345"/>
      <c r="E26" s="345"/>
      <c r="F26" s="345"/>
      <c r="G26" s="345"/>
      <c r="H26" s="345"/>
      <c r="I26" s="345"/>
      <c r="J26" s="345"/>
      <c r="K26" s="345"/>
      <c r="L26" s="345"/>
      <c r="M26" s="345"/>
      <c r="N26" s="345"/>
      <c r="O26" s="288"/>
    </row>
    <row r="27" spans="1:15">
      <c r="A27" s="178"/>
      <c r="B27" s="500" t="s">
        <v>86</v>
      </c>
      <c r="C27" s="500"/>
      <c r="D27" s="500"/>
      <c r="E27" s="500"/>
      <c r="F27" s="500"/>
      <c r="G27" s="500"/>
      <c r="H27" s="500"/>
      <c r="I27" s="500"/>
      <c r="J27" s="500"/>
      <c r="K27" s="500"/>
      <c r="L27" s="500"/>
      <c r="M27" s="500"/>
      <c r="N27" s="500"/>
      <c r="O27" s="501"/>
    </row>
    <row r="28" spans="1:15">
      <c r="A28" s="178"/>
      <c r="O28" s="131"/>
    </row>
    <row r="29" spans="1:15" ht="33" customHeight="1">
      <c r="A29" s="178"/>
      <c r="B29" s="425" t="s">
        <v>592</v>
      </c>
      <c r="C29" s="425"/>
      <c r="D29" s="425"/>
      <c r="E29" s="425"/>
      <c r="F29" s="425"/>
      <c r="G29" s="425"/>
      <c r="H29" s="425"/>
      <c r="I29" s="425"/>
      <c r="J29" s="425"/>
      <c r="K29" s="425"/>
      <c r="L29" s="425"/>
      <c r="M29" s="425"/>
      <c r="N29" s="425"/>
      <c r="O29" s="456"/>
    </row>
    <row r="30" spans="1:15" ht="15" customHeight="1">
      <c r="A30" s="178"/>
      <c r="O30" s="131"/>
    </row>
    <row r="31" spans="1:15" ht="44.25" customHeight="1">
      <c r="A31" s="178"/>
      <c r="B31" s="500" t="s">
        <v>656</v>
      </c>
      <c r="C31" s="500"/>
      <c r="D31" s="500"/>
      <c r="E31" s="500"/>
      <c r="F31" s="500"/>
      <c r="G31" s="500"/>
      <c r="H31" s="500"/>
      <c r="I31" s="500"/>
      <c r="J31" s="500"/>
      <c r="K31" s="500"/>
      <c r="L31" s="500"/>
      <c r="M31" s="500"/>
      <c r="N31" s="500"/>
      <c r="O31" s="501"/>
    </row>
    <row r="32" spans="1:15" ht="15.75" thickBot="1">
      <c r="A32" s="178"/>
      <c r="B32" s="61"/>
      <c r="C32" s="61"/>
      <c r="D32" s="61"/>
      <c r="E32" s="61"/>
      <c r="F32" s="61"/>
      <c r="G32" s="61"/>
      <c r="H32" s="61"/>
      <c r="I32" s="61"/>
      <c r="J32" s="61"/>
      <c r="K32" s="61"/>
      <c r="L32" s="61"/>
      <c r="M32" s="61"/>
      <c r="N32" s="61"/>
      <c r="O32" s="144"/>
    </row>
    <row r="33" spans="1:15">
      <c r="A33" s="48"/>
      <c r="B33" s="505" t="s">
        <v>87</v>
      </c>
      <c r="C33" s="506"/>
      <c r="D33" s="506"/>
      <c r="E33" s="507"/>
      <c r="F33" s="61"/>
      <c r="G33" s="61"/>
      <c r="H33" s="61"/>
      <c r="I33" s="61"/>
      <c r="J33" s="61"/>
      <c r="K33" s="61"/>
      <c r="L33" s="61"/>
      <c r="M33" s="61"/>
      <c r="N33" s="61"/>
      <c r="O33" s="144"/>
    </row>
    <row r="34" spans="1:15">
      <c r="A34" s="48"/>
      <c r="B34" s="79"/>
      <c r="C34" s="525" t="s">
        <v>88</v>
      </c>
      <c r="D34" s="526"/>
      <c r="E34" s="527"/>
      <c r="F34" s="61"/>
      <c r="G34" s="61"/>
      <c r="H34" s="61"/>
      <c r="I34" s="61"/>
      <c r="J34" s="61"/>
      <c r="K34" s="61"/>
      <c r="L34" s="61"/>
      <c r="M34" s="61"/>
      <c r="N34" s="61"/>
      <c r="O34" s="144"/>
    </row>
    <row r="35" spans="1:15">
      <c r="A35" s="48"/>
      <c r="B35" s="80"/>
      <c r="C35" s="341" t="s">
        <v>89</v>
      </c>
      <c r="D35" s="341"/>
      <c r="E35" s="342"/>
      <c r="F35" s="61"/>
      <c r="G35" s="61"/>
      <c r="H35" s="61"/>
      <c r="I35" s="61"/>
      <c r="J35" s="61"/>
      <c r="K35" s="61"/>
      <c r="L35" s="61"/>
      <c r="M35" s="61"/>
      <c r="N35" s="61"/>
      <c r="O35" s="144"/>
    </row>
    <row r="36" spans="1:15">
      <c r="A36" s="48"/>
      <c r="B36" s="81"/>
      <c r="C36" s="528" t="s">
        <v>90</v>
      </c>
      <c r="D36" s="529"/>
      <c r="E36" s="530"/>
      <c r="F36" s="61"/>
      <c r="G36" s="61"/>
      <c r="H36" s="61"/>
      <c r="I36" s="61"/>
      <c r="J36" s="61"/>
      <c r="K36" s="61"/>
      <c r="L36" s="61"/>
      <c r="M36" s="61"/>
      <c r="N36" s="61"/>
      <c r="O36" s="144"/>
    </row>
    <row r="37" spans="1:15" ht="15.75" thickBot="1">
      <c r="A37" s="48"/>
      <c r="B37" s="82"/>
      <c r="C37" s="531" t="s">
        <v>34</v>
      </c>
      <c r="D37" s="532"/>
      <c r="E37" s="533"/>
      <c r="F37" s="61"/>
      <c r="G37" s="61"/>
      <c r="H37" s="61"/>
      <c r="I37" s="61"/>
      <c r="J37" s="61"/>
      <c r="K37" s="61"/>
      <c r="L37" s="61"/>
      <c r="M37" s="61"/>
      <c r="N37" s="61"/>
      <c r="O37" s="144"/>
    </row>
    <row r="38" spans="1:15">
      <c r="A38" s="48"/>
      <c r="B38" s="505" t="s">
        <v>91</v>
      </c>
      <c r="C38" s="506"/>
      <c r="D38" s="506"/>
      <c r="E38" s="507"/>
      <c r="F38" s="61"/>
      <c r="G38" s="61"/>
      <c r="H38" s="61"/>
      <c r="I38" s="61"/>
      <c r="J38" s="61"/>
      <c r="K38" s="61"/>
      <c r="L38" s="61"/>
      <c r="M38" s="61"/>
      <c r="N38" s="61"/>
      <c r="O38" s="144"/>
    </row>
    <row r="39" spans="1:15">
      <c r="A39" s="48"/>
      <c r="B39" s="380"/>
      <c r="C39" s="502" t="s">
        <v>92</v>
      </c>
      <c r="D39" s="503"/>
      <c r="E39" s="504"/>
      <c r="F39" s="61"/>
      <c r="G39" s="61"/>
      <c r="H39" s="61"/>
      <c r="I39" s="61"/>
      <c r="J39" s="61"/>
      <c r="K39" s="61"/>
      <c r="L39" s="61"/>
      <c r="M39" s="61"/>
      <c r="N39" s="61"/>
      <c r="O39" s="144"/>
    </row>
    <row r="40" spans="1:15">
      <c r="A40" s="48"/>
      <c r="B40" s="170"/>
      <c r="C40" s="502" t="str">
        <f>A55</f>
        <v>Program Dashboard</v>
      </c>
      <c r="D40" s="503"/>
      <c r="E40" s="504"/>
      <c r="F40" s="61"/>
      <c r="G40" s="61"/>
      <c r="H40" s="61"/>
      <c r="I40" s="61"/>
      <c r="J40" s="61"/>
      <c r="K40" s="61"/>
      <c r="L40" s="61"/>
      <c r="M40" s="61"/>
      <c r="N40" s="61"/>
      <c r="O40" s="144"/>
    </row>
    <row r="41" spans="1:15">
      <c r="A41" s="48"/>
      <c r="B41" s="170"/>
      <c r="C41" s="502" t="str">
        <f>A58</f>
        <v>Monthly Tracker</v>
      </c>
      <c r="D41" s="503"/>
      <c r="E41" s="504"/>
      <c r="F41" s="61"/>
      <c r="G41" s="61"/>
      <c r="H41" s="61"/>
      <c r="I41" s="61"/>
      <c r="J41" s="61"/>
      <c r="K41" s="61"/>
      <c r="L41" s="61"/>
      <c r="M41" s="61"/>
      <c r="N41" s="61"/>
      <c r="O41" s="144"/>
    </row>
    <row r="42" spans="1:15">
      <c r="A42" s="48"/>
      <c r="B42" s="171"/>
      <c r="C42" s="502" t="str">
        <f>A61</f>
        <v>Facility Survey</v>
      </c>
      <c r="D42" s="503"/>
      <c r="E42" s="504"/>
      <c r="F42" s="61"/>
      <c r="G42" s="61"/>
      <c r="H42" s="61"/>
      <c r="I42" s="61"/>
      <c r="J42" s="61"/>
      <c r="K42" s="61"/>
      <c r="L42" s="61"/>
      <c r="M42" s="61"/>
      <c r="N42" s="61"/>
      <c r="O42" s="144"/>
    </row>
    <row r="43" spans="1:15">
      <c r="A43" s="48"/>
      <c r="B43" s="171"/>
      <c r="C43" s="502" t="str">
        <f>A64</f>
        <v>Observation Checklist</v>
      </c>
      <c r="D43" s="503"/>
      <c r="E43" s="504"/>
      <c r="F43" s="61"/>
      <c r="G43" s="61"/>
      <c r="H43" s="61"/>
      <c r="I43" s="61"/>
      <c r="J43" s="61"/>
      <c r="K43" s="61"/>
      <c r="L43" s="61"/>
      <c r="M43" s="61"/>
      <c r="N43" s="61"/>
      <c r="O43" s="144"/>
    </row>
    <row r="44" spans="1:15">
      <c r="A44" s="48"/>
      <c r="B44" s="171"/>
      <c r="C44" s="502" t="str">
        <f>A67</f>
        <v>Waste Composition</v>
      </c>
      <c r="D44" s="503"/>
      <c r="E44" s="504"/>
      <c r="F44" s="61"/>
      <c r="G44" s="61"/>
      <c r="H44" s="61"/>
      <c r="I44" s="61"/>
      <c r="J44" s="61"/>
      <c r="K44" s="61"/>
      <c r="L44" s="61"/>
      <c r="M44" s="61"/>
      <c r="N44" s="61"/>
      <c r="O44" s="144"/>
    </row>
    <row r="45" spans="1:15">
      <c r="A45" s="48"/>
      <c r="B45" s="172"/>
      <c r="C45" s="502" t="str">
        <f>A70</f>
        <v>Container Capacity Calculator</v>
      </c>
      <c r="D45" s="503"/>
      <c r="E45" s="504"/>
      <c r="F45" s="61"/>
      <c r="G45" s="61"/>
      <c r="H45" s="61"/>
      <c r="I45" s="61"/>
      <c r="J45" s="61"/>
      <c r="K45" s="61"/>
      <c r="L45" s="61"/>
      <c r="M45" s="61"/>
      <c r="N45" s="61"/>
      <c r="O45" s="144"/>
    </row>
    <row r="46" spans="1:15">
      <c r="A46" s="48"/>
      <c r="B46" s="173"/>
      <c r="C46" s="502" t="str">
        <f>A73</f>
        <v>Container Cost Calculator</v>
      </c>
      <c r="D46" s="503"/>
      <c r="E46" s="504"/>
      <c r="F46" s="61"/>
      <c r="G46" s="61"/>
      <c r="H46" s="61"/>
      <c r="I46" s="61"/>
      <c r="J46" s="61"/>
      <c r="K46" s="61"/>
      <c r="L46" s="61"/>
      <c r="M46" s="61"/>
      <c r="N46" s="61"/>
      <c r="O46" s="144"/>
    </row>
    <row r="47" spans="1:15">
      <c r="A47" s="48"/>
      <c r="B47" s="174"/>
      <c r="C47" s="502" t="str">
        <f>A76</f>
        <v>Financial Calculator</v>
      </c>
      <c r="D47" s="503"/>
      <c r="E47" s="504"/>
      <c r="F47" s="61"/>
      <c r="G47" s="61"/>
      <c r="H47" s="61"/>
      <c r="I47" s="61"/>
      <c r="J47" s="61"/>
      <c r="K47" s="61"/>
      <c r="L47" s="61"/>
      <c r="M47" s="61"/>
      <c r="N47" s="61"/>
      <c r="O47" s="144"/>
    </row>
    <row r="48" spans="1:15">
      <c r="A48" s="48"/>
      <c r="B48" s="175"/>
      <c r="C48" s="502" t="str">
        <f>A79</f>
        <v>Job Creation Calculator</v>
      </c>
      <c r="D48" s="503"/>
      <c r="E48" s="504"/>
      <c r="F48" s="61"/>
      <c r="G48" s="61"/>
      <c r="H48" s="61"/>
      <c r="I48" s="61"/>
      <c r="J48" s="61"/>
      <c r="K48" s="61"/>
      <c r="L48" s="61"/>
      <c r="M48" s="61"/>
      <c r="N48" s="61"/>
      <c r="O48" s="144"/>
    </row>
    <row r="49" spans="1:15" ht="15.75" thickBot="1">
      <c r="A49" s="48"/>
      <c r="B49" s="402"/>
      <c r="C49" s="516" t="str">
        <f>A82</f>
        <v>Carbon Calculator</v>
      </c>
      <c r="D49" s="517"/>
      <c r="E49" s="518"/>
      <c r="F49" s="61"/>
      <c r="G49" s="61"/>
      <c r="H49" s="61"/>
      <c r="I49" s="61"/>
      <c r="J49" s="61"/>
      <c r="K49" s="61"/>
      <c r="L49" s="61"/>
      <c r="M49" s="61"/>
      <c r="N49" s="61"/>
      <c r="O49" s="144"/>
    </row>
    <row r="50" spans="1:15" ht="15.75" hidden="1" thickBot="1">
      <c r="A50" s="48"/>
      <c r="B50" s="401"/>
      <c r="C50" s="512" t="e">
        <f>#REF!</f>
        <v>#REF!</v>
      </c>
      <c r="D50" s="513"/>
      <c r="E50" s="514"/>
      <c r="F50" s="61"/>
      <c r="G50" s="61"/>
      <c r="H50" s="61"/>
      <c r="I50" s="61"/>
      <c r="J50" s="61"/>
      <c r="K50" s="61"/>
      <c r="L50" s="61"/>
      <c r="M50" s="61"/>
      <c r="N50" s="61"/>
      <c r="O50" s="144"/>
    </row>
    <row r="51" spans="1:15">
      <c r="A51" s="107"/>
      <c r="O51" s="131"/>
    </row>
    <row r="52" spans="1:15">
      <c r="A52" s="381" t="s">
        <v>92</v>
      </c>
      <c r="B52" s="382"/>
      <c r="D52" s="515" t="s">
        <v>93</v>
      </c>
      <c r="E52" s="515"/>
      <c r="F52" s="515"/>
      <c r="G52" s="515"/>
      <c r="H52" s="515"/>
      <c r="I52" s="515"/>
      <c r="J52" s="515"/>
      <c r="K52" s="515"/>
      <c r="L52" s="515"/>
      <c r="M52" s="515"/>
      <c r="N52" s="515"/>
      <c r="O52" s="509"/>
    </row>
    <row r="53" spans="1:15">
      <c r="A53" s="107"/>
      <c r="B53" s="5" t="s">
        <v>94</v>
      </c>
      <c r="O53" s="131"/>
    </row>
    <row r="54" spans="1:15">
      <c r="A54" s="107"/>
      <c r="O54" s="131"/>
    </row>
    <row r="55" spans="1:15" ht="15" customHeight="1">
      <c r="A55" s="179" t="s">
        <v>95</v>
      </c>
      <c r="B55" s="346"/>
      <c r="C55" s="73"/>
      <c r="D55" s="510" t="s">
        <v>96</v>
      </c>
      <c r="E55" s="510"/>
      <c r="F55" s="510"/>
      <c r="G55" s="510"/>
      <c r="H55" s="510"/>
      <c r="I55" s="510"/>
      <c r="J55" s="510"/>
      <c r="K55" s="510"/>
      <c r="L55" s="510"/>
      <c r="M55" s="510"/>
      <c r="N55" s="510"/>
      <c r="O55" s="511"/>
    </row>
    <row r="56" spans="1:15" ht="15" customHeight="1">
      <c r="A56" s="178"/>
      <c r="B56" s="500" t="str">
        <f>'Program Dashboard'!B4:F4</f>
        <v>The Program Dashboard provides a snapshot of the toolkit's outputs, summarizing the business's current and potential waste reduction and recycling efforts.</v>
      </c>
      <c r="C56" s="500"/>
      <c r="D56" s="500"/>
      <c r="E56" s="500"/>
      <c r="F56" s="500"/>
      <c r="G56" s="500"/>
      <c r="H56" s="500"/>
      <c r="I56" s="500"/>
      <c r="J56" s="500"/>
      <c r="K56" s="500"/>
      <c r="L56" s="500"/>
      <c r="M56" s="500"/>
      <c r="N56" s="500"/>
      <c r="O56" s="501"/>
    </row>
    <row r="57" spans="1:15" ht="15" customHeight="1">
      <c r="A57" s="178"/>
      <c r="B57" s="347"/>
      <c r="C57" s="347"/>
      <c r="D57" s="347"/>
      <c r="E57" s="347"/>
      <c r="F57" s="347"/>
      <c r="G57" s="347"/>
      <c r="H57" s="347"/>
      <c r="I57" s="347"/>
      <c r="J57" s="347"/>
      <c r="K57" s="347"/>
      <c r="L57" s="347"/>
      <c r="M57" s="347"/>
      <c r="N57" s="347"/>
      <c r="O57" s="180"/>
    </row>
    <row r="58" spans="1:15" ht="15" customHeight="1">
      <c r="A58" s="181" t="s">
        <v>97</v>
      </c>
      <c r="B58" s="346"/>
      <c r="C58" s="347"/>
      <c r="D58" s="508" t="s">
        <v>98</v>
      </c>
      <c r="E58" s="508"/>
      <c r="F58" s="508"/>
      <c r="G58" s="508"/>
      <c r="H58" s="508"/>
      <c r="I58" s="508"/>
      <c r="J58" s="508"/>
      <c r="K58" s="508"/>
      <c r="L58" s="508"/>
      <c r="M58" s="508"/>
      <c r="N58" s="508"/>
      <c r="O58" s="509"/>
    </row>
    <row r="59" spans="1:15" ht="35.1" customHeight="1">
      <c r="A59" s="178"/>
      <c r="B59" s="500" t="str">
        <f>('Monthly Tracker'!B5:P5)</f>
        <v>The Recycling Activity Monthly Tracker calculates the amount of trash, recycling, and organics (in tons) generated per month based on the size of the collection containers and the pickup frequency for each material type.</v>
      </c>
      <c r="C59" s="500"/>
      <c r="D59" s="500"/>
      <c r="E59" s="500"/>
      <c r="F59" s="500"/>
      <c r="G59" s="500"/>
      <c r="H59" s="500"/>
      <c r="I59" s="500"/>
      <c r="J59" s="500"/>
      <c r="K59" s="500"/>
      <c r="L59" s="500"/>
      <c r="M59" s="500"/>
      <c r="N59" s="500"/>
      <c r="O59" s="501"/>
    </row>
    <row r="60" spans="1:15" ht="14.25" customHeight="1">
      <c r="A60" s="178"/>
      <c r="B60" s="61"/>
      <c r="C60" s="61"/>
      <c r="D60" s="61"/>
      <c r="E60" s="61"/>
      <c r="F60" s="61"/>
      <c r="G60" s="61"/>
      <c r="H60" s="61"/>
      <c r="I60" s="61"/>
      <c r="J60" s="61"/>
      <c r="K60" s="61"/>
      <c r="L60" s="61"/>
      <c r="M60" s="61"/>
      <c r="N60" s="61"/>
      <c r="O60" s="144"/>
    </row>
    <row r="61" spans="1:15">
      <c r="A61" s="189" t="s">
        <v>99</v>
      </c>
      <c r="B61" s="348"/>
      <c r="C61" s="61"/>
      <c r="D61" s="508" t="s">
        <v>100</v>
      </c>
      <c r="E61" s="508"/>
      <c r="F61" s="508"/>
      <c r="G61" s="508"/>
      <c r="H61" s="508"/>
      <c r="I61" s="508"/>
      <c r="J61" s="508"/>
      <c r="K61" s="508"/>
      <c r="L61" s="508"/>
      <c r="M61" s="508"/>
      <c r="N61" s="508"/>
      <c r="O61" s="509"/>
    </row>
    <row r="62" spans="1:15" ht="35.1" customHeight="1">
      <c r="A62" s="178"/>
      <c r="B62" s="500" t="str">
        <f>'Facility Survey'!B4:E4</f>
        <v xml:space="preserve">The facility survey is intended to identify what types of materials are generated in each physical area of the user's business, as well as potential waste reduction strategies for each material type. </v>
      </c>
      <c r="C62" s="500"/>
      <c r="D62" s="500"/>
      <c r="E62" s="500"/>
      <c r="F62" s="500"/>
      <c r="G62" s="500"/>
      <c r="H62" s="500"/>
      <c r="I62" s="500"/>
      <c r="J62" s="500"/>
      <c r="K62" s="500"/>
      <c r="L62" s="500"/>
      <c r="M62" s="500"/>
      <c r="N62" s="500"/>
      <c r="O62" s="501"/>
    </row>
    <row r="63" spans="1:15" ht="15" customHeight="1">
      <c r="A63" s="178"/>
      <c r="B63" s="61"/>
      <c r="C63" s="61"/>
      <c r="D63" s="61"/>
      <c r="E63" s="61"/>
      <c r="F63" s="61"/>
      <c r="G63" s="61"/>
      <c r="H63" s="61"/>
      <c r="I63" s="61"/>
      <c r="J63" s="61"/>
      <c r="K63" s="61"/>
      <c r="L63" s="61"/>
      <c r="M63" s="61"/>
      <c r="N63" s="61"/>
      <c r="O63" s="144"/>
    </row>
    <row r="64" spans="1:15">
      <c r="A64" s="189" t="s">
        <v>101</v>
      </c>
      <c r="B64" s="348"/>
      <c r="C64" s="61"/>
      <c r="D64" s="508" t="s">
        <v>102</v>
      </c>
      <c r="E64" s="508"/>
      <c r="F64" s="508"/>
      <c r="G64" s="508"/>
      <c r="H64" s="508"/>
      <c r="I64" s="508"/>
      <c r="J64" s="508"/>
      <c r="K64" s="508"/>
      <c r="L64" s="508"/>
      <c r="M64" s="508"/>
      <c r="N64" s="508"/>
      <c r="O64" s="509"/>
    </row>
    <row r="65" spans="1:15" ht="35.1" customHeight="1">
      <c r="A65" s="178"/>
      <c r="B65" s="500" t="str">
        <f>'Observation Checklist'!B4</f>
        <v>The observation checklist is intended to identify whether any waste management aspects of the user's business are sufficient or deficient and to implement corrective action with the responsible individuals.</v>
      </c>
      <c r="C65" s="500"/>
      <c r="D65" s="500"/>
      <c r="E65" s="500"/>
      <c r="F65" s="500"/>
      <c r="G65" s="500"/>
      <c r="H65" s="500"/>
      <c r="I65" s="500"/>
      <c r="J65" s="500"/>
      <c r="K65" s="500"/>
      <c r="L65" s="500"/>
      <c r="M65" s="500"/>
      <c r="N65" s="500"/>
      <c r="O65" s="501"/>
    </row>
    <row r="66" spans="1:15" ht="15" customHeight="1">
      <c r="A66" s="178"/>
      <c r="B66" s="61"/>
      <c r="C66" s="61"/>
      <c r="D66" s="61"/>
      <c r="E66" s="61"/>
      <c r="F66" s="61"/>
      <c r="G66" s="61"/>
      <c r="H66" s="61"/>
      <c r="I66" s="61"/>
      <c r="J66" s="61"/>
      <c r="K66" s="61"/>
      <c r="L66" s="61"/>
      <c r="M66" s="61"/>
      <c r="N66" s="61"/>
      <c r="O66" s="144"/>
    </row>
    <row r="67" spans="1:15">
      <c r="A67" s="189" t="s">
        <v>103</v>
      </c>
      <c r="B67" s="348"/>
      <c r="C67" s="61"/>
      <c r="D67" s="508" t="s">
        <v>104</v>
      </c>
      <c r="E67" s="508"/>
      <c r="F67" s="508"/>
      <c r="G67" s="508"/>
      <c r="H67" s="508"/>
      <c r="I67" s="508"/>
      <c r="J67" s="508"/>
      <c r="K67" s="508"/>
      <c r="L67" s="508"/>
      <c r="M67" s="508"/>
      <c r="N67" s="508"/>
      <c r="O67" s="509"/>
    </row>
    <row r="68" spans="1:15" ht="78" customHeight="1">
      <c r="A68" s="178"/>
      <c r="B68" s="500" t="str">
        <f>'Waste Composition'!B4:Q4</f>
        <v>The Waste Composition tool summarizes the material types, quantities, and composition percentages observed in the Facility Survey and calculates the current and potential waste reduction and recycling activities. The Waste Composition tab provides a form to be printed and taken into the field to conduct the survey. The Waste Composition process entails visually inspecting a facility's waste to estimate the material types and quantities. Identification of material types and quantities assists in evaluating waste reduction and recycling opportunities and forms the basis for the additional tools. The Waste Composition is based on visual inspection to capture the information with less effort and less safety risk than a hand sorted and weighed waste characterization.</v>
      </c>
      <c r="C68" s="500"/>
      <c r="D68" s="500"/>
      <c r="E68" s="500"/>
      <c r="F68" s="500"/>
      <c r="G68" s="500"/>
      <c r="H68" s="500"/>
      <c r="I68" s="500"/>
      <c r="J68" s="500"/>
      <c r="K68" s="500"/>
      <c r="L68" s="500"/>
      <c r="M68" s="500"/>
      <c r="N68" s="500"/>
      <c r="O68" s="501"/>
    </row>
    <row r="69" spans="1:15" ht="15" customHeight="1">
      <c r="A69" s="178"/>
      <c r="B69" s="61"/>
      <c r="C69" s="61"/>
      <c r="D69" s="61"/>
      <c r="E69" s="61"/>
      <c r="F69" s="61"/>
      <c r="G69" s="61"/>
      <c r="H69" s="61"/>
      <c r="I69" s="61"/>
      <c r="J69" s="61"/>
      <c r="K69" s="61"/>
      <c r="L69" s="61"/>
      <c r="M69" s="61"/>
      <c r="N69" s="61"/>
      <c r="O69" s="144"/>
    </row>
    <row r="70" spans="1:15">
      <c r="A70" s="183" t="s">
        <v>55</v>
      </c>
      <c r="B70" s="349"/>
      <c r="C70" s="61"/>
      <c r="D70" s="508" t="s">
        <v>105</v>
      </c>
      <c r="E70" s="508"/>
      <c r="F70" s="508"/>
      <c r="G70" s="508"/>
      <c r="H70" s="508"/>
      <c r="I70" s="508"/>
      <c r="J70" s="508"/>
      <c r="K70" s="508"/>
      <c r="L70" s="508"/>
      <c r="M70" s="508"/>
      <c r="N70" s="508"/>
      <c r="O70" s="509"/>
    </row>
    <row r="71" spans="1:15" ht="34.5" customHeight="1">
      <c r="A71" s="178"/>
      <c r="B71" s="500" t="str">
        <f>'Container Capacity Calculator'!B4:L4</f>
        <v>The Capacity Calculator uses information from the Waste Composition data to calculate the size of dumpsters needed for recycling and landfill materials. The Capacity Calculator will estimate how the required dumpster sizes change when waste reduction and recycling efforts are in effect.</v>
      </c>
      <c r="C71" s="500"/>
      <c r="D71" s="500"/>
      <c r="E71" s="500"/>
      <c r="F71" s="500"/>
      <c r="G71" s="500"/>
      <c r="H71" s="500"/>
      <c r="I71" s="500"/>
      <c r="J71" s="500"/>
      <c r="K71" s="500"/>
      <c r="L71" s="500"/>
      <c r="M71" s="500"/>
      <c r="N71" s="500"/>
      <c r="O71" s="501"/>
    </row>
    <row r="72" spans="1:15" ht="15" customHeight="1">
      <c r="A72" s="178"/>
      <c r="B72" s="61"/>
      <c r="C72" s="61"/>
      <c r="D72" s="61"/>
      <c r="E72" s="61"/>
      <c r="F72" s="61"/>
      <c r="G72" s="61"/>
      <c r="H72" s="61"/>
      <c r="I72" s="61"/>
      <c r="J72" s="61"/>
      <c r="K72" s="61"/>
      <c r="L72" s="61"/>
      <c r="M72" s="61"/>
      <c r="N72" s="61"/>
      <c r="O72" s="144"/>
    </row>
    <row r="73" spans="1:15">
      <c r="A73" s="188" t="s">
        <v>56</v>
      </c>
      <c r="B73" s="350"/>
      <c r="C73" s="61"/>
      <c r="D73" s="508" t="s">
        <v>106</v>
      </c>
      <c r="E73" s="508"/>
      <c r="F73" s="508"/>
      <c r="G73" s="508"/>
      <c r="H73" s="508"/>
      <c r="I73" s="508"/>
      <c r="J73" s="508"/>
      <c r="K73" s="508"/>
      <c r="L73" s="508"/>
      <c r="M73" s="508"/>
      <c r="N73" s="508"/>
      <c r="O73" s="509"/>
    </row>
    <row r="74" spans="1:15" ht="31.5" customHeight="1">
      <c r="A74" s="178"/>
      <c r="B74" s="500" t="str">
        <f>'Container Cost Calculator'!B4</f>
        <v xml:space="preserve">The Cost Calculator uses information from the Capacity Calculator to estimate the cost of dumpster size changes. Often times, reducing waste and increasing recycling will reduce overall waste management costs as materials shift from the landfill dumpster to the recycling dumpster. </v>
      </c>
      <c r="C74" s="500"/>
      <c r="D74" s="500"/>
      <c r="E74" s="500"/>
      <c r="F74" s="500"/>
      <c r="G74" s="500"/>
      <c r="H74" s="500"/>
      <c r="I74" s="500"/>
      <c r="J74" s="500"/>
      <c r="K74" s="500"/>
      <c r="L74" s="500"/>
      <c r="M74" s="500"/>
      <c r="N74" s="500"/>
      <c r="O74" s="501"/>
    </row>
    <row r="75" spans="1:15" ht="15" customHeight="1">
      <c r="A75" s="178"/>
      <c r="B75" s="61"/>
      <c r="C75" s="61"/>
      <c r="D75" s="61"/>
      <c r="E75" s="61"/>
      <c r="F75" s="61"/>
      <c r="G75" s="61"/>
      <c r="H75" s="61"/>
      <c r="I75" s="61"/>
      <c r="J75" s="61"/>
      <c r="K75" s="61"/>
      <c r="L75" s="61"/>
      <c r="M75" s="61"/>
      <c r="N75" s="61"/>
      <c r="O75" s="144"/>
    </row>
    <row r="76" spans="1:15">
      <c r="A76" s="187" t="s">
        <v>58</v>
      </c>
      <c r="B76" s="351"/>
      <c r="C76" s="61"/>
      <c r="D76" s="508" t="s">
        <v>107</v>
      </c>
      <c r="E76" s="508"/>
      <c r="F76" s="508"/>
      <c r="G76" s="508"/>
      <c r="H76" s="508"/>
      <c r="I76" s="508"/>
      <c r="J76" s="508"/>
      <c r="K76" s="508"/>
      <c r="L76" s="508"/>
      <c r="M76" s="508"/>
      <c r="N76" s="508"/>
      <c r="O76" s="509"/>
    </row>
    <row r="77" spans="1:15" ht="65.25" customHeight="1">
      <c r="A77" s="178"/>
      <c r="B77" s="500" t="str">
        <f>'Financial Calculator'!B4:E4</f>
        <v>The Financial Calculator uses information from the Cost Calculator to summarize cost increases or decreases based on waste reduction and recycling efforts. The Financial Calculator also includes an equipment return-on-investment calculator to provide a pro forma analysis on recycling compaction equipment. Recycling compaction equipment, such as a baler or compactor, will often have a financial payback due to reduced hauling costs and potential recycling material sales revenue.</v>
      </c>
      <c r="C77" s="500"/>
      <c r="D77" s="500"/>
      <c r="E77" s="500"/>
      <c r="F77" s="500"/>
      <c r="G77" s="500"/>
      <c r="H77" s="500"/>
      <c r="I77" s="500"/>
      <c r="J77" s="500"/>
      <c r="K77" s="500"/>
      <c r="L77" s="500"/>
      <c r="M77" s="500"/>
      <c r="N77" s="500"/>
      <c r="O77" s="501"/>
    </row>
    <row r="78" spans="1:15" ht="15" customHeight="1">
      <c r="A78" s="178"/>
      <c r="B78" s="61"/>
      <c r="C78" s="61"/>
      <c r="D78" s="61"/>
      <c r="E78" s="61"/>
      <c r="F78" s="61"/>
      <c r="G78" s="61"/>
      <c r="H78" s="61"/>
      <c r="I78" s="61"/>
      <c r="J78" s="61"/>
      <c r="K78" s="61"/>
      <c r="L78" s="61"/>
      <c r="M78" s="61"/>
      <c r="N78" s="61"/>
      <c r="O78" s="144"/>
    </row>
    <row r="79" spans="1:15">
      <c r="A79" s="184" t="s">
        <v>60</v>
      </c>
      <c r="B79" s="352"/>
      <c r="C79" s="61"/>
      <c r="D79" s="508" t="s">
        <v>108</v>
      </c>
      <c r="E79" s="508"/>
      <c r="F79" s="508"/>
      <c r="G79" s="508"/>
      <c r="H79" s="508"/>
      <c r="I79" s="508"/>
      <c r="J79" s="508"/>
      <c r="K79" s="508"/>
      <c r="L79" s="508"/>
      <c r="M79" s="508"/>
      <c r="N79" s="508"/>
      <c r="O79" s="509"/>
    </row>
    <row r="80" spans="1:15" ht="30.75" customHeight="1">
      <c r="A80" s="178"/>
      <c r="B80" s="500" t="str">
        <f>'Job Creation Calculator'!B4:E4</f>
        <v>The Job Creation Calculator uses recycling tonnage data from the Waste Composition tool to calculate the number of jobs that could be created by the business's recycling efforts.</v>
      </c>
      <c r="C80" s="500"/>
      <c r="D80" s="500"/>
      <c r="E80" s="500"/>
      <c r="F80" s="500"/>
      <c r="G80" s="500"/>
      <c r="H80" s="500"/>
      <c r="I80" s="500"/>
      <c r="J80" s="500"/>
      <c r="K80" s="500"/>
      <c r="L80" s="500"/>
      <c r="M80" s="500"/>
      <c r="N80" s="500"/>
      <c r="O80" s="501"/>
    </row>
    <row r="81" spans="1:15" ht="15.75" customHeight="1">
      <c r="A81" s="178"/>
      <c r="B81" s="61"/>
      <c r="C81" s="61"/>
      <c r="D81" s="61"/>
      <c r="E81" s="61"/>
      <c r="F81" s="61"/>
      <c r="G81" s="61"/>
      <c r="H81" s="61"/>
      <c r="I81" s="61"/>
      <c r="J81" s="61"/>
      <c r="K81" s="61"/>
      <c r="L81" s="61"/>
      <c r="M81" s="61"/>
      <c r="N81" s="61"/>
      <c r="O81" s="144"/>
    </row>
    <row r="82" spans="1:15">
      <c r="A82" s="185" t="s">
        <v>62</v>
      </c>
      <c r="B82" s="353"/>
      <c r="C82" s="61"/>
      <c r="D82" s="182" t="s">
        <v>109</v>
      </c>
      <c r="E82" s="61"/>
      <c r="F82" s="61"/>
      <c r="G82" s="61"/>
      <c r="H82" s="61"/>
      <c r="I82" s="61"/>
      <c r="J82" s="61"/>
      <c r="K82" s="61"/>
      <c r="L82" s="61"/>
      <c r="M82" s="61"/>
      <c r="N82" s="61"/>
      <c r="O82" s="144"/>
    </row>
    <row r="83" spans="1:15" ht="33.75" customHeight="1">
      <c r="A83" s="178"/>
      <c r="B83" s="500" t="str">
        <f>'Carbon Calculator'!B4:O4</f>
        <v>The Carbon Calculator uses the EPA's Waste Reduction Model (WARM) tool and recycling tonnage data from the Waste Composition tab to calculate the quantity of potential carbon avoidance (measured in Metric Tons of Carbon Dioxide Equivalents or MTCO2E) due to the business's waste reduction and recycling activities.</v>
      </c>
      <c r="C83" s="500"/>
      <c r="D83" s="500"/>
      <c r="E83" s="500"/>
      <c r="F83" s="500"/>
      <c r="G83" s="500"/>
      <c r="H83" s="500"/>
      <c r="I83" s="500"/>
      <c r="J83" s="500"/>
      <c r="K83" s="500"/>
      <c r="L83" s="500"/>
      <c r="M83" s="500"/>
      <c r="N83" s="500"/>
      <c r="O83" s="501"/>
    </row>
    <row r="84" spans="1:15" ht="15.75" thickBot="1">
      <c r="A84" s="186"/>
      <c r="B84" s="523"/>
      <c r="C84" s="523"/>
      <c r="D84" s="523"/>
      <c r="E84" s="523"/>
      <c r="F84" s="523"/>
      <c r="G84" s="523"/>
      <c r="H84" s="523"/>
      <c r="I84" s="523"/>
      <c r="J84" s="523"/>
      <c r="K84" s="523"/>
      <c r="L84" s="523"/>
      <c r="M84" s="523"/>
      <c r="N84" s="523"/>
      <c r="O84" s="524"/>
    </row>
    <row r="85" spans="1:15">
      <c r="A85" s="285"/>
      <c r="B85" s="286"/>
      <c r="C85" s="286"/>
      <c r="D85" s="286"/>
      <c r="E85" s="286"/>
      <c r="F85" s="286"/>
      <c r="G85" s="286"/>
      <c r="H85" s="286"/>
      <c r="I85" s="286"/>
      <c r="J85" s="286"/>
      <c r="K85" s="286"/>
      <c r="L85" s="286"/>
      <c r="M85" s="286"/>
      <c r="N85" s="286"/>
      <c r="O85" s="287"/>
    </row>
    <row r="86" spans="1:15">
      <c r="A86" s="178" t="s">
        <v>110</v>
      </c>
      <c r="O86" s="131"/>
    </row>
    <row r="87" spans="1:15">
      <c r="A87" s="107"/>
      <c r="B87" s="500" t="s">
        <v>593</v>
      </c>
      <c r="C87" s="500"/>
      <c r="D87" s="500"/>
      <c r="E87" s="500"/>
      <c r="F87" s="500"/>
      <c r="G87" s="500"/>
      <c r="H87" s="500"/>
      <c r="I87" s="500"/>
      <c r="J87" s="500"/>
      <c r="K87" s="500"/>
      <c r="L87" s="500"/>
      <c r="M87" s="500"/>
      <c r="N87" s="500"/>
      <c r="O87" s="501"/>
    </row>
    <row r="88" spans="1:15">
      <c r="A88" s="107"/>
      <c r="B88" s="78"/>
      <c r="C88" s="78"/>
      <c r="D88" s="78"/>
      <c r="E88" s="78"/>
      <c r="F88" s="78"/>
      <c r="G88" s="78"/>
      <c r="H88" s="78"/>
      <c r="I88" s="78"/>
      <c r="J88" s="78"/>
      <c r="K88" s="78"/>
      <c r="L88" s="78"/>
      <c r="M88" s="78"/>
      <c r="N88" s="78"/>
      <c r="O88" s="289"/>
    </row>
    <row r="89" spans="1:15">
      <c r="A89" s="178" t="s">
        <v>111</v>
      </c>
      <c r="B89" s="78"/>
      <c r="C89" s="78"/>
      <c r="D89" s="78"/>
      <c r="E89" s="78"/>
      <c r="F89" s="78"/>
      <c r="G89" s="78"/>
      <c r="H89" s="78"/>
      <c r="I89" s="78"/>
      <c r="J89" s="78"/>
      <c r="K89" s="78"/>
      <c r="L89" s="78"/>
      <c r="M89" s="78"/>
      <c r="N89" s="78"/>
      <c r="O89" s="289"/>
    </row>
    <row r="90" spans="1:15" ht="63.75" customHeight="1">
      <c r="A90" s="107"/>
      <c r="B90" s="425" t="s">
        <v>594</v>
      </c>
      <c r="C90" s="425"/>
      <c r="D90" s="425"/>
      <c r="E90" s="425"/>
      <c r="F90" s="425"/>
      <c r="G90" s="425"/>
      <c r="H90" s="425"/>
      <c r="I90" s="425"/>
      <c r="J90" s="425"/>
      <c r="K90" s="425"/>
      <c r="L90" s="425"/>
      <c r="M90" s="425"/>
      <c r="N90" s="425"/>
      <c r="O90" s="456"/>
    </row>
    <row r="91" spans="1:15" ht="15.75" thickBot="1">
      <c r="A91" s="109"/>
      <c r="B91" s="110"/>
      <c r="C91" s="110"/>
      <c r="D91" s="110"/>
      <c r="E91" s="110"/>
      <c r="F91" s="110"/>
      <c r="G91" s="110"/>
      <c r="H91" s="110"/>
      <c r="I91" s="110"/>
      <c r="J91" s="110"/>
      <c r="K91" s="110"/>
      <c r="L91" s="110"/>
      <c r="M91" s="110"/>
      <c r="N91" s="110"/>
      <c r="O91" s="156"/>
    </row>
  </sheetData>
  <sheetProtection sheet="1" objects="1" scenarios="1" formatColumns="0" formatRows="0"/>
  <mergeCells count="54">
    <mergeCell ref="B7:O7"/>
    <mergeCell ref="B87:O87"/>
    <mergeCell ref="B62:O62"/>
    <mergeCell ref="B65:O65"/>
    <mergeCell ref="B84:O84"/>
    <mergeCell ref="C34:E34"/>
    <mergeCell ref="C36:E36"/>
    <mergeCell ref="C37:E37"/>
    <mergeCell ref="B68:O68"/>
    <mergeCell ref="B71:O71"/>
    <mergeCell ref="B77:O77"/>
    <mergeCell ref="B80:O80"/>
    <mergeCell ref="B83:O83"/>
    <mergeCell ref="B29:O29"/>
    <mergeCell ref="D61:O61"/>
    <mergeCell ref="C45:E45"/>
    <mergeCell ref="A1:O1"/>
    <mergeCell ref="C47:E47"/>
    <mergeCell ref="C48:E48"/>
    <mergeCell ref="C49:E49"/>
    <mergeCell ref="B10:O10"/>
    <mergeCell ref="B12:O12"/>
    <mergeCell ref="B16:O16"/>
    <mergeCell ref="B18:O18"/>
    <mergeCell ref="B20:O20"/>
    <mergeCell ref="B22:O22"/>
    <mergeCell ref="B24:O24"/>
    <mergeCell ref="B33:E33"/>
    <mergeCell ref="B4:O4"/>
    <mergeCell ref="B31:O31"/>
    <mergeCell ref="C42:E42"/>
    <mergeCell ref="C44:E44"/>
    <mergeCell ref="B90:O90"/>
    <mergeCell ref="D67:O67"/>
    <mergeCell ref="D70:O70"/>
    <mergeCell ref="D73:O73"/>
    <mergeCell ref="D76:O76"/>
    <mergeCell ref="D79:O79"/>
    <mergeCell ref="B74:O74"/>
    <mergeCell ref="C46:E46"/>
    <mergeCell ref="D64:O64"/>
    <mergeCell ref="B59:O59"/>
    <mergeCell ref="B56:O56"/>
    <mergeCell ref="D55:O55"/>
    <mergeCell ref="D58:O58"/>
    <mergeCell ref="C50:E50"/>
    <mergeCell ref="D52:O52"/>
    <mergeCell ref="B14:O14"/>
    <mergeCell ref="B27:O27"/>
    <mergeCell ref="C40:E40"/>
    <mergeCell ref="C41:E41"/>
    <mergeCell ref="C43:E43"/>
    <mergeCell ref="B38:E38"/>
    <mergeCell ref="C39:E39"/>
  </mergeCells>
  <hyperlinks>
    <hyperlink ref="D82" location="'Carbon Calculator'!A1" display="Click here to go to the Carbon Calculator" xr:uid="{D2120EAC-A25D-408B-8DA8-A47266EB6BA5}"/>
    <hyperlink ref="D55:O55" location="'Program Dashboard'!A1" display="Click here to go to the Program Dashboard" xr:uid="{27BBED3E-806E-4B58-9F6A-5F2C1E19DCB6}"/>
    <hyperlink ref="D58:O58" location="'Monthly Tracker'!A1" display="Click here to go to the Monthly Tracker" xr:uid="{0777A97B-1DE0-4BD0-B91B-A979A3845376}"/>
    <hyperlink ref="D61:O61" location="'Facility Survey'!A1" display="Click here to go to the Facility Survey" xr:uid="{A4D6AACC-CAED-42B8-BA6E-A4F68D938195}"/>
    <hyperlink ref="D64:O64" location="'Observation Checklist'!A1" display="Click here to go to the Observation Checklist" xr:uid="{5A57F5E5-3819-45F1-BBE2-82D894047D88}"/>
    <hyperlink ref="D67:O67" location="'Waste Composition'!A1" display="Click here to go to the Waste Composition Tool" xr:uid="{710B1306-4E01-419C-9348-3B111A619901}"/>
    <hyperlink ref="D70:O70" location="'Container Capacity Calculator'!A1" display="Click here to go to the Capacity Calculator" xr:uid="{68F15681-1A67-4750-892D-4295A570573C}"/>
    <hyperlink ref="D73:O73" location="'Container Cost Calculator'!A1" display="Click here to go to the Cost Calculator" xr:uid="{78108A80-1920-46D8-A232-AC41B618781F}"/>
    <hyperlink ref="D76:O76" location="'Financial Calculator'!A1" display="Click here to go to the Financial Calculator" xr:uid="{AF6B8F6B-1596-4F7C-A0A1-56C51CCF818C}"/>
    <hyperlink ref="D79:O79" location="'Job Creation Calculator'!A1" display="Click here to go to the Job Creation Calculator" xr:uid="{83710BD9-BB1A-4929-8FC1-FAFECBF8E02F}"/>
    <hyperlink ref="D52" location="FAQ!A1" display="Click here to go to the FAQ" xr:uid="{F361E1BB-49D0-4E96-8513-C7BB5BC89823}"/>
  </hyperlinks>
  <pageMargins left="0.7" right="0.7" top="0.75" bottom="0.75" header="0.3" footer="0.3"/>
  <pageSetup scale="4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42440C-B66B-4B8E-9D76-E7742C0EC41B}">
  <sheetPr>
    <tabColor theme="0" tint="-0.14999847407452621"/>
  </sheetPr>
  <dimension ref="A1:O78"/>
  <sheetViews>
    <sheetView topLeftCell="A44" workbookViewId="0">
      <selection activeCell="B66" sqref="B66:O66"/>
    </sheetView>
  </sheetViews>
  <sheetFormatPr defaultRowHeight="15"/>
  <cols>
    <col min="1" max="1" width="4.5703125" style="60" customWidth="1"/>
    <col min="2" max="2" width="9.140625" style="400"/>
    <col min="3" max="16384" width="9.140625" style="5"/>
  </cols>
  <sheetData>
    <row r="1" spans="1:15">
      <c r="A1" s="60" t="s">
        <v>6</v>
      </c>
    </row>
    <row r="3" spans="1:15">
      <c r="A3" s="60" t="s">
        <v>112</v>
      </c>
      <c r="B3" s="535" t="s">
        <v>595</v>
      </c>
      <c r="C3" s="535"/>
      <c r="D3" s="535"/>
      <c r="E3" s="535"/>
      <c r="F3" s="535"/>
      <c r="G3" s="535"/>
      <c r="H3" s="535"/>
      <c r="I3" s="535"/>
      <c r="J3" s="535"/>
      <c r="K3" s="535"/>
      <c r="L3" s="535"/>
      <c r="M3" s="535"/>
      <c r="N3" s="535"/>
      <c r="O3" s="535"/>
    </row>
    <row r="5" spans="1:15" ht="60.75" customHeight="1">
      <c r="A5" s="60" t="s">
        <v>113</v>
      </c>
      <c r="B5" s="425" t="s">
        <v>596</v>
      </c>
      <c r="C5" s="425"/>
      <c r="D5" s="425"/>
      <c r="E5" s="425"/>
      <c r="F5" s="425"/>
      <c r="G5" s="425"/>
      <c r="H5" s="425"/>
      <c r="I5" s="425"/>
      <c r="J5" s="425"/>
      <c r="K5" s="425"/>
      <c r="L5" s="425"/>
      <c r="M5" s="425"/>
      <c r="N5" s="425"/>
      <c r="O5" s="425"/>
    </row>
    <row r="7" spans="1:15">
      <c r="B7" s="536" t="s">
        <v>114</v>
      </c>
      <c r="C7" s="536"/>
      <c r="D7" s="536"/>
      <c r="E7" s="536"/>
      <c r="F7" s="536"/>
      <c r="G7" s="536"/>
      <c r="H7" s="536"/>
      <c r="I7" s="536"/>
      <c r="J7" s="536"/>
      <c r="K7" s="536"/>
      <c r="L7" s="536"/>
      <c r="M7" s="536"/>
      <c r="N7" s="536"/>
      <c r="O7" s="536"/>
    </row>
    <row r="27" spans="1:15">
      <c r="A27" s="60" t="s">
        <v>112</v>
      </c>
      <c r="B27" s="535" t="s">
        <v>115</v>
      </c>
      <c r="C27" s="535"/>
      <c r="D27" s="535"/>
      <c r="E27" s="535"/>
      <c r="F27" s="535"/>
      <c r="G27" s="535"/>
      <c r="H27" s="535"/>
      <c r="I27" s="535"/>
      <c r="J27" s="535"/>
      <c r="K27" s="535"/>
      <c r="L27" s="535"/>
      <c r="M27" s="535"/>
      <c r="N27" s="535"/>
      <c r="O27" s="535"/>
    </row>
    <row r="29" spans="1:15" ht="30.75" customHeight="1">
      <c r="A29" s="60" t="s">
        <v>113</v>
      </c>
      <c r="B29" s="425" t="s">
        <v>116</v>
      </c>
      <c r="C29" s="425"/>
      <c r="D29" s="425"/>
      <c r="E29" s="425"/>
      <c r="F29" s="425"/>
      <c r="G29" s="425"/>
      <c r="H29" s="425"/>
      <c r="I29" s="425"/>
      <c r="J29" s="425"/>
      <c r="K29" s="425"/>
      <c r="L29" s="425"/>
      <c r="M29" s="425"/>
      <c r="N29" s="425"/>
      <c r="O29" s="425"/>
    </row>
    <row r="31" spans="1:15">
      <c r="B31" s="536" t="s">
        <v>117</v>
      </c>
      <c r="C31" s="536"/>
      <c r="D31" s="536"/>
      <c r="E31" s="536"/>
      <c r="F31" s="536"/>
      <c r="G31" s="536"/>
      <c r="H31" s="536"/>
      <c r="I31" s="536"/>
      <c r="J31" s="536"/>
      <c r="K31" s="536"/>
      <c r="L31" s="536"/>
      <c r="M31" s="536"/>
      <c r="N31" s="536"/>
      <c r="O31" s="536"/>
    </row>
    <row r="62" spans="1:15">
      <c r="A62" s="60" t="s">
        <v>112</v>
      </c>
      <c r="B62" s="535" t="s">
        <v>118</v>
      </c>
      <c r="C62" s="535"/>
      <c r="D62" s="535"/>
      <c r="E62" s="535"/>
      <c r="F62" s="535"/>
      <c r="G62" s="535"/>
      <c r="H62" s="535"/>
      <c r="I62" s="535"/>
      <c r="J62" s="535"/>
      <c r="K62" s="535"/>
      <c r="L62" s="535"/>
      <c r="M62" s="535"/>
      <c r="N62" s="535"/>
      <c r="O62" s="535"/>
    </row>
    <row r="64" spans="1:15" ht="63.75" customHeight="1">
      <c r="A64" s="60" t="s">
        <v>113</v>
      </c>
      <c r="B64" s="425" t="s">
        <v>119</v>
      </c>
      <c r="C64" s="425"/>
      <c r="D64" s="425"/>
      <c r="E64" s="425"/>
      <c r="F64" s="425"/>
      <c r="G64" s="425"/>
      <c r="H64" s="425"/>
      <c r="I64" s="425"/>
      <c r="J64" s="425"/>
      <c r="K64" s="425"/>
      <c r="L64" s="425"/>
      <c r="M64" s="425"/>
      <c r="N64" s="425"/>
      <c r="O64" s="425"/>
    </row>
    <row r="65" spans="2:15" ht="15" customHeight="1">
      <c r="B65" s="355"/>
      <c r="C65" s="355"/>
      <c r="D65" s="355"/>
      <c r="E65" s="355"/>
      <c r="F65" s="355"/>
      <c r="G65" s="355"/>
      <c r="H65" s="355"/>
      <c r="I65" s="355"/>
      <c r="J65" s="355"/>
      <c r="K65" s="355"/>
      <c r="L65" s="355"/>
      <c r="M65" s="355"/>
      <c r="N65" s="355"/>
      <c r="O65" s="355"/>
    </row>
    <row r="66" spans="2:15" ht="15" customHeight="1">
      <c r="B66" s="425" t="s">
        <v>674</v>
      </c>
      <c r="C66" s="425"/>
      <c r="D66" s="425"/>
      <c r="E66" s="425"/>
      <c r="F66" s="425"/>
      <c r="G66" s="425"/>
      <c r="H66" s="425"/>
      <c r="I66" s="425"/>
      <c r="J66" s="425"/>
      <c r="K66" s="425"/>
      <c r="L66" s="425"/>
      <c r="M66" s="425"/>
      <c r="N66" s="425"/>
      <c r="O66" s="425"/>
    </row>
    <row r="67" spans="2:15" ht="15" customHeight="1">
      <c r="B67" s="355"/>
      <c r="C67" s="355"/>
      <c r="D67" s="355"/>
      <c r="E67" s="355"/>
      <c r="F67" s="355"/>
      <c r="G67" s="355"/>
      <c r="H67" s="355"/>
      <c r="I67" s="355"/>
      <c r="J67" s="355"/>
      <c r="K67" s="355"/>
      <c r="L67" s="355"/>
      <c r="M67" s="355"/>
      <c r="N67" s="355"/>
      <c r="O67" s="355"/>
    </row>
    <row r="68" spans="2:15" ht="50.25" customHeight="1">
      <c r="B68" s="5"/>
      <c r="C68" s="425" t="s">
        <v>120</v>
      </c>
      <c r="D68" s="425"/>
      <c r="E68" s="425"/>
      <c r="F68" s="425"/>
      <c r="G68" s="425"/>
      <c r="H68" s="425"/>
      <c r="I68" s="425"/>
      <c r="J68" s="425"/>
      <c r="K68" s="425"/>
      <c r="L68" s="425"/>
      <c r="M68" s="425"/>
      <c r="N68" s="425"/>
      <c r="O68" s="425"/>
    </row>
    <row r="69" spans="2:15" ht="15" customHeight="1">
      <c r="B69" s="5"/>
      <c r="C69" s="355"/>
      <c r="D69" s="355"/>
      <c r="E69" s="355"/>
      <c r="F69" s="355"/>
      <c r="G69" s="355"/>
      <c r="H69" s="355"/>
      <c r="I69" s="355"/>
      <c r="J69" s="355"/>
      <c r="K69" s="355"/>
      <c r="L69" s="355"/>
      <c r="M69" s="355"/>
      <c r="N69" s="355"/>
      <c r="O69" s="355"/>
    </row>
    <row r="70" spans="2:15" ht="33.75" customHeight="1">
      <c r="C70" s="500" t="s">
        <v>121</v>
      </c>
      <c r="D70" s="500"/>
      <c r="E70" s="500"/>
      <c r="F70" s="500"/>
      <c r="G70" s="500"/>
      <c r="H70" s="500"/>
      <c r="I70" s="500"/>
      <c r="J70" s="500"/>
      <c r="K70" s="500"/>
      <c r="L70" s="500"/>
      <c r="M70" s="500"/>
      <c r="N70" s="500"/>
      <c r="O70" s="500"/>
    </row>
    <row r="71" spans="2:15">
      <c r="B71" s="5"/>
    </row>
    <row r="72" spans="2:15" ht="30" customHeight="1">
      <c r="C72" s="500" t="s">
        <v>122</v>
      </c>
      <c r="D72" s="500"/>
      <c r="E72" s="500"/>
      <c r="F72" s="500"/>
      <c r="G72" s="500"/>
      <c r="H72" s="500"/>
      <c r="I72" s="500"/>
      <c r="J72" s="500"/>
      <c r="K72" s="500"/>
      <c r="L72" s="500"/>
      <c r="M72" s="500"/>
      <c r="N72" s="500"/>
      <c r="O72" s="500"/>
    </row>
    <row r="73" spans="2:15">
      <c r="B73" s="5"/>
    </row>
    <row r="74" spans="2:15" ht="29.25" customHeight="1">
      <c r="C74" s="500" t="s">
        <v>123</v>
      </c>
      <c r="D74" s="500"/>
      <c r="E74" s="500"/>
      <c r="F74" s="500"/>
      <c r="G74" s="500"/>
      <c r="H74" s="500"/>
      <c r="I74" s="500"/>
      <c r="J74" s="500"/>
      <c r="K74" s="500"/>
      <c r="L74" s="500"/>
      <c r="M74" s="500"/>
      <c r="N74" s="500"/>
      <c r="O74" s="500"/>
    </row>
    <row r="76" spans="2:15" ht="28.5" customHeight="1">
      <c r="C76" s="500" t="s">
        <v>124</v>
      </c>
      <c r="D76" s="500"/>
      <c r="E76" s="500"/>
      <c r="F76" s="500"/>
      <c r="G76" s="500"/>
      <c r="H76" s="500"/>
      <c r="I76" s="500"/>
      <c r="J76" s="500"/>
      <c r="K76" s="500"/>
      <c r="L76" s="500"/>
      <c r="M76" s="500"/>
      <c r="N76" s="500"/>
      <c r="O76" s="500"/>
    </row>
    <row r="78" spans="2:15">
      <c r="B78" s="534" t="s">
        <v>125</v>
      </c>
      <c r="C78" s="534"/>
      <c r="D78" s="534"/>
      <c r="E78" s="534"/>
      <c r="F78" s="534"/>
    </row>
  </sheetData>
  <sheetProtection sheet="1" objects="1" scenarios="1" formatColumns="0" formatRows="0"/>
  <mergeCells count="15">
    <mergeCell ref="B78:F78"/>
    <mergeCell ref="C76:O76"/>
    <mergeCell ref="B66:O66"/>
    <mergeCell ref="B3:O3"/>
    <mergeCell ref="B5:O5"/>
    <mergeCell ref="B27:O27"/>
    <mergeCell ref="B29:O29"/>
    <mergeCell ref="B7:O7"/>
    <mergeCell ref="B31:O31"/>
    <mergeCell ref="B62:O62"/>
    <mergeCell ref="B64:O64"/>
    <mergeCell ref="C68:O68"/>
    <mergeCell ref="C70:O70"/>
    <mergeCell ref="C72:O72"/>
    <mergeCell ref="C74:O74"/>
  </mergeCells>
  <hyperlinks>
    <hyperlink ref="B78" location="'User Manual'!A1" display="Click here to return to the Toolkit Instructions" xr:uid="{FCDF3E95-25CE-4E75-B73C-7A3112977248}"/>
  </hyperlink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175C32-55C1-4627-B76F-090E7B21E349}">
  <sheetPr>
    <tabColor rgb="FF00B050"/>
  </sheetPr>
  <dimension ref="A1:O33"/>
  <sheetViews>
    <sheetView zoomScaleNormal="100" workbookViewId="0">
      <selection activeCell="I30" sqref="I30"/>
    </sheetView>
  </sheetViews>
  <sheetFormatPr defaultColWidth="9.140625" defaultRowHeight="15"/>
  <cols>
    <col min="1" max="1" width="5.7109375" style="5" customWidth="1"/>
    <col min="2" max="2" width="32.140625" style="5" customWidth="1"/>
    <col min="3" max="3" width="43" style="5" customWidth="1"/>
    <col min="4" max="4" width="13.42578125" style="5" customWidth="1"/>
    <col min="5" max="5" width="13.5703125" style="5" customWidth="1"/>
    <col min="6" max="6" width="21.42578125" style="5" customWidth="1"/>
    <col min="7" max="16384" width="9.140625" style="5"/>
  </cols>
  <sheetData>
    <row r="1" spans="1:15">
      <c r="A1" s="4" t="str" cm="1">
        <f t="array" aca="1" ref="A1" ca="1">RIGHT(CELL("filename",A1),LEN(CELL("filename",A1))-SEARCH("]",CELL("filename",A1)))</f>
        <v>Program Dashboard</v>
      </c>
    </row>
    <row r="2" spans="1:15">
      <c r="A2" s="4"/>
    </row>
    <row r="3" spans="1:15">
      <c r="A3" s="4" t="s">
        <v>72</v>
      </c>
    </row>
    <row r="4" spans="1:15" ht="32.1" customHeight="1">
      <c r="A4" s="4"/>
      <c r="B4" s="500" t="s">
        <v>126</v>
      </c>
      <c r="C4" s="500"/>
      <c r="D4" s="500"/>
      <c r="E4" s="500"/>
      <c r="F4" s="500"/>
      <c r="G4" s="73"/>
      <c r="I4" s="73"/>
      <c r="J4" s="73"/>
      <c r="K4" s="73"/>
      <c r="L4" s="73"/>
      <c r="M4" s="73"/>
      <c r="N4" s="73"/>
      <c r="O4" s="73"/>
    </row>
    <row r="5" spans="1:15">
      <c r="A5" s="4"/>
    </row>
    <row r="6" spans="1:15">
      <c r="A6" s="4" t="s">
        <v>127</v>
      </c>
    </row>
    <row r="7" spans="1:15" ht="31.5" customHeight="1">
      <c r="B7" s="537" t="s">
        <v>128</v>
      </c>
      <c r="C7" s="537"/>
      <c r="D7" s="537"/>
      <c r="E7" s="537"/>
      <c r="F7" s="537"/>
    </row>
    <row r="8" spans="1:15" ht="15" customHeight="1">
      <c r="B8" s="70"/>
      <c r="C8" s="70"/>
      <c r="D8" s="70"/>
      <c r="E8" s="70"/>
      <c r="F8" s="70"/>
    </row>
    <row r="9" spans="1:15" ht="15" customHeight="1">
      <c r="B9" s="515" t="s">
        <v>125</v>
      </c>
      <c r="C9" s="515"/>
      <c r="D9" s="70"/>
      <c r="E9" s="70"/>
      <c r="F9" s="70"/>
    </row>
    <row r="10" spans="1:15" ht="15.75" thickBot="1">
      <c r="B10" s="76"/>
    </row>
    <row r="11" spans="1:15" ht="26.25">
      <c r="B11" s="495" t="s">
        <v>672</v>
      </c>
      <c r="C11" s="496"/>
      <c r="D11" s="496"/>
      <c r="E11" s="496"/>
      <c r="F11" s="497"/>
    </row>
    <row r="12" spans="1:15">
      <c r="B12" s="195" t="s">
        <v>129</v>
      </c>
      <c r="C12" s="136" t="s">
        <v>130</v>
      </c>
      <c r="D12" s="136" t="s">
        <v>131</v>
      </c>
      <c r="E12" s="136" t="s">
        <v>132</v>
      </c>
      <c r="F12" s="196" t="s">
        <v>133</v>
      </c>
    </row>
    <row r="13" spans="1:15">
      <c r="B13" s="47" t="s">
        <v>103</v>
      </c>
      <c r="C13" s="2" t="s">
        <v>134</v>
      </c>
      <c r="D13" s="292" t="e">
        <f>'Waste Composition'!C32</f>
        <v>#DIV/0!</v>
      </c>
      <c r="E13" s="292" t="e">
        <f>'Waste Composition'!C34</f>
        <v>#DIV/0!</v>
      </c>
      <c r="F13" s="293" t="e">
        <f t="shared" ref="F13:F22" si="0">E13-D13</f>
        <v>#DIV/0!</v>
      </c>
    </row>
    <row r="14" spans="1:15">
      <c r="B14" s="47" t="s">
        <v>103</v>
      </c>
      <c r="C14" s="2" t="s">
        <v>135</v>
      </c>
      <c r="D14" s="292" t="e">
        <f>'Waste Composition'!C33</f>
        <v>#DIV/0!</v>
      </c>
      <c r="E14" s="294" t="e">
        <f>'Waste Composition'!C35</f>
        <v>#DIV/0!</v>
      </c>
      <c r="F14" s="293" t="e">
        <f>E14-D14</f>
        <v>#DIV/0!</v>
      </c>
    </row>
    <row r="15" spans="1:15">
      <c r="B15" s="47" t="s">
        <v>103</v>
      </c>
      <c r="C15" s="2" t="s">
        <v>136</v>
      </c>
      <c r="D15" s="292" t="e">
        <f>('Waste Composition'!D28+'Waste Composition'!E29)/'Waste Composition'!F31</f>
        <v>#DIV/0!</v>
      </c>
      <c r="E15" s="292" t="e">
        <f>('Waste Composition'!F28+'Waste Composition'!F29)/'Waste Composition'!F31</f>
        <v>#DIV/0!</v>
      </c>
      <c r="F15" s="293" t="e">
        <f t="shared" si="0"/>
        <v>#DIV/0!</v>
      </c>
    </row>
    <row r="16" spans="1:15">
      <c r="B16" s="47" t="s">
        <v>137</v>
      </c>
      <c r="C16" s="2" t="s">
        <v>138</v>
      </c>
      <c r="D16" s="62">
        <f>'Container Capacity Calculator'!C23</f>
        <v>0</v>
      </c>
      <c r="E16" s="62">
        <f>'Container Capacity Calculator'!D23</f>
        <v>0</v>
      </c>
      <c r="F16" s="261">
        <f t="shared" si="0"/>
        <v>0</v>
      </c>
    </row>
    <row r="17" spans="2:6">
      <c r="B17" s="47" t="s">
        <v>137</v>
      </c>
      <c r="C17" s="2" t="s">
        <v>139</v>
      </c>
      <c r="D17" s="62">
        <f>'Container Capacity Calculator'!C24</f>
        <v>0</v>
      </c>
      <c r="E17" s="62">
        <f>'Container Capacity Calculator'!D24</f>
        <v>0</v>
      </c>
      <c r="F17" s="261">
        <f t="shared" si="0"/>
        <v>0</v>
      </c>
    </row>
    <row r="18" spans="2:6">
      <c r="B18" s="47" t="s">
        <v>137</v>
      </c>
      <c r="C18" s="2" t="s">
        <v>140</v>
      </c>
      <c r="D18" s="62">
        <f>'Container Capacity Calculator'!C25</f>
        <v>0</v>
      </c>
      <c r="E18" s="62">
        <f>'Container Capacity Calculator'!D25</f>
        <v>0</v>
      </c>
      <c r="F18" s="261">
        <f t="shared" si="0"/>
        <v>0</v>
      </c>
    </row>
    <row r="19" spans="2:6">
      <c r="B19" s="47" t="s">
        <v>56</v>
      </c>
      <c r="C19" s="2" t="s">
        <v>141</v>
      </c>
      <c r="D19" s="383">
        <f>'Container Cost Calculator'!C21</f>
        <v>0</v>
      </c>
      <c r="E19" s="383">
        <f>'Container Cost Calculator'!D21</f>
        <v>0</v>
      </c>
      <c r="F19" s="42">
        <f t="shared" si="0"/>
        <v>0</v>
      </c>
    </row>
    <row r="20" spans="2:6">
      <c r="B20" s="47" t="s">
        <v>56</v>
      </c>
      <c r="C20" s="2" t="s">
        <v>142</v>
      </c>
      <c r="D20" s="383">
        <f>'Container Cost Calculator'!C22</f>
        <v>0</v>
      </c>
      <c r="E20" s="383">
        <f>'Container Cost Calculator'!D22</f>
        <v>0</v>
      </c>
      <c r="F20" s="42">
        <f t="shared" si="0"/>
        <v>0</v>
      </c>
    </row>
    <row r="21" spans="2:6">
      <c r="B21" s="47" t="s">
        <v>56</v>
      </c>
      <c r="C21" s="2" t="s">
        <v>143</v>
      </c>
      <c r="D21" s="383">
        <f>'Container Cost Calculator'!C23</f>
        <v>0</v>
      </c>
      <c r="E21" s="383">
        <f>'Container Cost Calculator'!D23</f>
        <v>0</v>
      </c>
      <c r="F21" s="42">
        <f t="shared" si="0"/>
        <v>0</v>
      </c>
    </row>
    <row r="22" spans="2:6">
      <c r="B22" s="47" t="s">
        <v>58</v>
      </c>
      <c r="C22" s="2" t="s">
        <v>144</v>
      </c>
      <c r="D22" s="3">
        <f>'Financial Calculator'!C47</f>
        <v>0</v>
      </c>
      <c r="E22" s="3">
        <f>'Financial Calculator'!C48</f>
        <v>0</v>
      </c>
      <c r="F22" s="51">
        <f t="shared" si="0"/>
        <v>0</v>
      </c>
    </row>
    <row r="23" spans="2:6">
      <c r="B23" s="47" t="s">
        <v>58</v>
      </c>
      <c r="C23" s="2" t="s">
        <v>145</v>
      </c>
      <c r="D23" s="169" t="s">
        <v>146</v>
      </c>
      <c r="E23" s="32" t="str">
        <f>'Financial Calculator'!C55</f>
        <v>N/A - No Revenue</v>
      </c>
      <c r="F23" s="53" t="s">
        <v>146</v>
      </c>
    </row>
    <row r="24" spans="2:6">
      <c r="B24" s="47" t="s">
        <v>60</v>
      </c>
      <c r="C24" s="2" t="s">
        <v>147</v>
      </c>
      <c r="D24" s="13">
        <f>'Job Creation Calculator'!C24</f>
        <v>0</v>
      </c>
      <c r="E24" s="13">
        <f>'Job Creation Calculator'!D24</f>
        <v>0</v>
      </c>
      <c r="F24" s="54">
        <f>E24-D24</f>
        <v>0</v>
      </c>
    </row>
    <row r="25" spans="2:6" ht="18">
      <c r="B25" s="148" t="s">
        <v>148</v>
      </c>
      <c r="C25" s="2" t="s">
        <v>149</v>
      </c>
      <c r="D25" s="13">
        <f>'Carbon Calculator'!C29</f>
        <v>0</v>
      </c>
      <c r="E25" s="13">
        <f>'Carbon Calculator'!D29</f>
        <v>0</v>
      </c>
      <c r="F25" s="54">
        <f>'Carbon Calculator'!E29</f>
        <v>0</v>
      </c>
    </row>
    <row r="26" spans="2:6" ht="18">
      <c r="B26" s="148" t="s">
        <v>150</v>
      </c>
      <c r="C26" s="2" t="s">
        <v>151</v>
      </c>
      <c r="D26" s="13">
        <f>'Carbon Calculator'!C30</f>
        <v>0</v>
      </c>
      <c r="E26" s="13">
        <f>'Carbon Calculator'!D30</f>
        <v>0</v>
      </c>
      <c r="F26" s="54">
        <f>'Carbon Calculator'!E30</f>
        <v>0</v>
      </c>
    </row>
    <row r="27" spans="2:6" ht="18">
      <c r="B27" s="148" t="s">
        <v>152</v>
      </c>
      <c r="C27" s="2" t="s">
        <v>153</v>
      </c>
      <c r="D27" s="13">
        <f>'Carbon Calculator'!C31</f>
        <v>0</v>
      </c>
      <c r="E27" s="13">
        <f>'Carbon Calculator'!D31</f>
        <v>0</v>
      </c>
      <c r="F27" s="54">
        <f>'Carbon Calculator'!E31</f>
        <v>0</v>
      </c>
    </row>
    <row r="28" spans="2:6" ht="18">
      <c r="B28" s="148" t="s">
        <v>154</v>
      </c>
      <c r="C28" s="2" t="s">
        <v>155</v>
      </c>
      <c r="D28" s="13">
        <f>'Carbon Calculator'!C32</f>
        <v>0</v>
      </c>
      <c r="E28" s="13">
        <f>'Carbon Calculator'!D32</f>
        <v>0</v>
      </c>
      <c r="F28" s="54">
        <f>'Carbon Calculator'!E32</f>
        <v>0</v>
      </c>
    </row>
    <row r="29" spans="2:6" ht="18">
      <c r="B29" s="148" t="s">
        <v>156</v>
      </c>
      <c r="C29" s="2" t="s">
        <v>157</v>
      </c>
      <c r="D29" s="13">
        <f>'Carbon Calculator'!C33</f>
        <v>0</v>
      </c>
      <c r="E29" s="13">
        <f>'Carbon Calculator'!D33</f>
        <v>0</v>
      </c>
      <c r="F29" s="54">
        <f>'Carbon Calculator'!E33</f>
        <v>0</v>
      </c>
    </row>
    <row r="30" spans="2:6" ht="18.75" thickBot="1">
      <c r="B30" s="538" t="s">
        <v>158</v>
      </c>
      <c r="C30" s="539"/>
      <c r="D30" s="539"/>
      <c r="E30" s="539"/>
      <c r="F30" s="540"/>
    </row>
    <row r="33" spans="7:7">
      <c r="G33" s="365"/>
    </row>
  </sheetData>
  <sheetProtection sheet="1" objects="1" scenarios="1" formatColumns="0" formatRows="0"/>
  <mergeCells count="5">
    <mergeCell ref="B11:F11"/>
    <mergeCell ref="B4:F4"/>
    <mergeCell ref="B7:F7"/>
    <mergeCell ref="B9:C9"/>
    <mergeCell ref="B30:F30"/>
  </mergeCells>
  <hyperlinks>
    <hyperlink ref="B9" location="'Toolkit Instructions'!A1" display="Click here to return to the Toolkit Instructions" xr:uid="{2E0695A1-75C0-4F6F-98F5-D4583DFA4A51}"/>
    <hyperlink ref="B9:C9" location="'User Manual'!A1" display="Click here to return to the Toolkit Instructions" xr:uid="{D90F6082-FB63-4BFB-9F9E-218C04F37CB9}"/>
  </hyperlinks>
  <pageMargins left="0.7" right="0.7" top="0.75" bottom="0.75" header="0.3" footer="0.3"/>
  <pageSetup scale="52" orientation="portrait" r:id="rId1"/>
  <colBreaks count="1" manualBreakCount="1">
    <brk id="10"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71E5F-4CC9-4EB3-A103-DCF527F550FD}">
  <sheetPr>
    <tabColor rgb="FF00B050"/>
  </sheetPr>
  <dimension ref="A1:X262"/>
  <sheetViews>
    <sheetView zoomScaleNormal="100" workbookViewId="0">
      <selection activeCell="B24" sqref="B24:D24"/>
    </sheetView>
  </sheetViews>
  <sheetFormatPr defaultColWidth="9.140625" defaultRowHeight="15"/>
  <cols>
    <col min="1" max="1" width="1.7109375" style="5" customWidth="1"/>
    <col min="2" max="2" width="17" style="5" customWidth="1"/>
    <col min="3" max="3" width="20.140625" style="5" customWidth="1"/>
    <col min="4" max="4" width="21.85546875" style="5" customWidth="1"/>
    <col min="5" max="5" width="17.5703125" style="5" customWidth="1"/>
    <col min="6" max="6" width="16.5703125" style="5" customWidth="1"/>
    <col min="7" max="7" width="12.140625" customWidth="1"/>
    <col min="8" max="8" width="16.5703125" style="5" customWidth="1"/>
    <col min="9" max="9" width="9.140625" style="5"/>
    <col min="10" max="10" width="29.28515625" style="5" bestFit="1" customWidth="1"/>
    <col min="11" max="11" width="10.140625" style="5" customWidth="1"/>
    <col min="12" max="12" width="9.85546875" style="5" customWidth="1"/>
    <col min="13" max="16384" width="9.140625" style="5"/>
  </cols>
  <sheetData>
    <row r="1" spans="1:8">
      <c r="A1" s="4" t="str" cm="1">
        <f t="array" aca="1" ref="A1" ca="1">RIGHT(CELL("filename",A1),LEN(CELL("filename",A1))-SEARCH("]",CELL("filename",A1)))</f>
        <v>Monthly Tracker</v>
      </c>
      <c r="G1" s="5"/>
    </row>
    <row r="2" spans="1:8">
      <c r="A2" s="4"/>
      <c r="G2" s="5"/>
    </row>
    <row r="3" spans="1:8">
      <c r="A3" s="4" t="s">
        <v>72</v>
      </c>
      <c r="G3" s="5"/>
    </row>
    <row r="4" spans="1:8">
      <c r="A4" s="4"/>
      <c r="G4" s="5"/>
    </row>
    <row r="5" spans="1:8" ht="33" customHeight="1">
      <c r="A5" s="4"/>
      <c r="B5" s="500" t="s">
        <v>159</v>
      </c>
      <c r="C5" s="500"/>
      <c r="D5" s="500"/>
      <c r="E5" s="500"/>
      <c r="F5" s="500"/>
      <c r="G5" s="500"/>
      <c r="H5" s="500"/>
    </row>
    <row r="6" spans="1:8">
      <c r="A6" s="4"/>
      <c r="G6" s="5"/>
    </row>
    <row r="7" spans="1:8">
      <c r="A7" s="1" t="s">
        <v>127</v>
      </c>
      <c r="B7" s="1"/>
      <c r="G7" s="5"/>
    </row>
    <row r="8" spans="1:8" ht="46.5" customHeight="1">
      <c r="B8" s="552" t="s">
        <v>597</v>
      </c>
      <c r="C8" s="552"/>
      <c r="D8" s="552"/>
      <c r="E8" s="552"/>
      <c r="F8" s="552"/>
      <c r="G8" s="552"/>
      <c r="H8" s="552"/>
    </row>
    <row r="9" spans="1:8">
      <c r="B9" s="60"/>
      <c r="C9" s="60"/>
      <c r="D9" s="60"/>
      <c r="E9" s="60"/>
      <c r="F9" s="60"/>
      <c r="G9" s="60"/>
      <c r="H9" s="60"/>
    </row>
    <row r="10" spans="1:8" ht="30.75" customHeight="1">
      <c r="B10" s="552" t="s">
        <v>598</v>
      </c>
      <c r="C10" s="552"/>
      <c r="D10" s="552"/>
      <c r="E10" s="552"/>
      <c r="F10" s="552"/>
      <c r="G10" s="552"/>
      <c r="H10" s="552"/>
    </row>
    <row r="11" spans="1:8">
      <c r="B11" s="60"/>
      <c r="C11" s="60"/>
      <c r="D11" s="60"/>
      <c r="E11" s="60"/>
      <c r="F11" s="60"/>
      <c r="G11" s="60"/>
      <c r="H11" s="60"/>
    </row>
    <row r="12" spans="1:8" ht="31.5" customHeight="1">
      <c r="B12" s="552" t="s">
        <v>599</v>
      </c>
      <c r="C12" s="552"/>
      <c r="D12" s="552"/>
      <c r="E12" s="552"/>
      <c r="F12" s="552"/>
      <c r="G12" s="552"/>
      <c r="H12" s="552"/>
    </row>
    <row r="13" spans="1:8">
      <c r="B13" s="60"/>
      <c r="C13" s="60"/>
      <c r="D13" s="60"/>
      <c r="E13" s="60"/>
      <c r="F13" s="60"/>
      <c r="G13" s="60"/>
      <c r="H13" s="60"/>
    </row>
    <row r="14" spans="1:8" ht="32.25" customHeight="1">
      <c r="B14" s="552" t="s">
        <v>657</v>
      </c>
      <c r="C14" s="552"/>
      <c r="D14" s="552"/>
      <c r="E14" s="552"/>
      <c r="F14" s="552"/>
      <c r="G14" s="552"/>
      <c r="H14" s="552"/>
    </row>
    <row r="15" spans="1:8">
      <c r="B15" s="60"/>
      <c r="C15" s="60"/>
      <c r="D15" s="60"/>
      <c r="E15" s="60"/>
      <c r="F15" s="60"/>
      <c r="G15" s="60"/>
      <c r="H15" s="60"/>
    </row>
    <row r="16" spans="1:8" ht="30.75" customHeight="1">
      <c r="B16" s="552" t="s">
        <v>600</v>
      </c>
      <c r="C16" s="552"/>
      <c r="D16" s="552"/>
      <c r="E16" s="552"/>
      <c r="F16" s="552"/>
      <c r="G16" s="552"/>
      <c r="H16" s="552"/>
    </row>
    <row r="17" spans="2:24">
      <c r="B17" s="60"/>
      <c r="C17" s="60"/>
      <c r="D17" s="60"/>
      <c r="E17" s="60"/>
      <c r="F17" s="60"/>
      <c r="G17" s="60"/>
      <c r="H17" s="60"/>
    </row>
    <row r="18" spans="2:24" ht="31.5" customHeight="1">
      <c r="B18" s="552" t="s">
        <v>160</v>
      </c>
      <c r="C18" s="552"/>
      <c r="D18" s="552"/>
      <c r="E18" s="552"/>
      <c r="F18" s="552"/>
      <c r="G18" s="552"/>
      <c r="H18" s="552"/>
    </row>
    <row r="20" spans="2:24" ht="45.75" customHeight="1">
      <c r="B20" s="552" t="s">
        <v>601</v>
      </c>
      <c r="C20" s="552"/>
      <c r="D20" s="552"/>
      <c r="E20" s="552"/>
      <c r="F20" s="552"/>
      <c r="G20" s="552"/>
      <c r="H20" s="552"/>
      <c r="I20" s="60"/>
      <c r="J20" s="60"/>
      <c r="K20" s="60"/>
      <c r="L20" s="60"/>
      <c r="M20" s="60"/>
      <c r="N20" s="60"/>
      <c r="O20" s="60"/>
      <c r="P20" s="60"/>
    </row>
    <row r="21" spans="2:24">
      <c r="B21" s="60"/>
      <c r="C21" s="60"/>
      <c r="D21" s="60"/>
      <c r="E21" s="60"/>
      <c r="F21" s="60"/>
      <c r="G21" s="60"/>
      <c r="H21" s="60"/>
      <c r="I21" s="60"/>
      <c r="J21" s="60"/>
      <c r="K21" s="60"/>
      <c r="L21" s="60"/>
      <c r="M21" s="60"/>
      <c r="N21" s="60"/>
      <c r="O21" s="60"/>
      <c r="P21" s="60"/>
    </row>
    <row r="22" spans="2:24" ht="33" customHeight="1">
      <c r="B22" s="552" t="s">
        <v>161</v>
      </c>
      <c r="C22" s="552"/>
      <c r="D22" s="552"/>
      <c r="E22" s="552"/>
      <c r="F22" s="552"/>
      <c r="G22" s="552"/>
      <c r="H22" s="552"/>
      <c r="I22" s="60"/>
      <c r="J22" s="60"/>
      <c r="K22" s="60"/>
      <c r="L22" s="60"/>
      <c r="M22" s="60"/>
      <c r="N22" s="60"/>
      <c r="O22" s="60"/>
      <c r="P22" s="60"/>
    </row>
    <row r="23" spans="2:24" ht="15" customHeight="1">
      <c r="B23" s="135"/>
      <c r="C23" s="135"/>
      <c r="D23" s="135"/>
      <c r="E23" s="135"/>
      <c r="F23" s="135"/>
      <c r="G23" s="135"/>
      <c r="H23" s="135"/>
      <c r="I23" s="60"/>
      <c r="J23" s="60"/>
      <c r="K23" s="60"/>
      <c r="L23" s="60"/>
      <c r="M23" s="60"/>
      <c r="N23" s="60"/>
      <c r="O23" s="60"/>
      <c r="P23" s="60"/>
    </row>
    <row r="24" spans="2:24" ht="15" customHeight="1">
      <c r="B24" s="515" t="s">
        <v>125</v>
      </c>
      <c r="C24" s="515"/>
      <c r="D24" s="515"/>
      <c r="E24" s="135"/>
      <c r="F24" s="135"/>
      <c r="G24" s="135"/>
      <c r="H24" s="135"/>
      <c r="I24" s="60"/>
      <c r="J24" s="60"/>
      <c r="K24" s="60"/>
      <c r="L24" s="60"/>
      <c r="M24" s="60"/>
      <c r="N24" s="60"/>
      <c r="O24" s="60"/>
      <c r="P24" s="60"/>
    </row>
    <row r="25" spans="2:24" ht="15.75" thickBot="1">
      <c r="B25" s="60"/>
      <c r="C25" s="60"/>
      <c r="D25" s="60"/>
      <c r="E25" s="60"/>
      <c r="F25" s="60"/>
      <c r="G25" s="60"/>
      <c r="H25" s="60"/>
      <c r="I25" s="60"/>
      <c r="J25" s="60"/>
      <c r="K25" s="60"/>
      <c r="L25" s="60"/>
      <c r="M25" s="60"/>
      <c r="N25" s="60"/>
      <c r="O25" s="60"/>
      <c r="P25" s="60"/>
    </row>
    <row r="26" spans="2:24" ht="30.75" customHeight="1" thickBot="1">
      <c r="B26" s="452" t="s">
        <v>97</v>
      </c>
      <c r="C26" s="453"/>
      <c r="D26" s="453"/>
      <c r="E26" s="453"/>
      <c r="F26" s="453"/>
      <c r="G26" s="453"/>
      <c r="H26" s="453"/>
      <c r="I26" s="453"/>
      <c r="J26" s="453"/>
      <c r="K26" s="453"/>
      <c r="L26" s="453"/>
      <c r="M26" s="453"/>
      <c r="N26" s="453"/>
      <c r="O26" s="453"/>
      <c r="P26" s="453"/>
      <c r="Q26" s="453"/>
      <c r="R26" s="453"/>
      <c r="S26" s="453"/>
      <c r="T26" s="453"/>
      <c r="U26" s="453"/>
      <c r="V26" s="453"/>
      <c r="W26" s="453"/>
      <c r="X26" s="454"/>
    </row>
    <row r="27" spans="2:24">
      <c r="B27" s="556" t="s">
        <v>162</v>
      </c>
      <c r="C27" s="557"/>
      <c r="D27" s="557"/>
      <c r="E27" s="557"/>
      <c r="F27" s="557"/>
      <c r="G27" s="557"/>
      <c r="H27" s="558"/>
      <c r="J27" s="549" t="s">
        <v>163</v>
      </c>
      <c r="K27" s="550"/>
      <c r="L27" s="550"/>
      <c r="M27" s="550"/>
      <c r="N27" s="550"/>
      <c r="O27" s="550"/>
      <c r="P27" s="550"/>
      <c r="Q27" s="550"/>
      <c r="R27" s="550"/>
      <c r="S27" s="550"/>
      <c r="T27" s="550"/>
      <c r="U27" s="550"/>
      <c r="V27" s="550"/>
      <c r="W27" s="550"/>
      <c r="X27" s="551"/>
    </row>
    <row r="28" spans="2:24" s="4" customFormat="1">
      <c r="B28" s="553" t="s">
        <v>164</v>
      </c>
      <c r="C28" s="554"/>
      <c r="D28" s="554"/>
      <c r="E28" s="554"/>
      <c r="F28" s="554"/>
      <c r="G28" s="554"/>
      <c r="H28" s="555"/>
      <c r="I28" s="5"/>
      <c r="J28" s="234"/>
      <c r="K28" s="6" t="s">
        <v>165</v>
      </c>
      <c r="L28" s="6" t="s">
        <v>166</v>
      </c>
      <c r="M28" s="6" t="s">
        <v>167</v>
      </c>
      <c r="N28" s="6" t="s">
        <v>168</v>
      </c>
      <c r="O28" s="6" t="s">
        <v>169</v>
      </c>
      <c r="P28" s="6" t="s">
        <v>170</v>
      </c>
      <c r="Q28" s="6" t="s">
        <v>171</v>
      </c>
      <c r="R28" s="6" t="s">
        <v>172</v>
      </c>
      <c r="S28" s="6" t="s">
        <v>173</v>
      </c>
      <c r="T28" s="6" t="s">
        <v>174</v>
      </c>
      <c r="U28" s="6" t="s">
        <v>175</v>
      </c>
      <c r="V28" s="6" t="s">
        <v>176</v>
      </c>
      <c r="W28" s="8" t="s">
        <v>177</v>
      </c>
      <c r="X28" s="228" t="s">
        <v>178</v>
      </c>
    </row>
    <row r="29" spans="2:24" ht="45">
      <c r="B29" s="229"/>
      <c r="C29" s="130" t="s">
        <v>179</v>
      </c>
      <c r="D29" s="130" t="s">
        <v>180</v>
      </c>
      <c r="E29" s="130" t="s">
        <v>181</v>
      </c>
      <c r="F29" s="130" t="s">
        <v>182</v>
      </c>
      <c r="G29" s="69" t="s">
        <v>183</v>
      </c>
      <c r="H29" s="239" t="s">
        <v>184</v>
      </c>
      <c r="I29" s="4"/>
      <c r="J29" s="319" t="s">
        <v>185</v>
      </c>
      <c r="K29" s="296">
        <f>H30</f>
        <v>3.9720533333333332</v>
      </c>
      <c r="L29" s="296">
        <f>H47</f>
        <v>3.9720533333333332</v>
      </c>
      <c r="M29" s="296">
        <f>H64</f>
        <v>3.9720533333333332</v>
      </c>
      <c r="N29" s="296">
        <f>H81</f>
        <v>3.9720533333333332</v>
      </c>
      <c r="O29" s="296">
        <f>H98</f>
        <v>3.9720533333333332</v>
      </c>
      <c r="P29" s="296">
        <f>H115</f>
        <v>3.9720533333333332</v>
      </c>
      <c r="Q29" s="296">
        <f>H132</f>
        <v>3.9720533333333332</v>
      </c>
      <c r="R29" s="296">
        <f>H149</f>
        <v>3.9720533333333332</v>
      </c>
      <c r="S29" s="296">
        <f>H166</f>
        <v>3.9720533333333332</v>
      </c>
      <c r="T29" s="296">
        <f>H183</f>
        <v>3.9720533333333332</v>
      </c>
      <c r="U29" s="296">
        <f>H200</f>
        <v>3.9720533333333332</v>
      </c>
      <c r="V29" s="296">
        <f>H217</f>
        <v>3.9720533333333332</v>
      </c>
      <c r="W29" s="297">
        <f>SUM(K29:V29)</f>
        <v>47.664640000000013</v>
      </c>
      <c r="X29" s="298">
        <f>AVERAGE(K29:V29)</f>
        <v>3.9720533333333345</v>
      </c>
    </row>
    <row r="30" spans="2:24">
      <c r="B30" s="319" t="s">
        <v>186</v>
      </c>
      <c r="C30" s="295">
        <v>8</v>
      </c>
      <c r="D30" s="273">
        <v>0.5</v>
      </c>
      <c r="E30" s="272">
        <v>2</v>
      </c>
      <c r="F30" s="142">
        <f>C30*D30*E30</f>
        <v>8</v>
      </c>
      <c r="G30" s="31">
        <f>'Waste Composition'!$D$116/2000</f>
        <v>0.11466666666666667</v>
      </c>
      <c r="H30" s="240">
        <f>F30*G30*4.33</f>
        <v>3.9720533333333332</v>
      </c>
      <c r="J30" s="319" t="s">
        <v>187</v>
      </c>
      <c r="K30" s="296">
        <f>H31</f>
        <v>1.2779685714285713</v>
      </c>
      <c r="L30" s="296">
        <f>H48</f>
        <v>1.2779685714285713</v>
      </c>
      <c r="M30" s="296">
        <f t="shared" ref="M30:M32" si="0">H65</f>
        <v>1.2779685714285713</v>
      </c>
      <c r="N30" s="296">
        <f t="shared" ref="N30:N32" si="1">H82</f>
        <v>1.2779685714285713</v>
      </c>
      <c r="O30" s="296">
        <f t="shared" ref="O30:O32" si="2">H99</f>
        <v>1.2779685714285713</v>
      </c>
      <c r="P30" s="296">
        <f t="shared" ref="P30:P32" si="3">H116</f>
        <v>1.2779685714285713</v>
      </c>
      <c r="Q30" s="296">
        <f t="shared" ref="Q30:Q32" si="4">H133</f>
        <v>1.2779685714285713</v>
      </c>
      <c r="R30" s="296">
        <f t="shared" ref="R30:R32" si="5">H150</f>
        <v>1.2779685714285713</v>
      </c>
      <c r="S30" s="296">
        <f t="shared" ref="S30:S32" si="6">H167</f>
        <v>1.2779685714285713</v>
      </c>
      <c r="T30" s="296">
        <f t="shared" ref="T30:T32" si="7">H184</f>
        <v>1.2779685714285713</v>
      </c>
      <c r="U30" s="296">
        <f t="shared" ref="U30:U32" si="8">H201</f>
        <v>1.2779685714285713</v>
      </c>
      <c r="V30" s="296">
        <f t="shared" ref="V30:V32" si="9">H218</f>
        <v>1.2779685714285713</v>
      </c>
      <c r="W30" s="297">
        <f t="shared" ref="W30:W31" si="10">SUM(K30:V30)</f>
        <v>15.335622857142857</v>
      </c>
      <c r="X30" s="298">
        <f t="shared" ref="X30:X31" si="11">AVERAGE(K30:V30)</f>
        <v>1.2779685714285713</v>
      </c>
    </row>
    <row r="31" spans="2:24">
      <c r="B31" s="319" t="s">
        <v>188</v>
      </c>
      <c r="C31" s="295">
        <v>8</v>
      </c>
      <c r="D31" s="273">
        <v>0.5</v>
      </c>
      <c r="E31" s="272">
        <v>1</v>
      </c>
      <c r="F31" s="142">
        <f>C31*D31*E31</f>
        <v>4</v>
      </c>
      <c r="G31" s="31">
        <f>'Waste Composition'!$D$117/2000</f>
        <v>7.3785714285714274E-2</v>
      </c>
      <c r="H31" s="240">
        <f t="shared" ref="H31:H32" si="12">F31*G31*4.33</f>
        <v>1.2779685714285713</v>
      </c>
      <c r="J31" s="319" t="s">
        <v>189</v>
      </c>
      <c r="K31" s="63">
        <f>H32</f>
        <v>0.67547999999999997</v>
      </c>
      <c r="L31" s="63">
        <f>H49</f>
        <v>0.67547999999999997</v>
      </c>
      <c r="M31" s="296">
        <f t="shared" si="0"/>
        <v>0.67547999999999997</v>
      </c>
      <c r="N31" s="296">
        <f t="shared" si="1"/>
        <v>0.67547999999999997</v>
      </c>
      <c r="O31" s="296">
        <f t="shared" si="2"/>
        <v>0.67547999999999997</v>
      </c>
      <c r="P31" s="296">
        <f t="shared" si="3"/>
        <v>0.67547999999999997</v>
      </c>
      <c r="Q31" s="296">
        <f t="shared" si="4"/>
        <v>0.67547999999999997</v>
      </c>
      <c r="R31" s="296">
        <f t="shared" si="5"/>
        <v>0.67547999999999997</v>
      </c>
      <c r="S31" s="296">
        <f t="shared" si="6"/>
        <v>0.67547999999999997</v>
      </c>
      <c r="T31" s="296">
        <f t="shared" si="7"/>
        <v>0.67547999999999997</v>
      </c>
      <c r="U31" s="296">
        <f t="shared" si="8"/>
        <v>0.67547999999999997</v>
      </c>
      <c r="V31" s="296">
        <f t="shared" si="9"/>
        <v>0.67547999999999997</v>
      </c>
      <c r="W31" s="297">
        <f t="shared" si="10"/>
        <v>8.1057600000000019</v>
      </c>
      <c r="X31" s="298">
        <f t="shared" si="11"/>
        <v>0.67548000000000019</v>
      </c>
    </row>
    <row r="32" spans="2:24">
      <c r="B32" s="319" t="s">
        <v>190</v>
      </c>
      <c r="C32" s="295">
        <v>4</v>
      </c>
      <c r="D32" s="273">
        <v>0.25</v>
      </c>
      <c r="E32" s="272">
        <v>1</v>
      </c>
      <c r="F32" s="142">
        <f>C32*D32*E32</f>
        <v>1</v>
      </c>
      <c r="G32" s="31">
        <f>'Waste Composition'!$D$118/2000</f>
        <v>0.156</v>
      </c>
      <c r="H32" s="240">
        <f t="shared" si="12"/>
        <v>0.67547999999999997</v>
      </c>
      <c r="J32" s="319" t="s">
        <v>191</v>
      </c>
      <c r="K32" s="296">
        <f>H33</f>
        <v>5.9255019047619051</v>
      </c>
      <c r="L32" s="296">
        <f>H50</f>
        <v>5.9255019047619051</v>
      </c>
      <c r="M32" s="296">
        <f t="shared" si="0"/>
        <v>5.9255019047619051</v>
      </c>
      <c r="N32" s="296">
        <f t="shared" si="1"/>
        <v>5.9255019047619051</v>
      </c>
      <c r="O32" s="296">
        <f t="shared" si="2"/>
        <v>5.9255019047619051</v>
      </c>
      <c r="P32" s="296">
        <f t="shared" si="3"/>
        <v>5.9255019047619051</v>
      </c>
      <c r="Q32" s="296">
        <f t="shared" si="4"/>
        <v>5.9255019047619051</v>
      </c>
      <c r="R32" s="296">
        <f t="shared" si="5"/>
        <v>5.9255019047619051</v>
      </c>
      <c r="S32" s="296">
        <f t="shared" si="6"/>
        <v>5.9255019047619051</v>
      </c>
      <c r="T32" s="296">
        <f t="shared" si="7"/>
        <v>5.9255019047619051</v>
      </c>
      <c r="U32" s="296">
        <f t="shared" si="8"/>
        <v>5.9255019047619051</v>
      </c>
      <c r="V32" s="296">
        <f t="shared" si="9"/>
        <v>5.9255019047619051</v>
      </c>
      <c r="W32" s="297">
        <f>SUM(K32:V32)</f>
        <v>71.106022857142847</v>
      </c>
      <c r="X32" s="298">
        <f>AVERAGE(K32:V32)</f>
        <v>5.9255019047619042</v>
      </c>
    </row>
    <row r="33" spans="2:24" s="4" customFormat="1">
      <c r="B33" s="319" t="s">
        <v>192</v>
      </c>
      <c r="C33" s="142">
        <f>SUM(C30:C32)</f>
        <v>20</v>
      </c>
      <c r="D33" s="65"/>
      <c r="E33" s="7">
        <f>SUM(E30:E32)</f>
        <v>4</v>
      </c>
      <c r="F33" s="142">
        <f>SUM(F30:F32)</f>
        <v>13</v>
      </c>
      <c r="G33" s="65"/>
      <c r="H33" s="240">
        <f>SUM(H30:H32)</f>
        <v>5.9255019047619051</v>
      </c>
      <c r="I33" s="5"/>
      <c r="J33" s="321" t="s">
        <v>134</v>
      </c>
      <c r="K33" s="299">
        <f>D34</f>
        <v>0.21567262857540537</v>
      </c>
      <c r="L33" s="299">
        <f>D51</f>
        <v>0.21567262857540537</v>
      </c>
      <c r="M33" s="299">
        <f>D68</f>
        <v>0.21567262857540537</v>
      </c>
      <c r="N33" s="299">
        <f>D85</f>
        <v>0.21567262857540537</v>
      </c>
      <c r="O33" s="299">
        <f>D102</f>
        <v>0.21567262857540537</v>
      </c>
      <c r="P33" s="299">
        <f>D119</f>
        <v>0.21567262857540537</v>
      </c>
      <c r="Q33" s="299">
        <f>D136</f>
        <v>0.21567262857540537</v>
      </c>
      <c r="R33" s="299">
        <f>D153</f>
        <v>0.21567262857540537</v>
      </c>
      <c r="S33" s="299">
        <f>D170</f>
        <v>0.21567262857540537</v>
      </c>
      <c r="T33" s="299">
        <f>D187</f>
        <v>0.21567262857540537</v>
      </c>
      <c r="U33" s="299">
        <f>D204</f>
        <v>0.21567262857540537</v>
      </c>
      <c r="V33" s="299">
        <f>D221</f>
        <v>0.21567262857540537</v>
      </c>
      <c r="W33" s="300"/>
      <c r="X33" s="301">
        <f>AVERAGE(K33:V33)</f>
        <v>0.21567262857540537</v>
      </c>
    </row>
    <row r="34" spans="2:24" s="4" customFormat="1">
      <c r="B34" s="548" t="s">
        <v>193</v>
      </c>
      <c r="C34" s="446"/>
      <c r="D34" s="303">
        <f>H31/H33</f>
        <v>0.21567262857540537</v>
      </c>
      <c r="E34" s="65"/>
      <c r="F34" s="65"/>
      <c r="G34" s="65"/>
      <c r="H34" s="241"/>
      <c r="J34" s="321" t="s">
        <v>135</v>
      </c>
      <c r="K34" s="302">
        <f>D35</f>
        <v>0.11399540677848144</v>
      </c>
      <c r="L34" s="302">
        <f>D52</f>
        <v>0.11399540677848144</v>
      </c>
      <c r="M34" s="302">
        <f>D69</f>
        <v>0.11399540677848144</v>
      </c>
      <c r="N34" s="302">
        <f>D86</f>
        <v>0.11399540677848144</v>
      </c>
      <c r="O34" s="302">
        <f>D103</f>
        <v>0.11399540677848144</v>
      </c>
      <c r="P34" s="302">
        <f>D120</f>
        <v>0.11399540677848144</v>
      </c>
      <c r="Q34" s="302">
        <f>D137</f>
        <v>0.11399540677848144</v>
      </c>
      <c r="R34" s="302">
        <f>D154</f>
        <v>0.11399540677848144</v>
      </c>
      <c r="S34" s="302">
        <f>D171</f>
        <v>0.11399540677848144</v>
      </c>
      <c r="T34" s="302">
        <f>D188</f>
        <v>0.11399540677848144</v>
      </c>
      <c r="U34" s="302">
        <f>D205</f>
        <v>0.11399540677848144</v>
      </c>
      <c r="V34" s="302">
        <f>D222</f>
        <v>0.11399540677848144</v>
      </c>
      <c r="W34" s="300"/>
      <c r="X34" s="301">
        <f>AVERAGE(K34:V34)</f>
        <v>0.11399540677848143</v>
      </c>
    </row>
    <row r="35" spans="2:24" s="4" customFormat="1">
      <c r="B35" s="543" t="s">
        <v>194</v>
      </c>
      <c r="C35" s="544"/>
      <c r="D35" s="304">
        <f>H32/H33</f>
        <v>0.11399540677848144</v>
      </c>
      <c r="E35" s="65"/>
      <c r="F35" s="65"/>
      <c r="G35" s="65"/>
      <c r="H35" s="241"/>
      <c r="J35" s="319" t="s">
        <v>195</v>
      </c>
      <c r="K35" s="57">
        <f>D36</f>
        <v>500</v>
      </c>
      <c r="L35" s="57">
        <f>D53</f>
        <v>500</v>
      </c>
      <c r="M35" s="57">
        <f>D70</f>
        <v>500</v>
      </c>
      <c r="N35" s="57">
        <f>D87</f>
        <v>500</v>
      </c>
      <c r="O35" s="57">
        <f>D104</f>
        <v>500</v>
      </c>
      <c r="P35" s="57">
        <f>D121</f>
        <v>500</v>
      </c>
      <c r="Q35" s="57">
        <f>D138</f>
        <v>500</v>
      </c>
      <c r="R35" s="57">
        <f>D155</f>
        <v>500</v>
      </c>
      <c r="S35" s="57">
        <f>D172</f>
        <v>500</v>
      </c>
      <c r="T35" s="57">
        <f>D189</f>
        <v>500</v>
      </c>
      <c r="U35" s="57">
        <f>D206</f>
        <v>500</v>
      </c>
      <c r="V35" s="57">
        <f>D223</f>
        <v>500</v>
      </c>
      <c r="W35" s="64">
        <f>SUM(K35:V35)</f>
        <v>6000</v>
      </c>
      <c r="X35" s="230">
        <f>AVERAGE(K35:V35)</f>
        <v>500</v>
      </c>
    </row>
    <row r="36" spans="2:24" s="4" customFormat="1">
      <c r="B36" s="543" t="s">
        <v>196</v>
      </c>
      <c r="C36" s="544"/>
      <c r="D36" s="274">
        <v>500</v>
      </c>
      <c r="E36" s="65"/>
      <c r="F36" s="65"/>
      <c r="G36" s="65"/>
      <c r="H36" s="241"/>
      <c r="J36" s="319" t="s">
        <v>197</v>
      </c>
      <c r="K36" s="57">
        <f>D37</f>
        <v>200</v>
      </c>
      <c r="L36" s="57">
        <f>D54</f>
        <v>200</v>
      </c>
      <c r="M36" s="57">
        <f>D71</f>
        <v>200</v>
      </c>
      <c r="N36" s="57">
        <f>D88</f>
        <v>200</v>
      </c>
      <c r="O36" s="57">
        <f>D105</f>
        <v>200</v>
      </c>
      <c r="P36" s="57">
        <f>D122</f>
        <v>200</v>
      </c>
      <c r="Q36" s="57">
        <f>D139</f>
        <v>200</v>
      </c>
      <c r="R36" s="57">
        <f>D156</f>
        <v>200</v>
      </c>
      <c r="S36" s="57">
        <f>D173</f>
        <v>200</v>
      </c>
      <c r="T36" s="57">
        <f>D190</f>
        <v>200</v>
      </c>
      <c r="U36" s="57">
        <f>D207</f>
        <v>200</v>
      </c>
      <c r="V36" s="57">
        <f>D224</f>
        <v>200</v>
      </c>
      <c r="W36" s="64">
        <f>SUM(K36:V36)</f>
        <v>2400</v>
      </c>
      <c r="X36" s="230">
        <f t="shared" ref="X36:X38" si="13">AVERAGE(K36:V36)</f>
        <v>200</v>
      </c>
    </row>
    <row r="37" spans="2:24" s="4" customFormat="1">
      <c r="B37" s="543" t="s">
        <v>198</v>
      </c>
      <c r="C37" s="544"/>
      <c r="D37" s="274">
        <v>200</v>
      </c>
      <c r="E37" s="65"/>
      <c r="F37" s="65"/>
      <c r="G37" s="65"/>
      <c r="H37" s="241"/>
      <c r="J37" s="319" t="s">
        <v>199</v>
      </c>
      <c r="K37" s="57">
        <f>D38</f>
        <v>150</v>
      </c>
      <c r="L37" s="57">
        <f>D55</f>
        <v>150</v>
      </c>
      <c r="M37" s="57">
        <f>D72</f>
        <v>150</v>
      </c>
      <c r="N37" s="57">
        <f>D89</f>
        <v>150</v>
      </c>
      <c r="O37" s="57">
        <f>D106</f>
        <v>150</v>
      </c>
      <c r="P37" s="57">
        <f>D123</f>
        <v>150</v>
      </c>
      <c r="Q37" s="57">
        <f>D140</f>
        <v>150</v>
      </c>
      <c r="R37" s="57">
        <f>D157</f>
        <v>150</v>
      </c>
      <c r="S37" s="57">
        <f>D174</f>
        <v>150</v>
      </c>
      <c r="T37" s="57">
        <f>D191</f>
        <v>150</v>
      </c>
      <c r="U37" s="57">
        <f>D208</f>
        <v>150</v>
      </c>
      <c r="V37" s="57">
        <f>D225</f>
        <v>150</v>
      </c>
      <c r="W37" s="64">
        <f>SUM(K37:V37)</f>
        <v>1800</v>
      </c>
      <c r="X37" s="230">
        <f t="shared" si="13"/>
        <v>150</v>
      </c>
    </row>
    <row r="38" spans="2:24">
      <c r="B38" s="543" t="s">
        <v>200</v>
      </c>
      <c r="C38" s="544"/>
      <c r="D38" s="274">
        <v>150</v>
      </c>
      <c r="E38" s="65"/>
      <c r="F38" s="65"/>
      <c r="G38" s="65"/>
      <c r="H38" s="241"/>
      <c r="I38" s="4"/>
      <c r="J38" s="321" t="s">
        <v>201</v>
      </c>
      <c r="K38" s="68">
        <f t="shared" ref="K38:V38" si="14">SUM(K35:K37)</f>
        <v>850</v>
      </c>
      <c r="L38" s="68">
        <f t="shared" si="14"/>
        <v>850</v>
      </c>
      <c r="M38" s="68">
        <f t="shared" si="14"/>
        <v>850</v>
      </c>
      <c r="N38" s="68">
        <f t="shared" si="14"/>
        <v>850</v>
      </c>
      <c r="O38" s="68">
        <f t="shared" si="14"/>
        <v>850</v>
      </c>
      <c r="P38" s="68">
        <f t="shared" si="14"/>
        <v>850</v>
      </c>
      <c r="Q38" s="68">
        <f t="shared" si="14"/>
        <v>850</v>
      </c>
      <c r="R38" s="68">
        <f t="shared" si="14"/>
        <v>850</v>
      </c>
      <c r="S38" s="68">
        <f t="shared" si="14"/>
        <v>850</v>
      </c>
      <c r="T38" s="68">
        <f t="shared" si="14"/>
        <v>850</v>
      </c>
      <c r="U38" s="68">
        <f t="shared" si="14"/>
        <v>850</v>
      </c>
      <c r="V38" s="68">
        <f t="shared" si="14"/>
        <v>850</v>
      </c>
      <c r="W38" s="64">
        <f>SUM(K38:V38)</f>
        <v>10200</v>
      </c>
      <c r="X38" s="230">
        <f t="shared" si="13"/>
        <v>850</v>
      </c>
    </row>
    <row r="39" spans="2:24">
      <c r="B39" s="543" t="s">
        <v>202</v>
      </c>
      <c r="C39" s="544"/>
      <c r="D39" s="56">
        <f>D36/H30</f>
        <v>125.87947795262905</v>
      </c>
      <c r="E39" s="65"/>
      <c r="F39" s="65"/>
      <c r="G39" s="65"/>
      <c r="H39" s="241"/>
      <c r="J39" s="319" t="s">
        <v>203</v>
      </c>
      <c r="K39" s="57">
        <f>D39</f>
        <v>125.87947795262905</v>
      </c>
      <c r="L39" s="57">
        <f>D56</f>
        <v>125.87947795262905</v>
      </c>
      <c r="M39" s="57">
        <f>D73</f>
        <v>125.87947795262905</v>
      </c>
      <c r="N39" s="57">
        <f>D90</f>
        <v>125.87947795262905</v>
      </c>
      <c r="O39" s="57">
        <f>D107</f>
        <v>125.87947795262905</v>
      </c>
      <c r="P39" s="57">
        <f>D124</f>
        <v>125.87947795262905</v>
      </c>
      <c r="Q39" s="57">
        <f>D141</f>
        <v>125.87947795262905</v>
      </c>
      <c r="R39" s="57">
        <f>D158</f>
        <v>125.87947795262905</v>
      </c>
      <c r="S39" s="57">
        <f>D175</f>
        <v>125.87947795262905</v>
      </c>
      <c r="T39" s="57">
        <f>D192</f>
        <v>125.87947795262905</v>
      </c>
      <c r="U39" s="57">
        <f>D209</f>
        <v>125.87947795262905</v>
      </c>
      <c r="V39" s="57">
        <f>D226</f>
        <v>125.87947795262905</v>
      </c>
      <c r="W39" s="66"/>
      <c r="X39" s="230">
        <f>AVERAGE(K39:V39)</f>
        <v>125.87947795262905</v>
      </c>
    </row>
    <row r="40" spans="2:24">
      <c r="B40" s="543" t="s">
        <v>204</v>
      </c>
      <c r="C40" s="544"/>
      <c r="D40" s="56">
        <f>IFERROR(D37/H31,"NA")</f>
        <v>156.49837129909298</v>
      </c>
      <c r="E40" s="65"/>
      <c r="F40" s="65"/>
      <c r="G40" s="65"/>
      <c r="H40" s="241"/>
      <c r="J40" s="319" t="s">
        <v>205</v>
      </c>
      <c r="K40" s="57">
        <f>D40</f>
        <v>156.49837129909298</v>
      </c>
      <c r="L40" s="57">
        <f>D57</f>
        <v>156.49837129909298</v>
      </c>
      <c r="M40" s="57">
        <f>D74</f>
        <v>156.49837129909298</v>
      </c>
      <c r="N40" s="57">
        <f>D91</f>
        <v>156.49837129909298</v>
      </c>
      <c r="O40" s="57">
        <f>D108</f>
        <v>156.49837129909298</v>
      </c>
      <c r="P40" s="57">
        <f>D125</f>
        <v>156.49837129909298</v>
      </c>
      <c r="Q40" s="57">
        <f>D142</f>
        <v>156.49837129909298</v>
      </c>
      <c r="R40" s="57">
        <f>D159</f>
        <v>156.49837129909298</v>
      </c>
      <c r="S40" s="57">
        <f>D176</f>
        <v>156.49837129909298</v>
      </c>
      <c r="T40" s="57">
        <f>D193</f>
        <v>156.49837129909298</v>
      </c>
      <c r="U40" s="57">
        <f>D210</f>
        <v>156.49837129909298</v>
      </c>
      <c r="V40" s="57">
        <f>D227</f>
        <v>156.49837129909298</v>
      </c>
      <c r="W40" s="66"/>
      <c r="X40" s="230">
        <f>AVERAGE(K40:V40)</f>
        <v>156.49837129909295</v>
      </c>
    </row>
    <row r="41" spans="2:24">
      <c r="B41" s="543" t="s">
        <v>206</v>
      </c>
      <c r="C41" s="544"/>
      <c r="D41" s="56">
        <f>IFERROR(D38/H32,"NA")</f>
        <v>222.06430982412508</v>
      </c>
      <c r="E41" s="65"/>
      <c r="F41" s="65"/>
      <c r="G41" s="65"/>
      <c r="H41" s="241"/>
      <c r="J41" s="319" t="s">
        <v>207</v>
      </c>
      <c r="K41" s="57">
        <f>D41</f>
        <v>222.06430982412508</v>
      </c>
      <c r="L41" s="57">
        <f>D58</f>
        <v>222.06430982412508</v>
      </c>
      <c r="M41" s="57">
        <f>D75</f>
        <v>222.06430982412508</v>
      </c>
      <c r="N41" s="57">
        <f>D92</f>
        <v>222.06430982412508</v>
      </c>
      <c r="O41" s="57">
        <f>D109</f>
        <v>222.06430982412508</v>
      </c>
      <c r="P41" s="57">
        <f>D126</f>
        <v>222.06430982412508</v>
      </c>
      <c r="Q41" s="57">
        <f>D143</f>
        <v>222.06430982412508</v>
      </c>
      <c r="R41" s="57">
        <f>D160</f>
        <v>222.06430982412508</v>
      </c>
      <c r="S41" s="57">
        <f>D177</f>
        <v>222.06430982412508</v>
      </c>
      <c r="T41" s="57">
        <f>D194</f>
        <v>222.06430982412508</v>
      </c>
      <c r="U41" s="57">
        <f>D211</f>
        <v>222.06430982412508</v>
      </c>
      <c r="V41" s="57">
        <f>D228</f>
        <v>222.06430982412508</v>
      </c>
      <c r="W41" s="66"/>
      <c r="X41" s="230">
        <f>AVERAGE(K41:V41)</f>
        <v>222.06430982412508</v>
      </c>
    </row>
    <row r="42" spans="2:24" ht="14.1" customHeight="1">
      <c r="B42" s="543" t="s">
        <v>208</v>
      </c>
      <c r="C42" s="544"/>
      <c r="D42" s="62">
        <f>(H31/1000)*'Job Creation Calculator'!$C$64+(H32/1000)*'Job Creation Calculator'!$C$71</f>
        <v>1.8329632285714284E-3</v>
      </c>
      <c r="E42" s="65"/>
      <c r="F42" s="65"/>
      <c r="G42" s="65"/>
      <c r="H42" s="241"/>
      <c r="J42" s="322" t="s">
        <v>208</v>
      </c>
      <c r="K42" s="58">
        <f>D42</f>
        <v>1.8329632285714284E-3</v>
      </c>
      <c r="L42" s="58">
        <f>D59</f>
        <v>1.8329632285714284E-3</v>
      </c>
      <c r="M42" s="58">
        <f>D76</f>
        <v>1.8329632285714284E-3</v>
      </c>
      <c r="N42" s="58">
        <f>D93</f>
        <v>1.8329632285714284E-3</v>
      </c>
      <c r="O42" s="58">
        <f>D110</f>
        <v>1.8329632285714284E-3</v>
      </c>
      <c r="P42" s="58">
        <f>D127</f>
        <v>1.8329632285714284E-3</v>
      </c>
      <c r="Q42" s="58">
        <f>D144</f>
        <v>1.8329632285714284E-3</v>
      </c>
      <c r="R42" s="58">
        <f>D161</f>
        <v>1.8329632285714284E-3</v>
      </c>
      <c r="S42" s="58">
        <f>D178</f>
        <v>1.8329632285714284E-3</v>
      </c>
      <c r="T42" s="58">
        <f>D195</f>
        <v>1.8329632285714284E-3</v>
      </c>
      <c r="U42" s="58">
        <f>D212</f>
        <v>1.8329632285714284E-3</v>
      </c>
      <c r="V42" s="58">
        <f>D229</f>
        <v>1.8329632285714284E-3</v>
      </c>
      <c r="W42" s="67">
        <f>SUM(K42:V42)</f>
        <v>2.1995558742857146E-2</v>
      </c>
      <c r="X42" s="231">
        <f>AVERAGE(K42:V42)</f>
        <v>1.8329632285714289E-3</v>
      </c>
    </row>
    <row r="43" spans="2:24" ht="16.5" thickBot="1">
      <c r="B43" s="541" t="s">
        <v>209</v>
      </c>
      <c r="C43" s="542"/>
      <c r="D43" s="275">
        <v>-0.96</v>
      </c>
      <c r="E43" s="233"/>
      <c r="F43" s="233"/>
      <c r="G43" s="233"/>
      <c r="H43" s="242"/>
      <c r="J43" s="320" t="s">
        <v>210</v>
      </c>
      <c r="K43" s="235">
        <f>D43</f>
        <v>-0.96</v>
      </c>
      <c r="L43" s="235">
        <f>D60</f>
        <v>-0.96</v>
      </c>
      <c r="M43" s="235">
        <f>D77</f>
        <v>-0.96</v>
      </c>
      <c r="N43" s="235">
        <f>D94</f>
        <v>-0.96</v>
      </c>
      <c r="O43" s="235">
        <f>D111</f>
        <v>-0.96</v>
      </c>
      <c r="P43" s="235">
        <f>D128</f>
        <v>-0.96</v>
      </c>
      <c r="Q43" s="235">
        <f>D145</f>
        <v>-0.96</v>
      </c>
      <c r="R43" s="235">
        <f>D162</f>
        <v>-0.96</v>
      </c>
      <c r="S43" s="235">
        <f>D179</f>
        <v>-0.96</v>
      </c>
      <c r="T43" s="235">
        <f>D196</f>
        <v>-0.96</v>
      </c>
      <c r="U43" s="235">
        <f>D213</f>
        <v>-0.96</v>
      </c>
      <c r="V43" s="235">
        <f>D230</f>
        <v>-0.96</v>
      </c>
      <c r="W43" s="236">
        <f>SUM(K43:V43)</f>
        <v>-11.520000000000003</v>
      </c>
      <c r="X43" s="237">
        <f>AVERAGE(K43:V43)</f>
        <v>-0.9600000000000003</v>
      </c>
    </row>
    <row r="44" spans="2:24" ht="15.75" thickBot="1">
      <c r="B44" s="107"/>
      <c r="G44" s="5"/>
      <c r="X44" s="131"/>
    </row>
    <row r="45" spans="2:24">
      <c r="B45" s="545" t="s">
        <v>211</v>
      </c>
      <c r="C45" s="546"/>
      <c r="D45" s="546"/>
      <c r="E45" s="546"/>
      <c r="F45" s="546"/>
      <c r="G45" s="546"/>
      <c r="H45" s="547"/>
      <c r="X45" s="131"/>
    </row>
    <row r="46" spans="2:24" ht="30">
      <c r="B46" s="229"/>
      <c r="C46" s="130" t="s">
        <v>212</v>
      </c>
      <c r="D46" s="130" t="s">
        <v>213</v>
      </c>
      <c r="E46" s="130" t="s">
        <v>214</v>
      </c>
      <c r="F46" s="130" t="s">
        <v>215</v>
      </c>
      <c r="G46" s="130" t="s">
        <v>216</v>
      </c>
      <c r="H46" s="239" t="s">
        <v>217</v>
      </c>
      <c r="X46" s="131"/>
    </row>
    <row r="47" spans="2:24">
      <c r="B47" s="319" t="s">
        <v>186</v>
      </c>
      <c r="C47" s="295">
        <v>8</v>
      </c>
      <c r="D47" s="273">
        <v>0.5</v>
      </c>
      <c r="E47" s="272">
        <v>2</v>
      </c>
      <c r="F47" s="142">
        <f>C47*D47*E47</f>
        <v>8</v>
      </c>
      <c r="G47" s="31">
        <f>'Waste Composition'!$D$116/2000</f>
        <v>0.11466666666666667</v>
      </c>
      <c r="H47" s="240">
        <f>F47*G47*4.33</f>
        <v>3.9720533333333332</v>
      </c>
      <c r="X47" s="131"/>
    </row>
    <row r="48" spans="2:24">
      <c r="B48" s="319" t="s">
        <v>188</v>
      </c>
      <c r="C48" s="295">
        <v>8</v>
      </c>
      <c r="D48" s="273">
        <v>0.5</v>
      </c>
      <c r="E48" s="272">
        <v>1</v>
      </c>
      <c r="F48" s="142">
        <f>C48*D48*E48</f>
        <v>4</v>
      </c>
      <c r="G48" s="31">
        <f>'Waste Composition'!$D$117/2000</f>
        <v>7.3785714285714274E-2</v>
      </c>
      <c r="H48" s="240">
        <f t="shared" ref="H48:H49" si="15">F48*G48*4.33</f>
        <v>1.2779685714285713</v>
      </c>
      <c r="X48" s="131"/>
    </row>
    <row r="49" spans="2:24">
      <c r="B49" s="319" t="s">
        <v>190</v>
      </c>
      <c r="C49" s="295">
        <v>4</v>
      </c>
      <c r="D49" s="273">
        <v>0.25</v>
      </c>
      <c r="E49" s="272">
        <v>1</v>
      </c>
      <c r="F49" s="142">
        <f>C49*D49*E49</f>
        <v>1</v>
      </c>
      <c r="G49" s="31">
        <f>'Waste Composition'!$D$118/2000</f>
        <v>0.156</v>
      </c>
      <c r="H49" s="240">
        <f t="shared" si="15"/>
        <v>0.67547999999999997</v>
      </c>
      <c r="X49" s="131"/>
    </row>
    <row r="50" spans="2:24">
      <c r="B50" s="319" t="s">
        <v>192</v>
      </c>
      <c r="C50" s="142">
        <f>SUM(C47:C49)</f>
        <v>20</v>
      </c>
      <c r="D50" s="65"/>
      <c r="E50" s="7">
        <f>SUM(E47:E49)</f>
        <v>4</v>
      </c>
      <c r="F50" s="142">
        <f>SUM(F47:F49)</f>
        <v>13</v>
      </c>
      <c r="G50" s="65"/>
      <c r="H50" s="240">
        <f>SUM(H47:H49)</f>
        <v>5.9255019047619051</v>
      </c>
      <c r="X50" s="131"/>
    </row>
    <row r="51" spans="2:24" ht="15" customHeight="1">
      <c r="B51" s="548" t="s">
        <v>193</v>
      </c>
      <c r="C51" s="446"/>
      <c r="D51" s="303">
        <f>H48/H50</f>
        <v>0.21567262857540537</v>
      </c>
      <c r="E51" s="65"/>
      <c r="F51" s="65"/>
      <c r="G51" s="65"/>
      <c r="H51" s="241"/>
      <c r="X51" s="131"/>
    </row>
    <row r="52" spans="2:24" ht="15" customHeight="1">
      <c r="B52" s="543" t="s">
        <v>194</v>
      </c>
      <c r="C52" s="544"/>
      <c r="D52" s="304">
        <f>H49/H50</f>
        <v>0.11399540677848144</v>
      </c>
      <c r="E52" s="65"/>
      <c r="F52" s="65"/>
      <c r="G52" s="65"/>
      <c r="H52" s="241"/>
      <c r="X52" s="131"/>
    </row>
    <row r="53" spans="2:24" ht="15" customHeight="1">
      <c r="B53" s="543" t="s">
        <v>196</v>
      </c>
      <c r="C53" s="544"/>
      <c r="D53" s="274">
        <v>500</v>
      </c>
      <c r="E53" s="65"/>
      <c r="F53" s="65"/>
      <c r="G53" s="65"/>
      <c r="H53" s="241"/>
      <c r="X53" s="131"/>
    </row>
    <row r="54" spans="2:24" ht="15" customHeight="1">
      <c r="B54" s="543" t="s">
        <v>198</v>
      </c>
      <c r="C54" s="544"/>
      <c r="D54" s="274">
        <v>200</v>
      </c>
      <c r="E54" s="65"/>
      <c r="F54" s="65"/>
      <c r="G54" s="65"/>
      <c r="H54" s="241"/>
      <c r="X54" s="131"/>
    </row>
    <row r="55" spans="2:24" ht="15" customHeight="1">
      <c r="B55" s="543" t="s">
        <v>200</v>
      </c>
      <c r="C55" s="544"/>
      <c r="D55" s="274">
        <v>150</v>
      </c>
      <c r="E55" s="65"/>
      <c r="F55" s="65"/>
      <c r="G55" s="65"/>
      <c r="H55" s="241"/>
      <c r="X55" s="131"/>
    </row>
    <row r="56" spans="2:24" ht="15" customHeight="1">
      <c r="B56" s="543" t="s">
        <v>202</v>
      </c>
      <c r="C56" s="544"/>
      <c r="D56" s="56">
        <f>D53/H47</f>
        <v>125.87947795262905</v>
      </c>
      <c r="E56" s="65"/>
      <c r="F56" s="65"/>
      <c r="G56" s="65"/>
      <c r="H56" s="241"/>
      <c r="X56" s="131"/>
    </row>
    <row r="57" spans="2:24" ht="15" customHeight="1">
      <c r="B57" s="543" t="s">
        <v>204</v>
      </c>
      <c r="C57" s="544"/>
      <c r="D57" s="56">
        <f>IFERROR(D54/H48,"NA")</f>
        <v>156.49837129909298</v>
      </c>
      <c r="E57" s="65"/>
      <c r="F57" s="65"/>
      <c r="G57" s="65"/>
      <c r="H57" s="241"/>
      <c r="X57" s="131"/>
    </row>
    <row r="58" spans="2:24" ht="15" customHeight="1">
      <c r="B58" s="543" t="s">
        <v>206</v>
      </c>
      <c r="C58" s="544"/>
      <c r="D58" s="56">
        <f>IFERROR(D55/H49,"NA")</f>
        <v>222.06430982412508</v>
      </c>
      <c r="E58" s="65"/>
      <c r="F58" s="65"/>
      <c r="G58" s="65"/>
      <c r="H58" s="241"/>
      <c r="X58" s="131"/>
    </row>
    <row r="59" spans="2:24" ht="15" customHeight="1">
      <c r="B59" s="543" t="s">
        <v>208</v>
      </c>
      <c r="C59" s="544"/>
      <c r="D59" s="62">
        <f>(H48/1000)*'Job Creation Calculator'!$C$64+(H49/1000)*'Job Creation Calculator'!$C$71</f>
        <v>1.8329632285714284E-3</v>
      </c>
      <c r="E59" s="65"/>
      <c r="F59" s="65"/>
      <c r="G59" s="65"/>
      <c r="H59" s="241"/>
      <c r="X59" s="131"/>
    </row>
    <row r="60" spans="2:24" ht="15.75" customHeight="1" thickBot="1">
      <c r="B60" s="541" t="s">
        <v>209</v>
      </c>
      <c r="C60" s="542"/>
      <c r="D60" s="275">
        <v>-0.96</v>
      </c>
      <c r="E60" s="233"/>
      <c r="F60" s="233"/>
      <c r="G60" s="233"/>
      <c r="H60" s="242"/>
      <c r="X60" s="131"/>
    </row>
    <row r="61" spans="2:24" ht="15.75" thickBot="1">
      <c r="B61" s="107"/>
      <c r="G61" s="5"/>
      <c r="X61" s="131"/>
    </row>
    <row r="62" spans="2:24">
      <c r="B62" s="545" t="s">
        <v>218</v>
      </c>
      <c r="C62" s="546"/>
      <c r="D62" s="546"/>
      <c r="E62" s="546"/>
      <c r="F62" s="546"/>
      <c r="G62" s="546"/>
      <c r="H62" s="547"/>
      <c r="X62" s="131"/>
    </row>
    <row r="63" spans="2:24" ht="30">
      <c r="B63" s="229"/>
      <c r="C63" s="130" t="s">
        <v>212</v>
      </c>
      <c r="D63" s="130" t="s">
        <v>213</v>
      </c>
      <c r="E63" s="130" t="s">
        <v>214</v>
      </c>
      <c r="F63" s="130" t="s">
        <v>215</v>
      </c>
      <c r="G63" s="130" t="s">
        <v>216</v>
      </c>
      <c r="H63" s="239" t="s">
        <v>217</v>
      </c>
      <c r="X63" s="131"/>
    </row>
    <row r="64" spans="2:24">
      <c r="B64" s="319" t="s">
        <v>186</v>
      </c>
      <c r="C64" s="295">
        <v>8</v>
      </c>
      <c r="D64" s="273">
        <v>0.5</v>
      </c>
      <c r="E64" s="272">
        <v>2</v>
      </c>
      <c r="F64" s="142">
        <f>C64*D64*E64</f>
        <v>8</v>
      </c>
      <c r="G64" s="31">
        <f>'Waste Composition'!$D$116/2000</f>
        <v>0.11466666666666667</v>
      </c>
      <c r="H64" s="240">
        <f>F64*G64*4.33</f>
        <v>3.9720533333333332</v>
      </c>
      <c r="X64" s="131"/>
    </row>
    <row r="65" spans="2:24">
      <c r="B65" s="319" t="s">
        <v>188</v>
      </c>
      <c r="C65" s="295">
        <v>8</v>
      </c>
      <c r="D65" s="273">
        <v>0.5</v>
      </c>
      <c r="E65" s="272">
        <v>1</v>
      </c>
      <c r="F65" s="142">
        <f>C65*D65*E65</f>
        <v>4</v>
      </c>
      <c r="G65" s="31">
        <f>'Waste Composition'!$D$117/2000</f>
        <v>7.3785714285714274E-2</v>
      </c>
      <c r="H65" s="240">
        <f t="shared" ref="H65:H66" si="16">F65*G65*4.33</f>
        <v>1.2779685714285713</v>
      </c>
      <c r="X65" s="131"/>
    </row>
    <row r="66" spans="2:24">
      <c r="B66" s="319" t="s">
        <v>190</v>
      </c>
      <c r="C66" s="295">
        <v>4</v>
      </c>
      <c r="D66" s="273">
        <v>0.25</v>
      </c>
      <c r="E66" s="272">
        <v>1</v>
      </c>
      <c r="F66" s="142">
        <f>C66*D66*E66</f>
        <v>1</v>
      </c>
      <c r="G66" s="31">
        <f>'Waste Composition'!$D$118/2000</f>
        <v>0.156</v>
      </c>
      <c r="H66" s="240">
        <f t="shared" si="16"/>
        <v>0.67547999999999997</v>
      </c>
      <c r="X66" s="131"/>
    </row>
    <row r="67" spans="2:24">
      <c r="B67" s="319" t="s">
        <v>192</v>
      </c>
      <c r="C67" s="142">
        <f>SUM(C64:C66)</f>
        <v>20</v>
      </c>
      <c r="D67" s="65"/>
      <c r="E67" s="7">
        <f>SUM(E64:E66)</f>
        <v>4</v>
      </c>
      <c r="F67" s="142">
        <f>SUM(F64:F66)</f>
        <v>13</v>
      </c>
      <c r="G67" s="65"/>
      <c r="H67" s="240">
        <f>SUM(H64:H66)</f>
        <v>5.9255019047619051</v>
      </c>
      <c r="X67" s="131"/>
    </row>
    <row r="68" spans="2:24">
      <c r="B68" s="548" t="s">
        <v>193</v>
      </c>
      <c r="C68" s="446"/>
      <c r="D68" s="303">
        <f>H65/H67</f>
        <v>0.21567262857540537</v>
      </c>
      <c r="E68" s="65"/>
      <c r="F68" s="65"/>
      <c r="G68" s="65"/>
      <c r="H68" s="241"/>
      <c r="X68" s="131"/>
    </row>
    <row r="69" spans="2:24" ht="15" customHeight="1">
      <c r="B69" s="543" t="s">
        <v>194</v>
      </c>
      <c r="C69" s="544"/>
      <c r="D69" s="304">
        <f>H66/H67</f>
        <v>0.11399540677848144</v>
      </c>
      <c r="E69" s="65"/>
      <c r="F69" s="65"/>
      <c r="G69" s="65"/>
      <c r="H69" s="241"/>
      <c r="X69" s="131"/>
    </row>
    <row r="70" spans="2:24" ht="15" customHeight="1">
      <c r="B70" s="543" t="s">
        <v>196</v>
      </c>
      <c r="C70" s="544"/>
      <c r="D70" s="274">
        <v>500</v>
      </c>
      <c r="E70" s="65"/>
      <c r="F70" s="65"/>
      <c r="G70" s="65"/>
      <c r="H70" s="241"/>
      <c r="X70" s="131"/>
    </row>
    <row r="71" spans="2:24" ht="15" customHeight="1">
      <c r="B71" s="543" t="s">
        <v>198</v>
      </c>
      <c r="C71" s="544"/>
      <c r="D71" s="274">
        <v>200</v>
      </c>
      <c r="E71" s="65"/>
      <c r="F71" s="65"/>
      <c r="G71" s="65"/>
      <c r="H71" s="241"/>
      <c r="X71" s="131"/>
    </row>
    <row r="72" spans="2:24" ht="15" customHeight="1">
      <c r="B72" s="543" t="s">
        <v>200</v>
      </c>
      <c r="C72" s="544"/>
      <c r="D72" s="274">
        <v>150</v>
      </c>
      <c r="E72" s="65"/>
      <c r="F72" s="65"/>
      <c r="G72" s="65"/>
      <c r="H72" s="241"/>
      <c r="X72" s="131"/>
    </row>
    <row r="73" spans="2:24" ht="15" customHeight="1">
      <c r="B73" s="543" t="s">
        <v>202</v>
      </c>
      <c r="C73" s="544"/>
      <c r="D73" s="56">
        <f>D70/H64</f>
        <v>125.87947795262905</v>
      </c>
      <c r="E73" s="65"/>
      <c r="F73" s="65"/>
      <c r="G73" s="65"/>
      <c r="H73" s="241"/>
      <c r="X73" s="131"/>
    </row>
    <row r="74" spans="2:24" ht="15" customHeight="1">
      <c r="B74" s="543" t="s">
        <v>204</v>
      </c>
      <c r="C74" s="544"/>
      <c r="D74" s="56">
        <f>IFERROR(D71/H65,"NA")</f>
        <v>156.49837129909298</v>
      </c>
      <c r="E74" s="65"/>
      <c r="F74" s="65"/>
      <c r="G74" s="65"/>
      <c r="H74" s="241"/>
      <c r="X74" s="131"/>
    </row>
    <row r="75" spans="2:24" ht="15" customHeight="1">
      <c r="B75" s="543" t="s">
        <v>206</v>
      </c>
      <c r="C75" s="544"/>
      <c r="D75" s="56">
        <f>IFERROR(D72/H66,"NA")</f>
        <v>222.06430982412508</v>
      </c>
      <c r="E75" s="65"/>
      <c r="F75" s="65"/>
      <c r="G75" s="65"/>
      <c r="H75" s="241"/>
      <c r="X75" s="131"/>
    </row>
    <row r="76" spans="2:24" ht="15" customHeight="1">
      <c r="B76" s="543" t="s">
        <v>208</v>
      </c>
      <c r="C76" s="544"/>
      <c r="D76" s="62">
        <f>(H65/1000)*'Job Creation Calculator'!$C$64+(H66/1000)*'Job Creation Calculator'!$C$71</f>
        <v>1.8329632285714284E-3</v>
      </c>
      <c r="E76" s="65"/>
      <c r="F76" s="65"/>
      <c r="G76" s="65"/>
      <c r="H76" s="241"/>
      <c r="X76" s="131"/>
    </row>
    <row r="77" spans="2:24" ht="15.75" customHeight="1" thickBot="1">
      <c r="B77" s="541" t="s">
        <v>209</v>
      </c>
      <c r="C77" s="542"/>
      <c r="D77" s="275">
        <v>-0.96</v>
      </c>
      <c r="E77" s="233"/>
      <c r="F77" s="233"/>
      <c r="G77" s="233"/>
      <c r="H77" s="242"/>
      <c r="X77" s="131"/>
    </row>
    <row r="78" spans="2:24" ht="15.75" thickBot="1">
      <c r="B78" s="107"/>
      <c r="G78" s="5"/>
      <c r="X78" s="131"/>
    </row>
    <row r="79" spans="2:24">
      <c r="B79" s="545" t="s">
        <v>219</v>
      </c>
      <c r="C79" s="546"/>
      <c r="D79" s="546"/>
      <c r="E79" s="546"/>
      <c r="F79" s="546"/>
      <c r="G79" s="546"/>
      <c r="H79" s="547"/>
      <c r="X79" s="131"/>
    </row>
    <row r="80" spans="2:24" ht="30">
      <c r="B80" s="229"/>
      <c r="C80" s="130" t="s">
        <v>212</v>
      </c>
      <c r="D80" s="130" t="s">
        <v>213</v>
      </c>
      <c r="E80" s="130" t="s">
        <v>214</v>
      </c>
      <c r="F80" s="130" t="s">
        <v>215</v>
      </c>
      <c r="G80" s="130" t="s">
        <v>216</v>
      </c>
      <c r="H80" s="239" t="s">
        <v>217</v>
      </c>
      <c r="X80" s="131"/>
    </row>
    <row r="81" spans="2:24">
      <c r="B81" s="319" t="s">
        <v>186</v>
      </c>
      <c r="C81" s="295">
        <v>8</v>
      </c>
      <c r="D81" s="273">
        <v>0.5</v>
      </c>
      <c r="E81" s="272">
        <v>2</v>
      </c>
      <c r="F81" s="142">
        <f>C81*D81*E81</f>
        <v>8</v>
      </c>
      <c r="G81" s="31">
        <f>'Waste Composition'!$D$116/2000</f>
        <v>0.11466666666666667</v>
      </c>
      <c r="H81" s="240">
        <f>F81*G81*4.33</f>
        <v>3.9720533333333332</v>
      </c>
      <c r="X81" s="131"/>
    </row>
    <row r="82" spans="2:24">
      <c r="B82" s="319" t="s">
        <v>188</v>
      </c>
      <c r="C82" s="295">
        <v>8</v>
      </c>
      <c r="D82" s="273">
        <v>0.5</v>
      </c>
      <c r="E82" s="272">
        <v>1</v>
      </c>
      <c r="F82" s="142">
        <f>C82*D82*E82</f>
        <v>4</v>
      </c>
      <c r="G82" s="31">
        <f>'Waste Composition'!$D$117/2000</f>
        <v>7.3785714285714274E-2</v>
      </c>
      <c r="H82" s="240">
        <f t="shared" ref="H82:H83" si="17">F82*G82*4.33</f>
        <v>1.2779685714285713</v>
      </c>
      <c r="X82" s="131"/>
    </row>
    <row r="83" spans="2:24">
      <c r="B83" s="319" t="s">
        <v>190</v>
      </c>
      <c r="C83" s="295">
        <v>4</v>
      </c>
      <c r="D83" s="273">
        <v>0.25</v>
      </c>
      <c r="E83" s="272">
        <v>1</v>
      </c>
      <c r="F83" s="142">
        <f>C83*D83*E83</f>
        <v>1</v>
      </c>
      <c r="G83" s="31">
        <f>'Waste Composition'!$D$118/2000</f>
        <v>0.156</v>
      </c>
      <c r="H83" s="240">
        <f t="shared" si="17"/>
        <v>0.67547999999999997</v>
      </c>
      <c r="X83" s="131"/>
    </row>
    <row r="84" spans="2:24">
      <c r="B84" s="319" t="s">
        <v>192</v>
      </c>
      <c r="C84" s="142">
        <f>SUM(C81:C83)</f>
        <v>20</v>
      </c>
      <c r="D84" s="65"/>
      <c r="E84" s="7">
        <f>SUM(E81:E83)</f>
        <v>4</v>
      </c>
      <c r="F84" s="142">
        <f>SUM(F81:F83)</f>
        <v>13</v>
      </c>
      <c r="G84" s="65"/>
      <c r="H84" s="240">
        <f>SUM(H81:H83)</f>
        <v>5.9255019047619051</v>
      </c>
      <c r="X84" s="131"/>
    </row>
    <row r="85" spans="2:24">
      <c r="B85" s="548" t="s">
        <v>193</v>
      </c>
      <c r="C85" s="446"/>
      <c r="D85" s="303">
        <f>H82/H84</f>
        <v>0.21567262857540537</v>
      </c>
      <c r="E85" s="65"/>
      <c r="F85" s="65"/>
      <c r="G85" s="65"/>
      <c r="H85" s="241"/>
      <c r="X85" s="131"/>
    </row>
    <row r="86" spans="2:24" ht="15" customHeight="1">
      <c r="B86" s="543" t="s">
        <v>194</v>
      </c>
      <c r="C86" s="544"/>
      <c r="D86" s="304">
        <f>H83/H84</f>
        <v>0.11399540677848144</v>
      </c>
      <c r="E86" s="65"/>
      <c r="F86" s="65"/>
      <c r="G86" s="65"/>
      <c r="H86" s="241"/>
      <c r="X86" s="131"/>
    </row>
    <row r="87" spans="2:24" ht="15" customHeight="1">
      <c r="B87" s="543" t="s">
        <v>196</v>
      </c>
      <c r="C87" s="544"/>
      <c r="D87" s="274">
        <v>500</v>
      </c>
      <c r="E87" s="65"/>
      <c r="F87" s="65"/>
      <c r="G87" s="65"/>
      <c r="H87" s="241"/>
      <c r="X87" s="131"/>
    </row>
    <row r="88" spans="2:24" ht="15" customHeight="1">
      <c r="B88" s="543" t="s">
        <v>198</v>
      </c>
      <c r="C88" s="544"/>
      <c r="D88" s="274">
        <v>200</v>
      </c>
      <c r="E88" s="65"/>
      <c r="F88" s="65"/>
      <c r="G88" s="65"/>
      <c r="H88" s="241"/>
      <c r="X88" s="131"/>
    </row>
    <row r="89" spans="2:24" ht="15" customHeight="1">
      <c r="B89" s="543" t="s">
        <v>200</v>
      </c>
      <c r="C89" s="544"/>
      <c r="D89" s="274">
        <v>150</v>
      </c>
      <c r="E89" s="65"/>
      <c r="F89" s="65"/>
      <c r="G89" s="65"/>
      <c r="H89" s="241"/>
      <c r="X89" s="131"/>
    </row>
    <row r="90" spans="2:24" ht="15" customHeight="1">
      <c r="B90" s="543" t="s">
        <v>202</v>
      </c>
      <c r="C90" s="544"/>
      <c r="D90" s="56">
        <f>D87/H81</f>
        <v>125.87947795262905</v>
      </c>
      <c r="E90" s="65"/>
      <c r="F90" s="65"/>
      <c r="G90" s="65"/>
      <c r="H90" s="241"/>
      <c r="X90" s="131"/>
    </row>
    <row r="91" spans="2:24" ht="15" customHeight="1">
      <c r="B91" s="543" t="s">
        <v>204</v>
      </c>
      <c r="C91" s="544"/>
      <c r="D91" s="56">
        <f>IFERROR(D88/H82,"NA")</f>
        <v>156.49837129909298</v>
      </c>
      <c r="E91" s="65"/>
      <c r="F91" s="65"/>
      <c r="G91" s="65"/>
      <c r="H91" s="241"/>
      <c r="X91" s="131"/>
    </row>
    <row r="92" spans="2:24" ht="15" customHeight="1">
      <c r="B92" s="543" t="s">
        <v>206</v>
      </c>
      <c r="C92" s="544"/>
      <c r="D92" s="56">
        <f>IFERROR(D89/H83,"NA")</f>
        <v>222.06430982412508</v>
      </c>
      <c r="E92" s="65"/>
      <c r="F92" s="65"/>
      <c r="G92" s="65"/>
      <c r="H92" s="241"/>
      <c r="X92" s="131"/>
    </row>
    <row r="93" spans="2:24" ht="15" customHeight="1">
      <c r="B93" s="543" t="s">
        <v>208</v>
      </c>
      <c r="C93" s="544"/>
      <c r="D93" s="62">
        <f>(H82/1000)*'Job Creation Calculator'!$C$64+(H83/1000)*'Job Creation Calculator'!$C$71</f>
        <v>1.8329632285714284E-3</v>
      </c>
      <c r="E93" s="65"/>
      <c r="F93" s="65"/>
      <c r="G93" s="65"/>
      <c r="H93" s="241"/>
      <c r="X93" s="131"/>
    </row>
    <row r="94" spans="2:24" ht="15.75" customHeight="1" thickBot="1">
      <c r="B94" s="541" t="s">
        <v>209</v>
      </c>
      <c r="C94" s="542"/>
      <c r="D94" s="275">
        <v>-0.96</v>
      </c>
      <c r="E94" s="233"/>
      <c r="F94" s="233"/>
      <c r="G94" s="233"/>
      <c r="H94" s="242"/>
      <c r="X94" s="131"/>
    </row>
    <row r="95" spans="2:24" ht="15.75" thickBot="1">
      <c r="B95" s="107"/>
      <c r="G95" s="5"/>
      <c r="X95" s="131"/>
    </row>
    <row r="96" spans="2:24">
      <c r="B96" s="545" t="s">
        <v>169</v>
      </c>
      <c r="C96" s="546"/>
      <c r="D96" s="546"/>
      <c r="E96" s="546"/>
      <c r="F96" s="546"/>
      <c r="G96" s="546"/>
      <c r="H96" s="547"/>
      <c r="X96" s="131"/>
    </row>
    <row r="97" spans="2:24" ht="30">
      <c r="B97" s="229"/>
      <c r="C97" s="130" t="s">
        <v>212</v>
      </c>
      <c r="D97" s="130" t="s">
        <v>213</v>
      </c>
      <c r="E97" s="130" t="s">
        <v>214</v>
      </c>
      <c r="F97" s="130" t="s">
        <v>215</v>
      </c>
      <c r="G97" s="130" t="s">
        <v>216</v>
      </c>
      <c r="H97" s="239" t="s">
        <v>217</v>
      </c>
      <c r="X97" s="131"/>
    </row>
    <row r="98" spans="2:24">
      <c r="B98" s="319" t="s">
        <v>186</v>
      </c>
      <c r="C98" s="295">
        <v>8</v>
      </c>
      <c r="D98" s="273">
        <v>0.5</v>
      </c>
      <c r="E98" s="272">
        <v>2</v>
      </c>
      <c r="F98" s="142">
        <f>C98*D98*E98</f>
        <v>8</v>
      </c>
      <c r="G98" s="31">
        <f>'Waste Composition'!$D$116/2000</f>
        <v>0.11466666666666667</v>
      </c>
      <c r="H98" s="240">
        <f>F98*G98*4.33</f>
        <v>3.9720533333333332</v>
      </c>
      <c r="X98" s="131"/>
    </row>
    <row r="99" spans="2:24">
      <c r="B99" s="319" t="s">
        <v>188</v>
      </c>
      <c r="C99" s="295">
        <v>8</v>
      </c>
      <c r="D99" s="273">
        <v>0.5</v>
      </c>
      <c r="E99" s="272">
        <v>1</v>
      </c>
      <c r="F99" s="142">
        <f>C99*D99*E99</f>
        <v>4</v>
      </c>
      <c r="G99" s="31">
        <f>'Waste Composition'!$D$117/2000</f>
        <v>7.3785714285714274E-2</v>
      </c>
      <c r="H99" s="240">
        <f t="shared" ref="H99:H100" si="18">F99*G99*4.33</f>
        <v>1.2779685714285713</v>
      </c>
      <c r="X99" s="131"/>
    </row>
    <row r="100" spans="2:24">
      <c r="B100" s="319" t="s">
        <v>190</v>
      </c>
      <c r="C100" s="295">
        <v>4</v>
      </c>
      <c r="D100" s="273">
        <v>0.25</v>
      </c>
      <c r="E100" s="272">
        <v>1</v>
      </c>
      <c r="F100" s="142">
        <f>C100*D100*E100</f>
        <v>1</v>
      </c>
      <c r="G100" s="31">
        <f>'Waste Composition'!$D$118/2000</f>
        <v>0.156</v>
      </c>
      <c r="H100" s="240">
        <f t="shared" si="18"/>
        <v>0.67547999999999997</v>
      </c>
      <c r="X100" s="131"/>
    </row>
    <row r="101" spans="2:24">
      <c r="B101" s="319" t="s">
        <v>192</v>
      </c>
      <c r="C101" s="142">
        <f>SUM(C98:C100)</f>
        <v>20</v>
      </c>
      <c r="D101" s="65"/>
      <c r="E101" s="7">
        <f>SUM(E98:E100)</f>
        <v>4</v>
      </c>
      <c r="F101" s="142">
        <f>SUM(F98:F100)</f>
        <v>13</v>
      </c>
      <c r="G101" s="65"/>
      <c r="H101" s="240">
        <f>SUM(H98:H100)</f>
        <v>5.9255019047619051</v>
      </c>
      <c r="X101" s="131"/>
    </row>
    <row r="102" spans="2:24">
      <c r="B102" s="548" t="s">
        <v>193</v>
      </c>
      <c r="C102" s="446"/>
      <c r="D102" s="303">
        <f>H99/H101</f>
        <v>0.21567262857540537</v>
      </c>
      <c r="E102" s="65"/>
      <c r="F102" s="65"/>
      <c r="G102" s="65"/>
      <c r="H102" s="241"/>
      <c r="X102" s="131"/>
    </row>
    <row r="103" spans="2:24" ht="15" customHeight="1">
      <c r="B103" s="543" t="s">
        <v>194</v>
      </c>
      <c r="C103" s="544"/>
      <c r="D103" s="304">
        <f>H100/H101</f>
        <v>0.11399540677848144</v>
      </c>
      <c r="E103" s="65"/>
      <c r="F103" s="65"/>
      <c r="G103" s="65"/>
      <c r="H103" s="241"/>
      <c r="X103" s="131"/>
    </row>
    <row r="104" spans="2:24" ht="15" customHeight="1">
      <c r="B104" s="543" t="s">
        <v>196</v>
      </c>
      <c r="C104" s="544"/>
      <c r="D104" s="274">
        <v>500</v>
      </c>
      <c r="E104" s="65"/>
      <c r="F104" s="65"/>
      <c r="G104" s="65"/>
      <c r="H104" s="241"/>
      <c r="X104" s="131"/>
    </row>
    <row r="105" spans="2:24" ht="15" customHeight="1">
      <c r="B105" s="543" t="s">
        <v>198</v>
      </c>
      <c r="C105" s="544"/>
      <c r="D105" s="274">
        <v>200</v>
      </c>
      <c r="E105" s="65"/>
      <c r="F105" s="65"/>
      <c r="G105" s="65"/>
      <c r="H105" s="241"/>
      <c r="X105" s="131"/>
    </row>
    <row r="106" spans="2:24" ht="15" customHeight="1">
      <c r="B106" s="543" t="s">
        <v>200</v>
      </c>
      <c r="C106" s="544"/>
      <c r="D106" s="274">
        <v>150</v>
      </c>
      <c r="E106" s="65"/>
      <c r="F106" s="65"/>
      <c r="G106" s="65"/>
      <c r="H106" s="241"/>
      <c r="X106" s="131"/>
    </row>
    <row r="107" spans="2:24" ht="15" customHeight="1">
      <c r="B107" s="543" t="s">
        <v>202</v>
      </c>
      <c r="C107" s="544"/>
      <c r="D107" s="56">
        <f>D104/H98</f>
        <v>125.87947795262905</v>
      </c>
      <c r="E107" s="65"/>
      <c r="F107" s="65"/>
      <c r="G107" s="65"/>
      <c r="H107" s="241"/>
      <c r="X107" s="131"/>
    </row>
    <row r="108" spans="2:24" ht="15" customHeight="1">
      <c r="B108" s="543" t="s">
        <v>204</v>
      </c>
      <c r="C108" s="544"/>
      <c r="D108" s="56">
        <f>IFERROR(D105/H99,"NA")</f>
        <v>156.49837129909298</v>
      </c>
      <c r="E108" s="65"/>
      <c r="F108" s="65"/>
      <c r="G108" s="65"/>
      <c r="H108" s="241"/>
      <c r="X108" s="131"/>
    </row>
    <row r="109" spans="2:24" ht="15" customHeight="1">
      <c r="B109" s="543" t="s">
        <v>206</v>
      </c>
      <c r="C109" s="544"/>
      <c r="D109" s="56">
        <f>IFERROR(D106/H100,"NA")</f>
        <v>222.06430982412508</v>
      </c>
      <c r="E109" s="65"/>
      <c r="F109" s="65"/>
      <c r="G109" s="65"/>
      <c r="H109" s="241"/>
      <c r="X109" s="131"/>
    </row>
    <row r="110" spans="2:24" ht="15" customHeight="1">
      <c r="B110" s="543" t="s">
        <v>208</v>
      </c>
      <c r="C110" s="544"/>
      <c r="D110" s="62">
        <f>(H99/1000)*'Job Creation Calculator'!$C$64+(H100/1000)*'Job Creation Calculator'!$C$71</f>
        <v>1.8329632285714284E-3</v>
      </c>
      <c r="E110" s="65"/>
      <c r="F110" s="65"/>
      <c r="G110" s="65"/>
      <c r="H110" s="241"/>
      <c r="X110" s="131"/>
    </row>
    <row r="111" spans="2:24" ht="15.75" customHeight="1" thickBot="1">
      <c r="B111" s="541" t="s">
        <v>209</v>
      </c>
      <c r="C111" s="542"/>
      <c r="D111" s="275">
        <v>-0.96</v>
      </c>
      <c r="E111" s="233"/>
      <c r="F111" s="233"/>
      <c r="G111" s="233"/>
      <c r="H111" s="242"/>
      <c r="X111" s="131"/>
    </row>
    <row r="112" spans="2:24" ht="15.75" thickBot="1">
      <c r="B112" s="107"/>
      <c r="G112" s="5"/>
      <c r="X112" s="131"/>
    </row>
    <row r="113" spans="2:24">
      <c r="B113" s="545" t="s">
        <v>220</v>
      </c>
      <c r="C113" s="546"/>
      <c r="D113" s="546"/>
      <c r="E113" s="546"/>
      <c r="F113" s="546"/>
      <c r="G113" s="546"/>
      <c r="H113" s="547"/>
      <c r="X113" s="131"/>
    </row>
    <row r="114" spans="2:24" ht="30">
      <c r="B114" s="229"/>
      <c r="C114" s="130" t="s">
        <v>212</v>
      </c>
      <c r="D114" s="130" t="s">
        <v>213</v>
      </c>
      <c r="E114" s="130" t="s">
        <v>214</v>
      </c>
      <c r="F114" s="130" t="s">
        <v>215</v>
      </c>
      <c r="G114" s="130" t="s">
        <v>216</v>
      </c>
      <c r="H114" s="239" t="s">
        <v>217</v>
      </c>
      <c r="X114" s="131"/>
    </row>
    <row r="115" spans="2:24">
      <c r="B115" s="319" t="s">
        <v>186</v>
      </c>
      <c r="C115" s="295">
        <v>8</v>
      </c>
      <c r="D115" s="273">
        <v>0.5</v>
      </c>
      <c r="E115" s="272">
        <v>2</v>
      </c>
      <c r="F115" s="142">
        <f>C115*D115*E115</f>
        <v>8</v>
      </c>
      <c r="G115" s="31">
        <f>'Waste Composition'!$D$116/2000</f>
        <v>0.11466666666666667</v>
      </c>
      <c r="H115" s="240">
        <f>F115*G115*4.33</f>
        <v>3.9720533333333332</v>
      </c>
      <c r="X115" s="131"/>
    </row>
    <row r="116" spans="2:24">
      <c r="B116" s="319" t="s">
        <v>188</v>
      </c>
      <c r="C116" s="295">
        <v>8</v>
      </c>
      <c r="D116" s="273">
        <v>0.5</v>
      </c>
      <c r="E116" s="272">
        <v>1</v>
      </c>
      <c r="F116" s="142">
        <f>C116*D116*E116</f>
        <v>4</v>
      </c>
      <c r="G116" s="31">
        <f>'Waste Composition'!$D$117/2000</f>
        <v>7.3785714285714274E-2</v>
      </c>
      <c r="H116" s="240">
        <f t="shared" ref="H116:H117" si="19">F116*G116*4.33</f>
        <v>1.2779685714285713</v>
      </c>
      <c r="X116" s="131"/>
    </row>
    <row r="117" spans="2:24">
      <c r="B117" s="319" t="s">
        <v>190</v>
      </c>
      <c r="C117" s="295">
        <v>4</v>
      </c>
      <c r="D117" s="273">
        <v>0.25</v>
      </c>
      <c r="E117" s="272">
        <v>1</v>
      </c>
      <c r="F117" s="142">
        <f>C117*D117*E117</f>
        <v>1</v>
      </c>
      <c r="G117" s="31">
        <f>'Waste Composition'!$D$118/2000</f>
        <v>0.156</v>
      </c>
      <c r="H117" s="240">
        <f t="shared" si="19"/>
        <v>0.67547999999999997</v>
      </c>
      <c r="X117" s="131"/>
    </row>
    <row r="118" spans="2:24">
      <c r="B118" s="319" t="s">
        <v>192</v>
      </c>
      <c r="C118" s="142">
        <f>SUM(C115:C117)</f>
        <v>20</v>
      </c>
      <c r="D118" s="65"/>
      <c r="E118" s="7">
        <f>SUM(E115:E117)</f>
        <v>4</v>
      </c>
      <c r="F118" s="142">
        <f>SUM(F115:F117)</f>
        <v>13</v>
      </c>
      <c r="G118" s="65"/>
      <c r="H118" s="240">
        <f>SUM(H115:H117)</f>
        <v>5.9255019047619051</v>
      </c>
      <c r="X118" s="131"/>
    </row>
    <row r="119" spans="2:24">
      <c r="B119" s="548" t="s">
        <v>193</v>
      </c>
      <c r="C119" s="446"/>
      <c r="D119" s="303">
        <f>H116/H118</f>
        <v>0.21567262857540537</v>
      </c>
      <c r="E119" s="65"/>
      <c r="F119" s="65"/>
      <c r="G119" s="65"/>
      <c r="H119" s="241"/>
      <c r="X119" s="131"/>
    </row>
    <row r="120" spans="2:24" ht="15" customHeight="1">
      <c r="B120" s="543" t="s">
        <v>194</v>
      </c>
      <c r="C120" s="544"/>
      <c r="D120" s="304">
        <f>H117/H118</f>
        <v>0.11399540677848144</v>
      </c>
      <c r="E120" s="65"/>
      <c r="F120" s="65"/>
      <c r="G120" s="65"/>
      <c r="H120" s="241"/>
      <c r="X120" s="131"/>
    </row>
    <row r="121" spans="2:24" ht="15" customHeight="1">
      <c r="B121" s="543" t="s">
        <v>196</v>
      </c>
      <c r="C121" s="544"/>
      <c r="D121" s="274">
        <v>500</v>
      </c>
      <c r="E121" s="65"/>
      <c r="F121" s="65"/>
      <c r="G121" s="65"/>
      <c r="H121" s="241"/>
      <c r="X121" s="131"/>
    </row>
    <row r="122" spans="2:24" ht="15" customHeight="1">
      <c r="B122" s="543" t="s">
        <v>198</v>
      </c>
      <c r="C122" s="544"/>
      <c r="D122" s="274">
        <v>200</v>
      </c>
      <c r="E122" s="65"/>
      <c r="F122" s="65"/>
      <c r="G122" s="65"/>
      <c r="H122" s="241"/>
      <c r="X122" s="131"/>
    </row>
    <row r="123" spans="2:24" ht="15" customHeight="1">
      <c r="B123" s="543" t="s">
        <v>200</v>
      </c>
      <c r="C123" s="544"/>
      <c r="D123" s="274">
        <v>150</v>
      </c>
      <c r="E123" s="65"/>
      <c r="F123" s="65"/>
      <c r="G123" s="65"/>
      <c r="H123" s="241"/>
      <c r="X123" s="131"/>
    </row>
    <row r="124" spans="2:24" ht="15" customHeight="1">
      <c r="B124" s="543" t="s">
        <v>202</v>
      </c>
      <c r="C124" s="544"/>
      <c r="D124" s="56">
        <f>D121/H115</f>
        <v>125.87947795262905</v>
      </c>
      <c r="E124" s="65"/>
      <c r="F124" s="65"/>
      <c r="G124" s="65"/>
      <c r="H124" s="241"/>
      <c r="X124" s="131"/>
    </row>
    <row r="125" spans="2:24" ht="15" customHeight="1">
      <c r="B125" s="543" t="s">
        <v>204</v>
      </c>
      <c r="C125" s="544"/>
      <c r="D125" s="56">
        <f>IFERROR(D122/H116,"NA")</f>
        <v>156.49837129909298</v>
      </c>
      <c r="E125" s="65"/>
      <c r="F125" s="65"/>
      <c r="G125" s="65"/>
      <c r="H125" s="241"/>
      <c r="X125" s="131"/>
    </row>
    <row r="126" spans="2:24" ht="15" customHeight="1">
      <c r="B126" s="543" t="s">
        <v>206</v>
      </c>
      <c r="C126" s="544"/>
      <c r="D126" s="56">
        <f>IFERROR(D123/H117,"NA")</f>
        <v>222.06430982412508</v>
      </c>
      <c r="E126" s="65"/>
      <c r="F126" s="65"/>
      <c r="G126" s="65"/>
      <c r="H126" s="241"/>
      <c r="X126" s="131"/>
    </row>
    <row r="127" spans="2:24" ht="15" customHeight="1">
      <c r="B127" s="543" t="s">
        <v>208</v>
      </c>
      <c r="C127" s="544"/>
      <c r="D127" s="62">
        <f>(H116/1000)*'Job Creation Calculator'!$C$64+(H117/1000)*'Job Creation Calculator'!$C$71</f>
        <v>1.8329632285714284E-3</v>
      </c>
      <c r="E127" s="65"/>
      <c r="F127" s="65"/>
      <c r="G127" s="65"/>
      <c r="H127" s="241"/>
      <c r="X127" s="131"/>
    </row>
    <row r="128" spans="2:24" ht="15.75" customHeight="1" thickBot="1">
      <c r="B128" s="541" t="s">
        <v>209</v>
      </c>
      <c r="C128" s="542"/>
      <c r="D128" s="275">
        <v>-0.96</v>
      </c>
      <c r="E128" s="233"/>
      <c r="F128" s="233"/>
      <c r="G128" s="233"/>
      <c r="H128" s="242"/>
      <c r="X128" s="131"/>
    </row>
    <row r="129" spans="2:24" ht="15.75" thickBot="1">
      <c r="B129" s="107"/>
      <c r="G129" s="5"/>
      <c r="X129" s="131"/>
    </row>
    <row r="130" spans="2:24">
      <c r="B130" s="545" t="s">
        <v>221</v>
      </c>
      <c r="C130" s="546"/>
      <c r="D130" s="546"/>
      <c r="E130" s="546"/>
      <c r="F130" s="546"/>
      <c r="G130" s="546"/>
      <c r="H130" s="547"/>
      <c r="X130" s="131"/>
    </row>
    <row r="131" spans="2:24" ht="30">
      <c r="B131" s="229"/>
      <c r="C131" s="130" t="s">
        <v>212</v>
      </c>
      <c r="D131" s="130" t="s">
        <v>213</v>
      </c>
      <c r="E131" s="130" t="s">
        <v>214</v>
      </c>
      <c r="F131" s="130" t="s">
        <v>215</v>
      </c>
      <c r="G131" s="130" t="s">
        <v>216</v>
      </c>
      <c r="H131" s="239" t="s">
        <v>217</v>
      </c>
      <c r="X131" s="131"/>
    </row>
    <row r="132" spans="2:24">
      <c r="B132" s="319" t="s">
        <v>186</v>
      </c>
      <c r="C132" s="295">
        <v>8</v>
      </c>
      <c r="D132" s="273">
        <v>0.5</v>
      </c>
      <c r="E132" s="272">
        <v>2</v>
      </c>
      <c r="F132" s="142">
        <f>C132*D132*E132</f>
        <v>8</v>
      </c>
      <c r="G132" s="31">
        <f>'Waste Composition'!$D$116/2000</f>
        <v>0.11466666666666667</v>
      </c>
      <c r="H132" s="240">
        <f>F132*G132*4.33</f>
        <v>3.9720533333333332</v>
      </c>
      <c r="X132" s="131"/>
    </row>
    <row r="133" spans="2:24">
      <c r="B133" s="319" t="s">
        <v>188</v>
      </c>
      <c r="C133" s="295">
        <v>8</v>
      </c>
      <c r="D133" s="273">
        <v>0.5</v>
      </c>
      <c r="E133" s="272">
        <v>1</v>
      </c>
      <c r="F133" s="142">
        <f>C133*D133*E133</f>
        <v>4</v>
      </c>
      <c r="G133" s="31">
        <f>'Waste Composition'!$D$117/2000</f>
        <v>7.3785714285714274E-2</v>
      </c>
      <c r="H133" s="240">
        <f t="shared" ref="H133:H134" si="20">F133*G133*4.33</f>
        <v>1.2779685714285713</v>
      </c>
      <c r="X133" s="131"/>
    </row>
    <row r="134" spans="2:24">
      <c r="B134" s="319" t="s">
        <v>190</v>
      </c>
      <c r="C134" s="295">
        <v>4</v>
      </c>
      <c r="D134" s="273">
        <v>0.25</v>
      </c>
      <c r="E134" s="272">
        <v>1</v>
      </c>
      <c r="F134" s="142">
        <f>C134*D134*E134</f>
        <v>1</v>
      </c>
      <c r="G134" s="31">
        <f>'Waste Composition'!$D$118/2000</f>
        <v>0.156</v>
      </c>
      <c r="H134" s="240">
        <f t="shared" si="20"/>
        <v>0.67547999999999997</v>
      </c>
      <c r="X134" s="131"/>
    </row>
    <row r="135" spans="2:24">
      <c r="B135" s="319" t="s">
        <v>192</v>
      </c>
      <c r="C135" s="142">
        <f>SUM(C132:C134)</f>
        <v>20</v>
      </c>
      <c r="D135" s="65"/>
      <c r="E135" s="7">
        <f>SUM(E132:E134)</f>
        <v>4</v>
      </c>
      <c r="F135" s="142">
        <f>SUM(F132:F134)</f>
        <v>13</v>
      </c>
      <c r="G135" s="65"/>
      <c r="H135" s="240">
        <f>SUM(H132:H134)</f>
        <v>5.9255019047619051</v>
      </c>
      <c r="X135" s="131"/>
    </row>
    <row r="136" spans="2:24">
      <c r="B136" s="548" t="s">
        <v>193</v>
      </c>
      <c r="C136" s="446"/>
      <c r="D136" s="303">
        <f>H133/H135</f>
        <v>0.21567262857540537</v>
      </c>
      <c r="E136" s="65"/>
      <c r="F136" s="65"/>
      <c r="G136" s="65"/>
      <c r="H136" s="241"/>
      <c r="X136" s="131"/>
    </row>
    <row r="137" spans="2:24" ht="15" customHeight="1">
      <c r="B137" s="543" t="s">
        <v>194</v>
      </c>
      <c r="C137" s="544"/>
      <c r="D137" s="304">
        <f>H134/H135</f>
        <v>0.11399540677848144</v>
      </c>
      <c r="E137" s="65"/>
      <c r="F137" s="65"/>
      <c r="G137" s="65"/>
      <c r="H137" s="241"/>
      <c r="X137" s="131"/>
    </row>
    <row r="138" spans="2:24" ht="15" customHeight="1">
      <c r="B138" s="543" t="s">
        <v>196</v>
      </c>
      <c r="C138" s="544"/>
      <c r="D138" s="274">
        <v>500</v>
      </c>
      <c r="E138" s="65"/>
      <c r="F138" s="65"/>
      <c r="G138" s="65"/>
      <c r="H138" s="241"/>
      <c r="X138" s="131"/>
    </row>
    <row r="139" spans="2:24" ht="15" customHeight="1">
      <c r="B139" s="543" t="s">
        <v>198</v>
      </c>
      <c r="C139" s="544"/>
      <c r="D139" s="274">
        <v>200</v>
      </c>
      <c r="E139" s="65"/>
      <c r="F139" s="65"/>
      <c r="G139" s="65"/>
      <c r="H139" s="241"/>
      <c r="X139" s="131"/>
    </row>
    <row r="140" spans="2:24" ht="15" customHeight="1">
      <c r="B140" s="543" t="s">
        <v>200</v>
      </c>
      <c r="C140" s="544"/>
      <c r="D140" s="274">
        <v>150</v>
      </c>
      <c r="E140" s="65"/>
      <c r="F140" s="65"/>
      <c r="G140" s="65"/>
      <c r="H140" s="241"/>
      <c r="X140" s="131"/>
    </row>
    <row r="141" spans="2:24" ht="15" customHeight="1">
      <c r="B141" s="543" t="s">
        <v>202</v>
      </c>
      <c r="C141" s="544"/>
      <c r="D141" s="56">
        <f>D138/H132</f>
        <v>125.87947795262905</v>
      </c>
      <c r="E141" s="65"/>
      <c r="F141" s="65"/>
      <c r="G141" s="65"/>
      <c r="H141" s="241"/>
      <c r="X141" s="131"/>
    </row>
    <row r="142" spans="2:24" ht="15" customHeight="1">
      <c r="B142" s="543" t="s">
        <v>204</v>
      </c>
      <c r="C142" s="544"/>
      <c r="D142" s="56">
        <f>IFERROR(D139/H133,"NA")</f>
        <v>156.49837129909298</v>
      </c>
      <c r="E142" s="65"/>
      <c r="F142" s="65"/>
      <c r="G142" s="65"/>
      <c r="H142" s="241"/>
      <c r="X142" s="131"/>
    </row>
    <row r="143" spans="2:24" ht="15" customHeight="1">
      <c r="B143" s="543" t="s">
        <v>206</v>
      </c>
      <c r="C143" s="544"/>
      <c r="D143" s="56">
        <f>IFERROR(D140/H134,"NA")</f>
        <v>222.06430982412508</v>
      </c>
      <c r="E143" s="65"/>
      <c r="F143" s="65"/>
      <c r="G143" s="65"/>
      <c r="H143" s="241"/>
      <c r="X143" s="131"/>
    </row>
    <row r="144" spans="2:24" ht="15" customHeight="1">
      <c r="B144" s="543" t="s">
        <v>208</v>
      </c>
      <c r="C144" s="544"/>
      <c r="D144" s="62">
        <f>(H133/1000)*'Job Creation Calculator'!$C$64+(H134/1000)*'Job Creation Calculator'!$C$71</f>
        <v>1.8329632285714284E-3</v>
      </c>
      <c r="E144" s="65"/>
      <c r="F144" s="65"/>
      <c r="G144" s="65"/>
      <c r="H144" s="241"/>
      <c r="X144" s="131"/>
    </row>
    <row r="145" spans="2:24" ht="15.75" customHeight="1" thickBot="1">
      <c r="B145" s="541" t="s">
        <v>209</v>
      </c>
      <c r="C145" s="542"/>
      <c r="D145" s="275">
        <v>-0.96</v>
      </c>
      <c r="E145" s="233"/>
      <c r="F145" s="233"/>
      <c r="G145" s="233"/>
      <c r="H145" s="242"/>
      <c r="X145" s="131"/>
    </row>
    <row r="146" spans="2:24" ht="15.75" thickBot="1">
      <c r="B146" s="107"/>
      <c r="X146" s="131"/>
    </row>
    <row r="147" spans="2:24">
      <c r="B147" s="545" t="s">
        <v>222</v>
      </c>
      <c r="C147" s="546"/>
      <c r="D147" s="546"/>
      <c r="E147" s="546"/>
      <c r="F147" s="546"/>
      <c r="G147" s="546"/>
      <c r="H147" s="547"/>
      <c r="X147" s="131"/>
    </row>
    <row r="148" spans="2:24" ht="30">
      <c r="B148" s="229"/>
      <c r="C148" s="130" t="s">
        <v>212</v>
      </c>
      <c r="D148" s="130" t="s">
        <v>213</v>
      </c>
      <c r="E148" s="130" t="s">
        <v>214</v>
      </c>
      <c r="F148" s="130" t="s">
        <v>215</v>
      </c>
      <c r="G148" s="130" t="s">
        <v>216</v>
      </c>
      <c r="H148" s="239" t="s">
        <v>217</v>
      </c>
      <c r="X148" s="131"/>
    </row>
    <row r="149" spans="2:24">
      <c r="B149" s="319" t="s">
        <v>186</v>
      </c>
      <c r="C149" s="295">
        <v>8</v>
      </c>
      <c r="D149" s="273">
        <v>0.5</v>
      </c>
      <c r="E149" s="272">
        <v>2</v>
      </c>
      <c r="F149" s="142">
        <f>C149*D149*E149</f>
        <v>8</v>
      </c>
      <c r="G149" s="31">
        <f>'Waste Composition'!$D$116/2000</f>
        <v>0.11466666666666667</v>
      </c>
      <c r="H149" s="240">
        <f>F149*G149*4.33</f>
        <v>3.9720533333333332</v>
      </c>
      <c r="X149" s="131"/>
    </row>
    <row r="150" spans="2:24">
      <c r="B150" s="319" t="s">
        <v>188</v>
      </c>
      <c r="C150" s="295">
        <v>8</v>
      </c>
      <c r="D150" s="273">
        <v>0.5</v>
      </c>
      <c r="E150" s="272">
        <v>1</v>
      </c>
      <c r="F150" s="142">
        <f>C150*D150*E150</f>
        <v>4</v>
      </c>
      <c r="G150" s="31">
        <f>'Waste Composition'!$D$117/2000</f>
        <v>7.3785714285714274E-2</v>
      </c>
      <c r="H150" s="240">
        <f t="shared" ref="H150:H151" si="21">F150*G150*4.33</f>
        <v>1.2779685714285713</v>
      </c>
      <c r="X150" s="131"/>
    </row>
    <row r="151" spans="2:24">
      <c r="B151" s="319" t="s">
        <v>190</v>
      </c>
      <c r="C151" s="295">
        <v>4</v>
      </c>
      <c r="D151" s="273">
        <v>0.25</v>
      </c>
      <c r="E151" s="272">
        <v>1</v>
      </c>
      <c r="F151" s="142">
        <f>C151*D151*E151</f>
        <v>1</v>
      </c>
      <c r="G151" s="31">
        <f>'Waste Composition'!$D$118/2000</f>
        <v>0.156</v>
      </c>
      <c r="H151" s="240">
        <f t="shared" si="21"/>
        <v>0.67547999999999997</v>
      </c>
      <c r="X151" s="131"/>
    </row>
    <row r="152" spans="2:24">
      <c r="B152" s="319" t="s">
        <v>192</v>
      </c>
      <c r="C152" s="142">
        <f>SUM(C149:C151)</f>
        <v>20</v>
      </c>
      <c r="D152" s="65"/>
      <c r="E152" s="7">
        <f>SUM(E149:E151)</f>
        <v>4</v>
      </c>
      <c r="F152" s="142">
        <f>SUM(F149:F151)</f>
        <v>13</v>
      </c>
      <c r="G152" s="65"/>
      <c r="H152" s="240">
        <f>SUM(H149:H151)</f>
        <v>5.9255019047619051</v>
      </c>
      <c r="X152" s="131"/>
    </row>
    <row r="153" spans="2:24">
      <c r="B153" s="548" t="s">
        <v>193</v>
      </c>
      <c r="C153" s="446"/>
      <c r="D153" s="303">
        <f>H150/H152</f>
        <v>0.21567262857540537</v>
      </c>
      <c r="E153" s="65"/>
      <c r="F153" s="65"/>
      <c r="G153" s="65"/>
      <c r="H153" s="241"/>
      <c r="X153" s="131"/>
    </row>
    <row r="154" spans="2:24" ht="15" customHeight="1">
      <c r="B154" s="543" t="s">
        <v>194</v>
      </c>
      <c r="C154" s="544"/>
      <c r="D154" s="304">
        <f>H151/H152</f>
        <v>0.11399540677848144</v>
      </c>
      <c r="E154" s="65"/>
      <c r="F154" s="65"/>
      <c r="G154" s="65"/>
      <c r="H154" s="241"/>
      <c r="X154" s="131"/>
    </row>
    <row r="155" spans="2:24" ht="15" customHeight="1">
      <c r="B155" s="543" t="s">
        <v>196</v>
      </c>
      <c r="C155" s="544"/>
      <c r="D155" s="274">
        <v>500</v>
      </c>
      <c r="E155" s="65"/>
      <c r="F155" s="65"/>
      <c r="G155" s="65"/>
      <c r="H155" s="241"/>
      <c r="X155" s="131"/>
    </row>
    <row r="156" spans="2:24" ht="15" customHeight="1">
      <c r="B156" s="543" t="s">
        <v>198</v>
      </c>
      <c r="C156" s="544"/>
      <c r="D156" s="274">
        <v>200</v>
      </c>
      <c r="E156" s="65"/>
      <c r="F156" s="65"/>
      <c r="G156" s="65"/>
      <c r="H156" s="241"/>
      <c r="X156" s="131"/>
    </row>
    <row r="157" spans="2:24" ht="15" customHeight="1">
      <c r="B157" s="543" t="s">
        <v>200</v>
      </c>
      <c r="C157" s="544"/>
      <c r="D157" s="274">
        <v>150</v>
      </c>
      <c r="E157" s="65"/>
      <c r="F157" s="65"/>
      <c r="G157" s="65"/>
      <c r="H157" s="241"/>
      <c r="X157" s="131"/>
    </row>
    <row r="158" spans="2:24" ht="15" customHeight="1">
      <c r="B158" s="543" t="s">
        <v>202</v>
      </c>
      <c r="C158" s="544"/>
      <c r="D158" s="56">
        <f>D155/H149</f>
        <v>125.87947795262905</v>
      </c>
      <c r="E158" s="65"/>
      <c r="F158" s="65"/>
      <c r="G158" s="65"/>
      <c r="H158" s="241"/>
      <c r="X158" s="131"/>
    </row>
    <row r="159" spans="2:24" ht="15" customHeight="1">
      <c r="B159" s="543" t="s">
        <v>204</v>
      </c>
      <c r="C159" s="544"/>
      <c r="D159" s="56">
        <f>IFERROR(D156/H150,"NA")</f>
        <v>156.49837129909298</v>
      </c>
      <c r="E159" s="65"/>
      <c r="F159" s="65"/>
      <c r="G159" s="65"/>
      <c r="H159" s="241"/>
      <c r="X159" s="131"/>
    </row>
    <row r="160" spans="2:24" ht="15" customHeight="1">
      <c r="B160" s="543" t="s">
        <v>206</v>
      </c>
      <c r="C160" s="544"/>
      <c r="D160" s="56">
        <f>IFERROR(D157/H151,"NA")</f>
        <v>222.06430982412508</v>
      </c>
      <c r="E160" s="65"/>
      <c r="F160" s="65"/>
      <c r="G160" s="65"/>
      <c r="H160" s="241"/>
      <c r="X160" s="131"/>
    </row>
    <row r="161" spans="2:24" ht="15" customHeight="1">
      <c r="B161" s="543" t="s">
        <v>208</v>
      </c>
      <c r="C161" s="544"/>
      <c r="D161" s="62">
        <f>(H150/1000)*'Job Creation Calculator'!$C$64+(H151/1000)*'Job Creation Calculator'!$C$71</f>
        <v>1.8329632285714284E-3</v>
      </c>
      <c r="E161" s="65"/>
      <c r="F161" s="65"/>
      <c r="G161" s="65"/>
      <c r="H161" s="241"/>
      <c r="X161" s="131"/>
    </row>
    <row r="162" spans="2:24" ht="15.75" customHeight="1" thickBot="1">
      <c r="B162" s="541" t="s">
        <v>209</v>
      </c>
      <c r="C162" s="542"/>
      <c r="D162" s="275">
        <v>-0.96</v>
      </c>
      <c r="E162" s="233"/>
      <c r="F162" s="233"/>
      <c r="G162" s="233"/>
      <c r="H162" s="242"/>
      <c r="X162" s="131"/>
    </row>
    <row r="163" spans="2:24" ht="15.75" thickBot="1">
      <c r="B163" s="107"/>
      <c r="X163" s="131"/>
    </row>
    <row r="164" spans="2:24">
      <c r="B164" s="545" t="s">
        <v>223</v>
      </c>
      <c r="C164" s="546"/>
      <c r="D164" s="546"/>
      <c r="E164" s="546"/>
      <c r="F164" s="546"/>
      <c r="G164" s="546"/>
      <c r="H164" s="547"/>
      <c r="X164" s="131"/>
    </row>
    <row r="165" spans="2:24" ht="30">
      <c r="B165" s="229"/>
      <c r="C165" s="130" t="s">
        <v>212</v>
      </c>
      <c r="D165" s="130" t="s">
        <v>213</v>
      </c>
      <c r="E165" s="130" t="s">
        <v>214</v>
      </c>
      <c r="F165" s="130" t="s">
        <v>215</v>
      </c>
      <c r="G165" s="130" t="s">
        <v>216</v>
      </c>
      <c r="H165" s="239" t="s">
        <v>217</v>
      </c>
      <c r="X165" s="131"/>
    </row>
    <row r="166" spans="2:24">
      <c r="B166" s="319" t="s">
        <v>186</v>
      </c>
      <c r="C166" s="295">
        <v>8</v>
      </c>
      <c r="D166" s="273">
        <v>0.5</v>
      </c>
      <c r="E166" s="272">
        <v>2</v>
      </c>
      <c r="F166" s="142">
        <f>C166*D166*E166</f>
        <v>8</v>
      </c>
      <c r="G166" s="31">
        <f>'Waste Composition'!$D$116/2000</f>
        <v>0.11466666666666667</v>
      </c>
      <c r="H166" s="240">
        <f>F166*G166*4.33</f>
        <v>3.9720533333333332</v>
      </c>
      <c r="X166" s="131"/>
    </row>
    <row r="167" spans="2:24">
      <c r="B167" s="319" t="s">
        <v>188</v>
      </c>
      <c r="C167" s="295">
        <v>8</v>
      </c>
      <c r="D167" s="273">
        <v>0.5</v>
      </c>
      <c r="E167" s="272">
        <v>1</v>
      </c>
      <c r="F167" s="142">
        <f>C167*D167*E167</f>
        <v>4</v>
      </c>
      <c r="G167" s="31">
        <f>'Waste Composition'!$D$117/2000</f>
        <v>7.3785714285714274E-2</v>
      </c>
      <c r="H167" s="240">
        <f t="shared" ref="H167:H168" si="22">F167*G167*4.33</f>
        <v>1.2779685714285713</v>
      </c>
      <c r="X167" s="131"/>
    </row>
    <row r="168" spans="2:24">
      <c r="B168" s="319" t="s">
        <v>190</v>
      </c>
      <c r="C168" s="295">
        <v>4</v>
      </c>
      <c r="D168" s="273">
        <v>0.25</v>
      </c>
      <c r="E168" s="272">
        <v>1</v>
      </c>
      <c r="F168" s="142">
        <f>C168*D168*E168</f>
        <v>1</v>
      </c>
      <c r="G168" s="31">
        <f>'Waste Composition'!$D$118/2000</f>
        <v>0.156</v>
      </c>
      <c r="H168" s="240">
        <f t="shared" si="22"/>
        <v>0.67547999999999997</v>
      </c>
      <c r="X168" s="131"/>
    </row>
    <row r="169" spans="2:24">
      <c r="B169" s="319" t="s">
        <v>192</v>
      </c>
      <c r="C169" s="142">
        <f>SUM(C166:C168)</f>
        <v>20</v>
      </c>
      <c r="D169" s="65"/>
      <c r="E169" s="7">
        <f>SUM(E166:E168)</f>
        <v>4</v>
      </c>
      <c r="F169" s="142">
        <f>SUM(F166:F168)</f>
        <v>13</v>
      </c>
      <c r="G169" s="65"/>
      <c r="H169" s="240">
        <f>SUM(H166:H168)</f>
        <v>5.9255019047619051</v>
      </c>
      <c r="X169" s="131"/>
    </row>
    <row r="170" spans="2:24">
      <c r="B170" s="548" t="s">
        <v>193</v>
      </c>
      <c r="C170" s="446"/>
      <c r="D170" s="303">
        <f>H167/H169</f>
        <v>0.21567262857540537</v>
      </c>
      <c r="E170" s="65"/>
      <c r="F170" s="65"/>
      <c r="G170" s="65"/>
      <c r="H170" s="241"/>
      <c r="X170" s="131"/>
    </row>
    <row r="171" spans="2:24" ht="15" customHeight="1">
      <c r="B171" s="543" t="s">
        <v>194</v>
      </c>
      <c r="C171" s="544"/>
      <c r="D171" s="304">
        <f>H168/H169</f>
        <v>0.11399540677848144</v>
      </c>
      <c r="E171" s="65"/>
      <c r="F171" s="65"/>
      <c r="G171" s="65"/>
      <c r="H171" s="241"/>
      <c r="X171" s="131"/>
    </row>
    <row r="172" spans="2:24" ht="15" customHeight="1">
      <c r="B172" s="543" t="s">
        <v>196</v>
      </c>
      <c r="C172" s="544"/>
      <c r="D172" s="274">
        <v>500</v>
      </c>
      <c r="E172" s="65"/>
      <c r="F172" s="65"/>
      <c r="G172" s="65"/>
      <c r="H172" s="241"/>
      <c r="X172" s="131"/>
    </row>
    <row r="173" spans="2:24" ht="15" customHeight="1">
      <c r="B173" s="543" t="s">
        <v>198</v>
      </c>
      <c r="C173" s="544"/>
      <c r="D173" s="274">
        <v>200</v>
      </c>
      <c r="E173" s="65"/>
      <c r="F173" s="65"/>
      <c r="G173" s="65"/>
      <c r="H173" s="241"/>
      <c r="X173" s="131"/>
    </row>
    <row r="174" spans="2:24" ht="15" customHeight="1">
      <c r="B174" s="543" t="s">
        <v>200</v>
      </c>
      <c r="C174" s="544"/>
      <c r="D174" s="274">
        <v>150</v>
      </c>
      <c r="E174" s="65"/>
      <c r="F174" s="65"/>
      <c r="G174" s="65"/>
      <c r="H174" s="241"/>
      <c r="X174" s="131"/>
    </row>
    <row r="175" spans="2:24" ht="15" customHeight="1">
      <c r="B175" s="543" t="s">
        <v>202</v>
      </c>
      <c r="C175" s="544"/>
      <c r="D175" s="56">
        <f>D172/H166</f>
        <v>125.87947795262905</v>
      </c>
      <c r="E175" s="65"/>
      <c r="F175" s="65"/>
      <c r="G175" s="65"/>
      <c r="H175" s="241"/>
      <c r="X175" s="131"/>
    </row>
    <row r="176" spans="2:24" ht="15" customHeight="1">
      <c r="B176" s="543" t="s">
        <v>204</v>
      </c>
      <c r="C176" s="544"/>
      <c r="D176" s="56">
        <f>IFERROR(D173/H167,"NA")</f>
        <v>156.49837129909298</v>
      </c>
      <c r="E176" s="65"/>
      <c r="F176" s="65"/>
      <c r="G176" s="65"/>
      <c r="H176" s="241"/>
      <c r="X176" s="131"/>
    </row>
    <row r="177" spans="2:24" ht="15" customHeight="1">
      <c r="B177" s="543" t="s">
        <v>206</v>
      </c>
      <c r="C177" s="544"/>
      <c r="D177" s="56">
        <f>IFERROR(D174/H168,"NA")</f>
        <v>222.06430982412508</v>
      </c>
      <c r="E177" s="65"/>
      <c r="F177" s="65"/>
      <c r="G177" s="65"/>
      <c r="H177" s="241"/>
      <c r="X177" s="131"/>
    </row>
    <row r="178" spans="2:24" ht="15" customHeight="1">
      <c r="B178" s="543" t="s">
        <v>208</v>
      </c>
      <c r="C178" s="544"/>
      <c r="D178" s="62">
        <f>(H167/1000)*'Job Creation Calculator'!$C$64+(H168/1000)*'Job Creation Calculator'!$C$71</f>
        <v>1.8329632285714284E-3</v>
      </c>
      <c r="E178" s="65"/>
      <c r="F178" s="65"/>
      <c r="G178" s="65"/>
      <c r="H178" s="241"/>
      <c r="X178" s="131"/>
    </row>
    <row r="179" spans="2:24" ht="15.75" customHeight="1" thickBot="1">
      <c r="B179" s="541" t="s">
        <v>209</v>
      </c>
      <c r="C179" s="542"/>
      <c r="D179" s="275">
        <v>-0.96</v>
      </c>
      <c r="E179" s="233"/>
      <c r="F179" s="233"/>
      <c r="G179" s="233"/>
      <c r="H179" s="242"/>
      <c r="X179" s="131"/>
    </row>
    <row r="180" spans="2:24" ht="15.75" thickBot="1">
      <c r="B180" s="107"/>
      <c r="G180" s="5"/>
      <c r="X180" s="131"/>
    </row>
    <row r="181" spans="2:24">
      <c r="B181" s="545" t="s">
        <v>224</v>
      </c>
      <c r="C181" s="546"/>
      <c r="D181" s="546"/>
      <c r="E181" s="546"/>
      <c r="F181" s="546"/>
      <c r="G181" s="546"/>
      <c r="H181" s="547"/>
      <c r="X181" s="131"/>
    </row>
    <row r="182" spans="2:24" ht="30">
      <c r="B182" s="229"/>
      <c r="C182" s="130" t="s">
        <v>212</v>
      </c>
      <c r="D182" s="130" t="s">
        <v>213</v>
      </c>
      <c r="E182" s="130" t="s">
        <v>214</v>
      </c>
      <c r="F182" s="130" t="s">
        <v>215</v>
      </c>
      <c r="G182" s="130" t="s">
        <v>216</v>
      </c>
      <c r="H182" s="239" t="s">
        <v>217</v>
      </c>
      <c r="X182" s="131"/>
    </row>
    <row r="183" spans="2:24">
      <c r="B183" s="319" t="s">
        <v>186</v>
      </c>
      <c r="C183" s="295">
        <v>8</v>
      </c>
      <c r="D183" s="273">
        <v>0.5</v>
      </c>
      <c r="E183" s="272">
        <v>2</v>
      </c>
      <c r="F183" s="142">
        <f>C183*D183*E183</f>
        <v>8</v>
      </c>
      <c r="G183" s="31">
        <f>'Waste Composition'!$D$116/2000</f>
        <v>0.11466666666666667</v>
      </c>
      <c r="H183" s="240">
        <f>F183*G183*4.33</f>
        <v>3.9720533333333332</v>
      </c>
      <c r="X183" s="131"/>
    </row>
    <row r="184" spans="2:24">
      <c r="B184" s="319" t="s">
        <v>188</v>
      </c>
      <c r="C184" s="295">
        <v>8</v>
      </c>
      <c r="D184" s="273">
        <v>0.5</v>
      </c>
      <c r="E184" s="272">
        <v>1</v>
      </c>
      <c r="F184" s="142">
        <f>C184*D184*E184</f>
        <v>4</v>
      </c>
      <c r="G184" s="31">
        <f>'Waste Composition'!$D$117/2000</f>
        <v>7.3785714285714274E-2</v>
      </c>
      <c r="H184" s="240">
        <f t="shared" ref="H184:H185" si="23">F184*G184*4.33</f>
        <v>1.2779685714285713</v>
      </c>
      <c r="X184" s="131"/>
    </row>
    <row r="185" spans="2:24">
      <c r="B185" s="319" t="s">
        <v>190</v>
      </c>
      <c r="C185" s="295">
        <v>4</v>
      </c>
      <c r="D185" s="273">
        <v>0.25</v>
      </c>
      <c r="E185" s="272">
        <v>1</v>
      </c>
      <c r="F185" s="142">
        <f>C185*D185*E185</f>
        <v>1</v>
      </c>
      <c r="G185" s="31">
        <f>'Waste Composition'!$D$118/2000</f>
        <v>0.156</v>
      </c>
      <c r="H185" s="240">
        <f t="shared" si="23"/>
        <v>0.67547999999999997</v>
      </c>
      <c r="X185" s="131"/>
    </row>
    <row r="186" spans="2:24">
      <c r="B186" s="319" t="s">
        <v>192</v>
      </c>
      <c r="C186" s="142">
        <f>SUM(C183:C185)</f>
        <v>20</v>
      </c>
      <c r="D186" s="65"/>
      <c r="E186" s="7">
        <f>SUM(E183:E185)</f>
        <v>4</v>
      </c>
      <c r="F186" s="142">
        <f>SUM(F183:F185)</f>
        <v>13</v>
      </c>
      <c r="G186" s="65"/>
      <c r="H186" s="240">
        <f>SUM(H183:H185)</f>
        <v>5.9255019047619051</v>
      </c>
      <c r="X186" s="131"/>
    </row>
    <row r="187" spans="2:24">
      <c r="B187" s="548" t="s">
        <v>193</v>
      </c>
      <c r="C187" s="446"/>
      <c r="D187" s="303">
        <f>H184/H186</f>
        <v>0.21567262857540537</v>
      </c>
      <c r="E187" s="65"/>
      <c r="F187" s="65"/>
      <c r="G187" s="65"/>
      <c r="H187" s="241"/>
      <c r="X187" s="131"/>
    </row>
    <row r="188" spans="2:24" ht="15" customHeight="1">
      <c r="B188" s="543" t="s">
        <v>194</v>
      </c>
      <c r="C188" s="544"/>
      <c r="D188" s="304">
        <f>H185/H186</f>
        <v>0.11399540677848144</v>
      </c>
      <c r="E188" s="65"/>
      <c r="F188" s="65"/>
      <c r="G188" s="65"/>
      <c r="H188" s="241"/>
      <c r="X188" s="131"/>
    </row>
    <row r="189" spans="2:24" ht="15" customHeight="1">
      <c r="B189" s="543" t="s">
        <v>196</v>
      </c>
      <c r="C189" s="544"/>
      <c r="D189" s="274">
        <v>500</v>
      </c>
      <c r="E189" s="65"/>
      <c r="F189" s="65"/>
      <c r="G189" s="65"/>
      <c r="H189" s="241"/>
      <c r="X189" s="131"/>
    </row>
    <row r="190" spans="2:24" ht="15" customHeight="1">
      <c r="B190" s="543" t="s">
        <v>198</v>
      </c>
      <c r="C190" s="544"/>
      <c r="D190" s="274">
        <v>200</v>
      </c>
      <c r="E190" s="65"/>
      <c r="F190" s="65"/>
      <c r="G190" s="65"/>
      <c r="H190" s="241"/>
      <c r="X190" s="131"/>
    </row>
    <row r="191" spans="2:24" ht="15" customHeight="1">
      <c r="B191" s="543" t="s">
        <v>200</v>
      </c>
      <c r="C191" s="544"/>
      <c r="D191" s="274">
        <v>150</v>
      </c>
      <c r="E191" s="65"/>
      <c r="F191" s="65"/>
      <c r="G191" s="65"/>
      <c r="H191" s="241"/>
      <c r="X191" s="131"/>
    </row>
    <row r="192" spans="2:24" ht="15" customHeight="1">
      <c r="B192" s="543" t="s">
        <v>202</v>
      </c>
      <c r="C192" s="544"/>
      <c r="D192" s="56">
        <f>D189/H183</f>
        <v>125.87947795262905</v>
      </c>
      <c r="E192" s="65"/>
      <c r="F192" s="65"/>
      <c r="G192" s="65"/>
      <c r="H192" s="241"/>
      <c r="X192" s="131"/>
    </row>
    <row r="193" spans="2:24" ht="15" customHeight="1">
      <c r="B193" s="543" t="s">
        <v>204</v>
      </c>
      <c r="C193" s="544"/>
      <c r="D193" s="56">
        <f>IFERROR(D190/H184,"NA")</f>
        <v>156.49837129909298</v>
      </c>
      <c r="E193" s="65"/>
      <c r="F193" s="65"/>
      <c r="G193" s="65"/>
      <c r="H193" s="241"/>
      <c r="X193" s="131"/>
    </row>
    <row r="194" spans="2:24" ht="15" customHeight="1">
      <c r="B194" s="543" t="s">
        <v>206</v>
      </c>
      <c r="C194" s="544"/>
      <c r="D194" s="56">
        <f>IFERROR(D191/H185,"NA")</f>
        <v>222.06430982412508</v>
      </c>
      <c r="E194" s="65"/>
      <c r="F194" s="65"/>
      <c r="G194" s="65"/>
      <c r="H194" s="241"/>
      <c r="X194" s="131"/>
    </row>
    <row r="195" spans="2:24" ht="15" customHeight="1">
      <c r="B195" s="543" t="s">
        <v>208</v>
      </c>
      <c r="C195" s="544"/>
      <c r="D195" s="62">
        <f>(H184/1000)*'Job Creation Calculator'!$C$64+(H185/1000)*'Job Creation Calculator'!$C$71</f>
        <v>1.8329632285714284E-3</v>
      </c>
      <c r="E195" s="65"/>
      <c r="F195" s="65"/>
      <c r="G195" s="65"/>
      <c r="H195" s="241"/>
      <c r="X195" s="131"/>
    </row>
    <row r="196" spans="2:24" ht="15.75" customHeight="1" thickBot="1">
      <c r="B196" s="541" t="s">
        <v>209</v>
      </c>
      <c r="C196" s="542"/>
      <c r="D196" s="275">
        <v>-0.96</v>
      </c>
      <c r="E196" s="233"/>
      <c r="F196" s="233"/>
      <c r="G196" s="233"/>
      <c r="H196" s="242"/>
      <c r="X196" s="131"/>
    </row>
    <row r="197" spans="2:24" ht="15.75" thickBot="1">
      <c r="B197" s="107"/>
      <c r="G197" s="5"/>
      <c r="X197" s="131"/>
    </row>
    <row r="198" spans="2:24">
      <c r="B198" s="545" t="s">
        <v>225</v>
      </c>
      <c r="C198" s="546"/>
      <c r="D198" s="546"/>
      <c r="E198" s="546"/>
      <c r="F198" s="546"/>
      <c r="G198" s="546"/>
      <c r="H198" s="547"/>
      <c r="X198" s="131"/>
    </row>
    <row r="199" spans="2:24" ht="30">
      <c r="B199" s="229"/>
      <c r="C199" s="130" t="s">
        <v>212</v>
      </c>
      <c r="D199" s="130" t="s">
        <v>213</v>
      </c>
      <c r="E199" s="130" t="s">
        <v>214</v>
      </c>
      <c r="F199" s="130" t="s">
        <v>215</v>
      </c>
      <c r="G199" s="130" t="s">
        <v>216</v>
      </c>
      <c r="H199" s="239" t="s">
        <v>217</v>
      </c>
      <c r="X199" s="131"/>
    </row>
    <row r="200" spans="2:24">
      <c r="B200" s="319" t="s">
        <v>186</v>
      </c>
      <c r="C200" s="295">
        <v>8</v>
      </c>
      <c r="D200" s="273">
        <v>0.5</v>
      </c>
      <c r="E200" s="272">
        <v>2</v>
      </c>
      <c r="F200" s="142">
        <f>C200*D200*E200</f>
        <v>8</v>
      </c>
      <c r="G200" s="31">
        <f>'Waste Composition'!$D$116/2000</f>
        <v>0.11466666666666667</v>
      </c>
      <c r="H200" s="240">
        <f>F200*G200*4.33</f>
        <v>3.9720533333333332</v>
      </c>
      <c r="X200" s="131"/>
    </row>
    <row r="201" spans="2:24">
      <c r="B201" s="319" t="s">
        <v>188</v>
      </c>
      <c r="C201" s="295">
        <v>8</v>
      </c>
      <c r="D201" s="273">
        <v>0.5</v>
      </c>
      <c r="E201" s="272">
        <v>1</v>
      </c>
      <c r="F201" s="142">
        <f>C201*D201*E201</f>
        <v>4</v>
      </c>
      <c r="G201" s="31">
        <f>'Waste Composition'!$D$117/2000</f>
        <v>7.3785714285714274E-2</v>
      </c>
      <c r="H201" s="240">
        <f t="shared" ref="H201:H202" si="24">F201*G201*4.33</f>
        <v>1.2779685714285713</v>
      </c>
      <c r="X201" s="131"/>
    </row>
    <row r="202" spans="2:24">
      <c r="B202" s="319" t="s">
        <v>190</v>
      </c>
      <c r="C202" s="295">
        <v>4</v>
      </c>
      <c r="D202" s="273">
        <v>0.25</v>
      </c>
      <c r="E202" s="272">
        <v>1</v>
      </c>
      <c r="F202" s="142">
        <f>C202*D202*E202</f>
        <v>1</v>
      </c>
      <c r="G202" s="31">
        <f>'Waste Composition'!$D$118/2000</f>
        <v>0.156</v>
      </c>
      <c r="H202" s="240">
        <f t="shared" si="24"/>
        <v>0.67547999999999997</v>
      </c>
      <c r="X202" s="131"/>
    </row>
    <row r="203" spans="2:24">
      <c r="B203" s="319" t="s">
        <v>192</v>
      </c>
      <c r="C203" s="142">
        <f>SUM(C200:C202)</f>
        <v>20</v>
      </c>
      <c r="D203" s="65"/>
      <c r="E203" s="7">
        <f>SUM(E200:E202)</f>
        <v>4</v>
      </c>
      <c r="F203" s="142">
        <f>SUM(F200:F202)</f>
        <v>13</v>
      </c>
      <c r="G203" s="65"/>
      <c r="H203" s="240">
        <f>SUM(H200:H202)</f>
        <v>5.9255019047619051</v>
      </c>
      <c r="X203" s="131"/>
    </row>
    <row r="204" spans="2:24">
      <c r="B204" s="548" t="s">
        <v>193</v>
      </c>
      <c r="C204" s="446"/>
      <c r="D204" s="303">
        <f>H201/H203</f>
        <v>0.21567262857540537</v>
      </c>
      <c r="E204" s="65"/>
      <c r="F204" s="65"/>
      <c r="G204" s="65"/>
      <c r="H204" s="241"/>
      <c r="X204" s="131"/>
    </row>
    <row r="205" spans="2:24" ht="15" customHeight="1">
      <c r="B205" s="543" t="s">
        <v>194</v>
      </c>
      <c r="C205" s="544"/>
      <c r="D205" s="304">
        <f>H202/H203</f>
        <v>0.11399540677848144</v>
      </c>
      <c r="E205" s="65"/>
      <c r="F205" s="65"/>
      <c r="G205" s="65"/>
      <c r="H205" s="241"/>
      <c r="X205" s="131"/>
    </row>
    <row r="206" spans="2:24" ht="15" customHeight="1">
      <c r="B206" s="543" t="s">
        <v>196</v>
      </c>
      <c r="C206" s="544"/>
      <c r="D206" s="274">
        <v>500</v>
      </c>
      <c r="E206" s="65"/>
      <c r="F206" s="65"/>
      <c r="G206" s="65"/>
      <c r="H206" s="241"/>
      <c r="X206" s="131"/>
    </row>
    <row r="207" spans="2:24" ht="15" customHeight="1">
      <c r="B207" s="543" t="s">
        <v>198</v>
      </c>
      <c r="C207" s="544"/>
      <c r="D207" s="274">
        <v>200</v>
      </c>
      <c r="E207" s="65"/>
      <c r="F207" s="65"/>
      <c r="G207" s="65"/>
      <c r="H207" s="241"/>
      <c r="X207" s="131"/>
    </row>
    <row r="208" spans="2:24" ht="15" customHeight="1">
      <c r="B208" s="543" t="s">
        <v>200</v>
      </c>
      <c r="C208" s="544"/>
      <c r="D208" s="274">
        <v>150</v>
      </c>
      <c r="E208" s="65"/>
      <c r="F208" s="65"/>
      <c r="G208" s="65"/>
      <c r="H208" s="241"/>
      <c r="X208" s="131"/>
    </row>
    <row r="209" spans="2:24" ht="15" customHeight="1">
      <c r="B209" s="543" t="s">
        <v>202</v>
      </c>
      <c r="C209" s="544"/>
      <c r="D209" s="56">
        <f>D206/H200</f>
        <v>125.87947795262905</v>
      </c>
      <c r="E209" s="65"/>
      <c r="F209" s="65"/>
      <c r="G209" s="65"/>
      <c r="H209" s="241"/>
      <c r="X209" s="131"/>
    </row>
    <row r="210" spans="2:24" ht="15" customHeight="1">
      <c r="B210" s="543" t="s">
        <v>204</v>
      </c>
      <c r="C210" s="544"/>
      <c r="D210" s="56">
        <f>IFERROR(D207/H201,"NA")</f>
        <v>156.49837129909298</v>
      </c>
      <c r="E210" s="65"/>
      <c r="F210" s="65"/>
      <c r="G210" s="65"/>
      <c r="H210" s="241"/>
      <c r="X210" s="131"/>
    </row>
    <row r="211" spans="2:24" ht="15" customHeight="1">
      <c r="B211" s="543" t="s">
        <v>206</v>
      </c>
      <c r="C211" s="544"/>
      <c r="D211" s="56">
        <f>IFERROR(D208/H202,"NA")</f>
        <v>222.06430982412508</v>
      </c>
      <c r="E211" s="65"/>
      <c r="F211" s="65"/>
      <c r="G211" s="65"/>
      <c r="H211" s="241"/>
      <c r="X211" s="131"/>
    </row>
    <row r="212" spans="2:24" ht="15" customHeight="1">
      <c r="B212" s="543" t="s">
        <v>208</v>
      </c>
      <c r="C212" s="544"/>
      <c r="D212" s="62">
        <f>(H201/1000)*'Job Creation Calculator'!$C$64+(H202/1000)*'Job Creation Calculator'!$C$71</f>
        <v>1.8329632285714284E-3</v>
      </c>
      <c r="E212" s="65"/>
      <c r="F212" s="65"/>
      <c r="G212" s="65"/>
      <c r="H212" s="241"/>
      <c r="X212" s="131"/>
    </row>
    <row r="213" spans="2:24" ht="15.75" customHeight="1" thickBot="1">
      <c r="B213" s="541" t="s">
        <v>209</v>
      </c>
      <c r="C213" s="542"/>
      <c r="D213" s="275">
        <v>-0.96</v>
      </c>
      <c r="E213" s="233"/>
      <c r="F213" s="233"/>
      <c r="G213" s="233"/>
      <c r="H213" s="242"/>
      <c r="X213" s="131"/>
    </row>
    <row r="214" spans="2:24" ht="15.75" thickBot="1">
      <c r="B214" s="107"/>
      <c r="G214" s="5"/>
      <c r="X214" s="131"/>
    </row>
    <row r="215" spans="2:24">
      <c r="B215" s="545" t="s">
        <v>226</v>
      </c>
      <c r="C215" s="546"/>
      <c r="D215" s="546"/>
      <c r="E215" s="546"/>
      <c r="F215" s="546"/>
      <c r="G215" s="546"/>
      <c r="H215" s="547"/>
      <c r="X215" s="131"/>
    </row>
    <row r="216" spans="2:24" ht="30">
      <c r="B216" s="229"/>
      <c r="C216" s="130" t="s">
        <v>212</v>
      </c>
      <c r="D216" s="130" t="s">
        <v>213</v>
      </c>
      <c r="E216" s="130" t="s">
        <v>214</v>
      </c>
      <c r="F216" s="130" t="s">
        <v>215</v>
      </c>
      <c r="G216" s="130" t="s">
        <v>216</v>
      </c>
      <c r="H216" s="239" t="s">
        <v>217</v>
      </c>
      <c r="X216" s="131"/>
    </row>
    <row r="217" spans="2:24">
      <c r="B217" s="319" t="s">
        <v>186</v>
      </c>
      <c r="C217" s="295">
        <v>8</v>
      </c>
      <c r="D217" s="273">
        <v>0.5</v>
      </c>
      <c r="E217" s="272">
        <v>2</v>
      </c>
      <c r="F217" s="142">
        <f>C217*D217*E217</f>
        <v>8</v>
      </c>
      <c r="G217" s="31">
        <f>'Waste Composition'!$D$116/2000</f>
        <v>0.11466666666666667</v>
      </c>
      <c r="H217" s="240">
        <f>F217*G217*4.33</f>
        <v>3.9720533333333332</v>
      </c>
      <c r="X217" s="131"/>
    </row>
    <row r="218" spans="2:24">
      <c r="B218" s="319" t="s">
        <v>188</v>
      </c>
      <c r="C218" s="295">
        <v>8</v>
      </c>
      <c r="D218" s="273">
        <v>0.5</v>
      </c>
      <c r="E218" s="272">
        <v>1</v>
      </c>
      <c r="F218" s="142">
        <f>C218*D218*E218</f>
        <v>4</v>
      </c>
      <c r="G218" s="31">
        <f>'Waste Composition'!$D$117/2000</f>
        <v>7.3785714285714274E-2</v>
      </c>
      <c r="H218" s="240">
        <f t="shared" ref="H218:H219" si="25">F218*G218*4.33</f>
        <v>1.2779685714285713</v>
      </c>
      <c r="X218" s="131"/>
    </row>
    <row r="219" spans="2:24">
      <c r="B219" s="319" t="s">
        <v>190</v>
      </c>
      <c r="C219" s="295">
        <v>4</v>
      </c>
      <c r="D219" s="273">
        <v>0.25</v>
      </c>
      <c r="E219" s="272">
        <v>1</v>
      </c>
      <c r="F219" s="142">
        <f>C219*D219*E219</f>
        <v>1</v>
      </c>
      <c r="G219" s="31">
        <f>'Waste Composition'!$D$118/2000</f>
        <v>0.156</v>
      </c>
      <c r="H219" s="240">
        <f t="shared" si="25"/>
        <v>0.67547999999999997</v>
      </c>
      <c r="X219" s="131"/>
    </row>
    <row r="220" spans="2:24">
      <c r="B220" s="319" t="s">
        <v>192</v>
      </c>
      <c r="C220" s="142">
        <f>SUM(C217:C219)</f>
        <v>20</v>
      </c>
      <c r="D220" s="65"/>
      <c r="E220" s="7">
        <f>SUM(E217:E219)</f>
        <v>4</v>
      </c>
      <c r="F220" s="142">
        <f>SUM(F217:F219)</f>
        <v>13</v>
      </c>
      <c r="G220" s="65"/>
      <c r="H220" s="240">
        <f>SUM(H217:H219)</f>
        <v>5.9255019047619051</v>
      </c>
      <c r="X220" s="131"/>
    </row>
    <row r="221" spans="2:24">
      <c r="B221" s="548" t="s">
        <v>193</v>
      </c>
      <c r="C221" s="446"/>
      <c r="D221" s="303">
        <f>H218/H220</f>
        <v>0.21567262857540537</v>
      </c>
      <c r="E221" s="65"/>
      <c r="F221" s="65"/>
      <c r="G221" s="65"/>
      <c r="H221" s="241"/>
      <c r="X221" s="131"/>
    </row>
    <row r="222" spans="2:24" ht="15" customHeight="1">
      <c r="B222" s="543" t="s">
        <v>194</v>
      </c>
      <c r="C222" s="544"/>
      <c r="D222" s="304">
        <f>H219/H220</f>
        <v>0.11399540677848144</v>
      </c>
      <c r="E222" s="65"/>
      <c r="F222" s="65"/>
      <c r="G222" s="65"/>
      <c r="H222" s="241"/>
      <c r="X222" s="131"/>
    </row>
    <row r="223" spans="2:24" ht="15" customHeight="1">
      <c r="B223" s="543" t="s">
        <v>196</v>
      </c>
      <c r="C223" s="544"/>
      <c r="D223" s="274">
        <v>500</v>
      </c>
      <c r="E223" s="65"/>
      <c r="F223" s="65"/>
      <c r="G223" s="65"/>
      <c r="H223" s="241"/>
      <c r="X223" s="131"/>
    </row>
    <row r="224" spans="2:24" ht="15" customHeight="1">
      <c r="B224" s="543" t="s">
        <v>198</v>
      </c>
      <c r="C224" s="544"/>
      <c r="D224" s="274">
        <v>200</v>
      </c>
      <c r="E224" s="65"/>
      <c r="F224" s="65"/>
      <c r="G224" s="65"/>
      <c r="H224" s="241"/>
      <c r="X224" s="131"/>
    </row>
    <row r="225" spans="2:24" ht="15" customHeight="1">
      <c r="B225" s="543" t="s">
        <v>200</v>
      </c>
      <c r="C225" s="544"/>
      <c r="D225" s="274">
        <v>150</v>
      </c>
      <c r="E225" s="65"/>
      <c r="F225" s="65"/>
      <c r="G225" s="65"/>
      <c r="H225" s="241"/>
      <c r="X225" s="131"/>
    </row>
    <row r="226" spans="2:24" ht="15" customHeight="1">
      <c r="B226" s="543" t="s">
        <v>202</v>
      </c>
      <c r="C226" s="544"/>
      <c r="D226" s="56">
        <f>D223/H217</f>
        <v>125.87947795262905</v>
      </c>
      <c r="E226" s="65"/>
      <c r="F226" s="65"/>
      <c r="G226" s="65"/>
      <c r="H226" s="241"/>
      <c r="X226" s="131"/>
    </row>
    <row r="227" spans="2:24" ht="15" customHeight="1">
      <c r="B227" s="543" t="s">
        <v>204</v>
      </c>
      <c r="C227" s="544"/>
      <c r="D227" s="56">
        <f>IFERROR(D224/H218,"NA")</f>
        <v>156.49837129909298</v>
      </c>
      <c r="E227" s="65"/>
      <c r="F227" s="65"/>
      <c r="G227" s="65"/>
      <c r="H227" s="241"/>
      <c r="X227" s="131"/>
    </row>
    <row r="228" spans="2:24" ht="15" customHeight="1">
      <c r="B228" s="543" t="s">
        <v>206</v>
      </c>
      <c r="C228" s="544"/>
      <c r="D228" s="56">
        <f>IFERROR(D225/H219,"NA")</f>
        <v>222.06430982412508</v>
      </c>
      <c r="E228" s="65"/>
      <c r="F228" s="65"/>
      <c r="G228" s="65"/>
      <c r="H228" s="241"/>
      <c r="X228" s="131"/>
    </row>
    <row r="229" spans="2:24" ht="15" customHeight="1">
      <c r="B229" s="543" t="s">
        <v>208</v>
      </c>
      <c r="C229" s="544"/>
      <c r="D229" s="62">
        <f>(H218/1000)*'Job Creation Calculator'!$C$64+(H219/1000)*'Job Creation Calculator'!$C$71</f>
        <v>1.8329632285714284E-3</v>
      </c>
      <c r="E229" s="65"/>
      <c r="F229" s="65"/>
      <c r="G229" s="65"/>
      <c r="H229" s="241"/>
      <c r="X229" s="131"/>
    </row>
    <row r="230" spans="2:24" ht="15.75" customHeight="1" thickBot="1">
      <c r="B230" s="541" t="s">
        <v>209</v>
      </c>
      <c r="C230" s="542"/>
      <c r="D230" s="275">
        <v>-0.96</v>
      </c>
      <c r="E230" s="233"/>
      <c r="F230" s="233"/>
      <c r="G230" s="233"/>
      <c r="H230" s="242"/>
      <c r="I230" s="110"/>
      <c r="J230" s="110"/>
      <c r="K230" s="110"/>
      <c r="L230" s="110"/>
      <c r="M230" s="110"/>
      <c r="N230" s="110"/>
      <c r="O230" s="110"/>
      <c r="P230" s="110"/>
      <c r="Q230" s="110"/>
      <c r="R230" s="110"/>
      <c r="S230" s="110"/>
      <c r="T230" s="110"/>
      <c r="U230" s="110"/>
      <c r="V230" s="110"/>
      <c r="W230" s="110"/>
      <c r="X230" s="156"/>
    </row>
    <row r="231" spans="2:24">
      <c r="G231" s="10"/>
    </row>
    <row r="232" spans="2:24">
      <c r="G232" s="10"/>
    </row>
    <row r="233" spans="2:24">
      <c r="G233" s="10"/>
    </row>
    <row r="234" spans="2:24">
      <c r="G234" s="10"/>
    </row>
    <row r="235" spans="2:24">
      <c r="G235" s="10"/>
    </row>
    <row r="236" spans="2:24">
      <c r="G236" s="10"/>
    </row>
    <row r="237" spans="2:24">
      <c r="G237" s="10"/>
    </row>
    <row r="238" spans="2:24">
      <c r="G238" s="10"/>
    </row>
    <row r="239" spans="2:24">
      <c r="G239" s="10"/>
    </row>
    <row r="240" spans="2:24">
      <c r="G240" s="10"/>
    </row>
    <row r="241" spans="7:7">
      <c r="G241" s="10"/>
    </row>
    <row r="242" spans="7:7">
      <c r="G242" s="10"/>
    </row>
    <row r="243" spans="7:7">
      <c r="G243" s="10"/>
    </row>
    <row r="244" spans="7:7">
      <c r="G244" s="10"/>
    </row>
    <row r="245" spans="7:7">
      <c r="G245" s="10"/>
    </row>
    <row r="246" spans="7:7">
      <c r="G246" s="10"/>
    </row>
    <row r="247" spans="7:7">
      <c r="G247" s="10"/>
    </row>
    <row r="248" spans="7:7">
      <c r="G248" s="10"/>
    </row>
    <row r="249" spans="7:7">
      <c r="G249" s="10"/>
    </row>
    <row r="250" spans="7:7">
      <c r="G250" s="10"/>
    </row>
    <row r="251" spans="7:7">
      <c r="G251" s="10"/>
    </row>
    <row r="252" spans="7:7">
      <c r="G252" s="10"/>
    </row>
    <row r="253" spans="7:7">
      <c r="G253" s="10"/>
    </row>
    <row r="254" spans="7:7">
      <c r="G254" s="10"/>
    </row>
    <row r="255" spans="7:7">
      <c r="G255" s="10"/>
    </row>
    <row r="256" spans="7:7">
      <c r="G256" s="10"/>
    </row>
    <row r="257" spans="7:7">
      <c r="G257" s="10"/>
    </row>
    <row r="258" spans="7:7">
      <c r="G258" s="10"/>
    </row>
    <row r="259" spans="7:7">
      <c r="G259" s="10"/>
    </row>
    <row r="260" spans="7:7">
      <c r="G260" s="10"/>
    </row>
    <row r="261" spans="7:7">
      <c r="G261" s="10"/>
    </row>
    <row r="262" spans="7:7">
      <c r="G262" s="10"/>
    </row>
  </sheetData>
  <sheetProtection sheet="1" objects="1" scenarios="1" formatColumns="0" formatRows="0"/>
  <mergeCells count="145">
    <mergeCell ref="J27:X27"/>
    <mergeCell ref="B26:X26"/>
    <mergeCell ref="B24:D24"/>
    <mergeCell ref="B5:H5"/>
    <mergeCell ref="B93:C93"/>
    <mergeCell ref="B96:H96"/>
    <mergeCell ref="B68:C68"/>
    <mergeCell ref="B56:C56"/>
    <mergeCell ref="B45:H45"/>
    <mergeCell ref="B54:C54"/>
    <mergeCell ref="B8:H8"/>
    <mergeCell ref="B14:H14"/>
    <mergeCell ref="B22:H22"/>
    <mergeCell ref="B10:H10"/>
    <mergeCell ref="B12:H12"/>
    <mergeCell ref="B18:H18"/>
    <mergeCell ref="B20:H20"/>
    <mergeCell ref="B28:H28"/>
    <mergeCell ref="B16:H16"/>
    <mergeCell ref="B34:C34"/>
    <mergeCell ref="B27:H27"/>
    <mergeCell ref="B40:C40"/>
    <mergeCell ref="B41:C41"/>
    <mergeCell ref="B42:C42"/>
    <mergeCell ref="B113:H113"/>
    <mergeCell ref="B108:C108"/>
    <mergeCell ref="B110:C110"/>
    <mergeCell ref="B102:C102"/>
    <mergeCell ref="B105:C105"/>
    <mergeCell ref="B107:C107"/>
    <mergeCell ref="B104:C104"/>
    <mergeCell ref="B106:C106"/>
    <mergeCell ref="B109:C109"/>
    <mergeCell ref="B111:C111"/>
    <mergeCell ref="B143:C143"/>
    <mergeCell ref="B145:C145"/>
    <mergeCell ref="B154:C154"/>
    <mergeCell ref="B155:C155"/>
    <mergeCell ref="B124:C124"/>
    <mergeCell ref="B125:C125"/>
    <mergeCell ref="B127:C127"/>
    <mergeCell ref="B130:H130"/>
    <mergeCell ref="B119:C119"/>
    <mergeCell ref="B122:C122"/>
    <mergeCell ref="B120:C120"/>
    <mergeCell ref="B121:C121"/>
    <mergeCell ref="B123:C123"/>
    <mergeCell ref="B126:C126"/>
    <mergeCell ref="B128:C128"/>
    <mergeCell ref="B228:C228"/>
    <mergeCell ref="B195:C195"/>
    <mergeCell ref="B198:H198"/>
    <mergeCell ref="B204:C204"/>
    <mergeCell ref="B207:C207"/>
    <mergeCell ref="B209:C209"/>
    <mergeCell ref="B208:C208"/>
    <mergeCell ref="B158:C158"/>
    <mergeCell ref="B159:C159"/>
    <mergeCell ref="B164:H164"/>
    <mergeCell ref="B170:C170"/>
    <mergeCell ref="B173:C173"/>
    <mergeCell ref="B161:C161"/>
    <mergeCell ref="B193:C193"/>
    <mergeCell ref="B192:C192"/>
    <mergeCell ref="B181:H181"/>
    <mergeCell ref="B187:C187"/>
    <mergeCell ref="B190:C190"/>
    <mergeCell ref="B175:C175"/>
    <mergeCell ref="B178:C178"/>
    <mergeCell ref="B176:C176"/>
    <mergeCell ref="B43:C43"/>
    <mergeCell ref="B52:C52"/>
    <mergeCell ref="B35:C35"/>
    <mergeCell ref="B36:C36"/>
    <mergeCell ref="B37:C37"/>
    <mergeCell ref="B38:C38"/>
    <mergeCell ref="B39:C39"/>
    <mergeCell ref="B51:C51"/>
    <mergeCell ref="B70:C70"/>
    <mergeCell ref="B72:C72"/>
    <mergeCell ref="B75:C75"/>
    <mergeCell ref="B77:C77"/>
    <mergeCell ref="B86:C86"/>
    <mergeCell ref="B53:C53"/>
    <mergeCell ref="B55:C55"/>
    <mergeCell ref="B58:C58"/>
    <mergeCell ref="B60:C60"/>
    <mergeCell ref="B69:C69"/>
    <mergeCell ref="B57:C57"/>
    <mergeCell ref="B59:C59"/>
    <mergeCell ref="B62:H62"/>
    <mergeCell ref="B71:C71"/>
    <mergeCell ref="B73:C73"/>
    <mergeCell ref="B74:C74"/>
    <mergeCell ref="B76:C76"/>
    <mergeCell ref="B79:H79"/>
    <mergeCell ref="B85:C85"/>
    <mergeCell ref="B157:C157"/>
    <mergeCell ref="B160:C160"/>
    <mergeCell ref="B162:C162"/>
    <mergeCell ref="B171:C171"/>
    <mergeCell ref="B172:C172"/>
    <mergeCell ref="B87:C87"/>
    <mergeCell ref="B89:C89"/>
    <mergeCell ref="B92:C92"/>
    <mergeCell ref="B94:C94"/>
    <mergeCell ref="B103:C103"/>
    <mergeCell ref="B88:C88"/>
    <mergeCell ref="B90:C90"/>
    <mergeCell ref="B91:C91"/>
    <mergeCell ref="B153:C153"/>
    <mergeCell ref="B156:C156"/>
    <mergeCell ref="B136:C136"/>
    <mergeCell ref="B139:C139"/>
    <mergeCell ref="B141:C141"/>
    <mergeCell ref="B142:C142"/>
    <mergeCell ref="B144:C144"/>
    <mergeCell ref="B147:H147"/>
    <mergeCell ref="B137:C137"/>
    <mergeCell ref="B138:C138"/>
    <mergeCell ref="B140:C140"/>
    <mergeCell ref="B230:C230"/>
    <mergeCell ref="B191:C191"/>
    <mergeCell ref="B194:C194"/>
    <mergeCell ref="B196:C196"/>
    <mergeCell ref="B205:C205"/>
    <mergeCell ref="B206:C206"/>
    <mergeCell ref="B174:C174"/>
    <mergeCell ref="B177:C177"/>
    <mergeCell ref="B179:C179"/>
    <mergeCell ref="B188:C188"/>
    <mergeCell ref="B189:C189"/>
    <mergeCell ref="B226:C226"/>
    <mergeCell ref="B227:C227"/>
    <mergeCell ref="B229:C229"/>
    <mergeCell ref="B210:C210"/>
    <mergeCell ref="B212:C212"/>
    <mergeCell ref="B215:H215"/>
    <mergeCell ref="B221:C221"/>
    <mergeCell ref="B224:C224"/>
    <mergeCell ref="B211:C211"/>
    <mergeCell ref="B213:C213"/>
    <mergeCell ref="B222:C222"/>
    <mergeCell ref="B223:C223"/>
    <mergeCell ref="B225:C225"/>
  </mergeCells>
  <phoneticPr fontId="14" type="noConversion"/>
  <dataValidations count="1">
    <dataValidation type="decimal" operator="lessThanOrEqual" allowBlank="1" showInputMessage="1" showErrorMessage="1" errorTitle="Error" error="Value cannot exceed 100%" sqref="D30:D32 D47:D49 D64:D66 D81:D83 D98:D100 D115:D117 D132:D134 D149:D151 D166:D168 D183:D185 D200:D202 D217:D219" xr:uid="{BA672FEC-C925-45D3-B06B-C8F76719B7C6}">
      <formula1>1</formula1>
    </dataValidation>
  </dataValidations>
  <hyperlinks>
    <hyperlink ref="B24" location="'Toolkit Instructions'!A1" display="Click here to return to the Toolkit Instructions" xr:uid="{642BE783-9455-40B8-9261-EB5FCA7A10CC}"/>
    <hyperlink ref="B24:D24" location="'User Manual'!A1" display="Click here to return to the Toolkit Instructions" xr:uid="{5EEDA1D2-C768-4466-9C21-1086C6A75BF3}"/>
  </hyperlinks>
  <pageMargins left="0.7" right="0.7" top="0.75" bottom="0.75" header="0.3" footer="0.3"/>
  <pageSetup scale="2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4B1312-A37C-4F33-88A0-35290C5B7103}">
  <sheetPr>
    <tabColor rgb="FFFF0000"/>
    <pageSetUpPr fitToPage="1"/>
  </sheetPr>
  <dimension ref="A1:E35"/>
  <sheetViews>
    <sheetView zoomScaleNormal="100" workbookViewId="0">
      <selection activeCell="B20" sqref="B20:D20"/>
    </sheetView>
  </sheetViews>
  <sheetFormatPr defaultColWidth="9.140625" defaultRowHeight="15"/>
  <cols>
    <col min="1" max="1" width="1.7109375" style="5" customWidth="1"/>
    <col min="2" max="2" width="21.42578125" style="5" customWidth="1"/>
    <col min="3" max="3" width="19.42578125" style="5" customWidth="1"/>
    <col min="4" max="4" width="35.7109375" style="5" customWidth="1"/>
    <col min="5" max="5" width="40.85546875" style="5" customWidth="1"/>
    <col min="6" max="16384" width="9.140625" style="5"/>
  </cols>
  <sheetData>
    <row r="1" spans="1:5">
      <c r="A1" s="4" t="str" cm="1">
        <f t="array" aca="1" ref="A1" ca="1">RIGHT(CELL("filename",A1),LEN(CELL("filename",A1))-SEARCH("]",CELL("filename",A1)))</f>
        <v>Facility Survey</v>
      </c>
    </row>
    <row r="2" spans="1:5">
      <c r="A2" s="4"/>
    </row>
    <row r="3" spans="1:5">
      <c r="A3" s="4" t="s">
        <v>72</v>
      </c>
    </row>
    <row r="4" spans="1:5" ht="31.5" customHeight="1">
      <c r="A4" s="4"/>
      <c r="B4" s="500" t="s">
        <v>658</v>
      </c>
      <c r="C4" s="500"/>
      <c r="D4" s="500"/>
      <c r="E4" s="500"/>
    </row>
    <row r="5" spans="1:5">
      <c r="A5" s="4"/>
    </row>
    <row r="6" spans="1:5">
      <c r="A6" s="4" t="s">
        <v>127</v>
      </c>
    </row>
    <row r="8" spans="1:5">
      <c r="B8" s="537" t="s">
        <v>602</v>
      </c>
      <c r="C8" s="537"/>
      <c r="D8" s="537"/>
      <c r="E8" s="537"/>
    </row>
    <row r="10" spans="1:5">
      <c r="B10" s="537" t="s">
        <v>603</v>
      </c>
      <c r="C10" s="537"/>
      <c r="D10" s="537"/>
      <c r="E10" s="537"/>
    </row>
    <row r="12" spans="1:5" ht="29.25" customHeight="1">
      <c r="B12" s="564" t="s">
        <v>604</v>
      </c>
      <c r="C12" s="564"/>
      <c r="D12" s="564"/>
      <c r="E12" s="564"/>
    </row>
    <row r="14" spans="1:5" ht="48" customHeight="1">
      <c r="B14" s="537" t="s">
        <v>227</v>
      </c>
      <c r="C14" s="537"/>
      <c r="D14" s="537"/>
      <c r="E14" s="537"/>
    </row>
    <row r="16" spans="1:5">
      <c r="B16" s="552" t="s">
        <v>228</v>
      </c>
      <c r="C16" s="552"/>
      <c r="D16" s="552"/>
      <c r="E16" s="552"/>
    </row>
    <row r="18" spans="1:5">
      <c r="B18" s="537" t="s">
        <v>229</v>
      </c>
      <c r="C18" s="537"/>
      <c r="D18" s="537"/>
      <c r="E18" s="537"/>
    </row>
    <row r="19" spans="1:5">
      <c r="B19" s="70"/>
      <c r="C19" s="70"/>
      <c r="D19" s="70"/>
      <c r="E19" s="70"/>
    </row>
    <row r="20" spans="1:5">
      <c r="B20" s="515" t="s">
        <v>125</v>
      </c>
      <c r="C20" s="515"/>
      <c r="D20" s="515"/>
    </row>
    <row r="21" spans="1:5" ht="15.75" thickBot="1"/>
    <row r="22" spans="1:5" ht="27.6" customHeight="1">
      <c r="A22" s="495" t="s">
        <v>230</v>
      </c>
      <c r="B22" s="496"/>
      <c r="C22" s="496"/>
      <c r="D22" s="496"/>
      <c r="E22" s="497"/>
    </row>
    <row r="23" spans="1:5" ht="28.7" customHeight="1">
      <c r="A23" s="565" t="s">
        <v>231</v>
      </c>
      <c r="B23" s="566"/>
      <c r="C23" s="561"/>
      <c r="D23" s="562"/>
      <c r="E23" s="563"/>
    </row>
    <row r="24" spans="1:5" ht="28.7" customHeight="1">
      <c r="A24" s="225" t="s">
        <v>232</v>
      </c>
      <c r="B24" s="2"/>
      <c r="C24" s="561"/>
      <c r="D24" s="562"/>
      <c r="E24" s="563"/>
    </row>
    <row r="25" spans="1:5" ht="72" customHeight="1">
      <c r="A25" s="559"/>
      <c r="B25" s="69" t="s">
        <v>233</v>
      </c>
      <c r="C25" s="69" t="s">
        <v>234</v>
      </c>
      <c r="D25" s="69" t="s">
        <v>235</v>
      </c>
      <c r="E25" s="226" t="s">
        <v>236</v>
      </c>
    </row>
    <row r="26" spans="1:5" ht="72" customHeight="1">
      <c r="A26" s="560"/>
      <c r="B26" s="272"/>
      <c r="C26" s="272"/>
      <c r="D26" s="272"/>
      <c r="E26" s="276"/>
    </row>
    <row r="27" spans="1:5" ht="72" customHeight="1">
      <c r="A27" s="560"/>
      <c r="B27" s="272"/>
      <c r="C27" s="272"/>
      <c r="D27" s="272"/>
      <c r="E27" s="276"/>
    </row>
    <row r="28" spans="1:5" ht="72" customHeight="1">
      <c r="A28" s="560"/>
      <c r="B28" s="272"/>
      <c r="C28" s="272"/>
      <c r="D28" s="272"/>
      <c r="E28" s="276"/>
    </row>
    <row r="29" spans="1:5" ht="72" customHeight="1">
      <c r="A29" s="560"/>
      <c r="B29" s="272"/>
      <c r="C29" s="272"/>
      <c r="D29" s="272"/>
      <c r="E29" s="276"/>
    </row>
    <row r="30" spans="1:5" ht="72" customHeight="1">
      <c r="A30" s="107"/>
      <c r="B30" s="272"/>
      <c r="C30" s="272"/>
      <c r="D30" s="272"/>
      <c r="E30" s="276"/>
    </row>
    <row r="31" spans="1:5" ht="72" customHeight="1">
      <c r="A31" s="107"/>
      <c r="B31" s="272"/>
      <c r="C31" s="272"/>
      <c r="D31" s="272"/>
      <c r="E31" s="276"/>
    </row>
    <row r="32" spans="1:5" ht="72" customHeight="1">
      <c r="A32" s="107"/>
      <c r="B32" s="272"/>
      <c r="C32" s="272"/>
      <c r="D32" s="272"/>
      <c r="E32" s="276"/>
    </row>
    <row r="33" spans="1:5" ht="72" customHeight="1">
      <c r="A33" s="107"/>
      <c r="B33" s="272"/>
      <c r="C33" s="272"/>
      <c r="D33" s="272"/>
      <c r="E33" s="276"/>
    </row>
    <row r="34" spans="1:5" ht="72" customHeight="1">
      <c r="A34" s="107"/>
      <c r="B34" s="272"/>
      <c r="C34" s="272"/>
      <c r="D34" s="272"/>
      <c r="E34" s="276"/>
    </row>
    <row r="35" spans="1:5" ht="72" customHeight="1" thickBot="1">
      <c r="A35" s="109"/>
      <c r="B35" s="277"/>
      <c r="C35" s="277"/>
      <c r="D35" s="277"/>
      <c r="E35" s="278"/>
    </row>
  </sheetData>
  <sheetProtection sheet="1" objects="1" scenarios="1" formatColumns="0" formatRows="0"/>
  <mergeCells count="13">
    <mergeCell ref="B4:E4"/>
    <mergeCell ref="A25:A29"/>
    <mergeCell ref="A22:E22"/>
    <mergeCell ref="C23:E23"/>
    <mergeCell ref="C24:E24"/>
    <mergeCell ref="B14:E14"/>
    <mergeCell ref="B20:D20"/>
    <mergeCell ref="B12:E12"/>
    <mergeCell ref="B10:E10"/>
    <mergeCell ref="B8:E8"/>
    <mergeCell ref="B16:E16"/>
    <mergeCell ref="B18:E18"/>
    <mergeCell ref="A23:B23"/>
  </mergeCells>
  <hyperlinks>
    <hyperlink ref="B20" location="'Toolkit Instructions'!A1" display="Click here to return to the Toolkit Instructions" xr:uid="{7B463B65-2604-4211-995F-264F53F9AA6D}"/>
    <hyperlink ref="B20:D20" location="'User Manual'!A1" display="Click here to return to the Toolkit Instructions" xr:uid="{59DF9F58-1340-4688-A569-17D5FDF40542}"/>
  </hyperlinks>
  <pageMargins left="0.7" right="0.7" top="0.75" bottom="0.75" header="0.3" footer="0.3"/>
  <pageSetup scale="75" fitToHeight="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EC223B-65EF-41E4-AA1D-6A2B1DEDBCBD}">
  <sheetPr>
    <tabColor rgb="FFFF0000"/>
    <pageSetUpPr fitToPage="1"/>
  </sheetPr>
  <dimension ref="A1:G42"/>
  <sheetViews>
    <sheetView workbookViewId="0"/>
  </sheetViews>
  <sheetFormatPr defaultColWidth="9.140625" defaultRowHeight="14.25"/>
  <cols>
    <col min="1" max="1" width="1.7109375" style="71" customWidth="1"/>
    <col min="2" max="2" width="32" style="71" customWidth="1"/>
    <col min="3" max="3" width="24.42578125" style="71" customWidth="1"/>
    <col min="4" max="4" width="69" style="71" customWidth="1"/>
    <col min="5" max="5" width="22.85546875" style="71" customWidth="1"/>
    <col min="6" max="6" width="10.42578125" style="71" bestFit="1" customWidth="1"/>
    <col min="7" max="7" width="18.28515625" style="71" bestFit="1" customWidth="1"/>
    <col min="8" max="8" width="16.7109375" style="71" customWidth="1"/>
    <col min="9" max="16384" width="9.140625" style="71"/>
  </cols>
  <sheetData>
    <row r="1" spans="1:7" s="5" customFormat="1" ht="15">
      <c r="A1" s="4" t="str" cm="1">
        <f t="array" aca="1" ref="A1" ca="1">RIGHT(CELL("filename",A1),LEN(CELL("filename",A1))-SEARCH("]",CELL("filename",A1)))</f>
        <v>Observation Checklist</v>
      </c>
    </row>
    <row r="2" spans="1:7" s="5" customFormat="1" ht="15">
      <c r="A2" s="4"/>
    </row>
    <row r="3" spans="1:7" s="5" customFormat="1" ht="21" customHeight="1">
      <c r="A3" s="4" t="s">
        <v>72</v>
      </c>
    </row>
    <row r="4" spans="1:7" s="5" customFormat="1" ht="14.25" customHeight="1">
      <c r="A4" s="4"/>
      <c r="B4" s="425" t="s">
        <v>605</v>
      </c>
      <c r="C4" s="425"/>
      <c r="D4" s="425"/>
      <c r="E4" s="425"/>
      <c r="F4" s="425"/>
      <c r="G4" s="425"/>
    </row>
    <row r="5" spans="1:7" s="5" customFormat="1" ht="27" customHeight="1">
      <c r="A5" s="4" t="s">
        <v>127</v>
      </c>
    </row>
    <row r="6" spans="1:7" s="5" customFormat="1" ht="15">
      <c r="A6" s="4"/>
      <c r="B6" s="537" t="s">
        <v>606</v>
      </c>
      <c r="C6" s="537"/>
      <c r="D6" s="537"/>
      <c r="E6" s="537"/>
      <c r="F6" s="537"/>
      <c r="G6" s="537"/>
    </row>
    <row r="7" spans="1:7" s="5" customFormat="1" ht="15">
      <c r="A7" s="4"/>
      <c r="B7" s="4"/>
    </row>
    <row r="8" spans="1:7" s="5" customFormat="1" ht="15">
      <c r="A8" s="4"/>
      <c r="B8" s="537" t="s">
        <v>607</v>
      </c>
      <c r="C8" s="537"/>
      <c r="D8" s="537"/>
      <c r="E8" s="537"/>
      <c r="F8" s="537"/>
      <c r="G8" s="537"/>
    </row>
    <row r="9" spans="1:7" s="5" customFormat="1" ht="15">
      <c r="A9" s="4"/>
      <c r="B9" s="4"/>
    </row>
    <row r="10" spans="1:7" s="5" customFormat="1" ht="15">
      <c r="A10" s="4"/>
      <c r="B10" s="537" t="s">
        <v>659</v>
      </c>
      <c r="C10" s="537"/>
      <c r="D10" s="537"/>
      <c r="E10" s="537"/>
      <c r="F10" s="537"/>
      <c r="G10" s="537"/>
    </row>
    <row r="11" spans="1:7" s="5" customFormat="1" ht="15">
      <c r="A11" s="4"/>
      <c r="B11" s="4"/>
    </row>
    <row r="12" spans="1:7" s="5" customFormat="1" ht="15">
      <c r="A12" s="4"/>
      <c r="B12" s="537" t="s">
        <v>237</v>
      </c>
      <c r="C12" s="537"/>
      <c r="D12" s="537"/>
      <c r="E12" s="537"/>
      <c r="F12" s="537"/>
      <c r="G12" s="537"/>
    </row>
    <row r="13" spans="1:7" s="5" customFormat="1" ht="15">
      <c r="A13" s="4"/>
      <c r="B13" s="4"/>
    </row>
    <row r="14" spans="1:7" s="5" customFormat="1" ht="15">
      <c r="A14" s="4"/>
      <c r="B14" s="537" t="s">
        <v>238</v>
      </c>
      <c r="C14" s="537"/>
      <c r="D14" s="537"/>
      <c r="E14" s="537"/>
      <c r="F14" s="537"/>
      <c r="G14" s="537"/>
    </row>
    <row r="15" spans="1:7" s="5" customFormat="1" ht="15">
      <c r="A15" s="4"/>
      <c r="B15" s="4"/>
    </row>
    <row r="16" spans="1:7" s="5" customFormat="1" ht="15">
      <c r="A16" s="4"/>
      <c r="B16" s="537" t="s">
        <v>239</v>
      </c>
      <c r="C16" s="537"/>
      <c r="D16" s="537"/>
      <c r="E16" s="537"/>
      <c r="F16" s="537"/>
      <c r="G16" s="537"/>
    </row>
    <row r="18" spans="1:7" s="5" customFormat="1" ht="15">
      <c r="A18" s="4"/>
      <c r="B18" s="537" t="s">
        <v>240</v>
      </c>
      <c r="C18" s="537"/>
      <c r="D18" s="537"/>
      <c r="E18" s="537"/>
      <c r="F18" s="537"/>
      <c r="G18" s="537"/>
    </row>
    <row r="19" spans="1:7" s="5" customFormat="1" ht="15">
      <c r="A19" s="4"/>
      <c r="B19" s="4"/>
    </row>
    <row r="20" spans="1:7" s="5" customFormat="1" ht="15">
      <c r="A20" s="4"/>
      <c r="B20" s="515" t="s">
        <v>125</v>
      </c>
      <c r="C20" s="515"/>
    </row>
    <row r="21" spans="1:7" s="5" customFormat="1" ht="15" customHeight="1" thickBot="1"/>
    <row r="22" spans="1:7" ht="36" customHeight="1">
      <c r="B22" s="567" t="s">
        <v>101</v>
      </c>
      <c r="C22" s="568"/>
      <c r="D22" s="568"/>
      <c r="E22" s="568"/>
      <c r="F22" s="568"/>
      <c r="G22" s="569"/>
    </row>
    <row r="23" spans="1:7" ht="36" customHeight="1">
      <c r="B23" s="323" t="s">
        <v>231</v>
      </c>
      <c r="C23" s="570"/>
      <c r="D23" s="571"/>
      <c r="E23" s="571"/>
      <c r="F23" s="571"/>
      <c r="G23" s="572"/>
    </row>
    <row r="24" spans="1:7" ht="36" customHeight="1">
      <c r="B24" s="323" t="s">
        <v>232</v>
      </c>
      <c r="C24" s="570"/>
      <c r="D24" s="571"/>
      <c r="E24" s="571"/>
      <c r="F24" s="571"/>
      <c r="G24" s="572"/>
    </row>
    <row r="25" spans="1:7" ht="36" customHeight="1">
      <c r="B25" s="227" t="s">
        <v>241</v>
      </c>
      <c r="C25" s="59" t="s">
        <v>242</v>
      </c>
      <c r="D25" s="59" t="s">
        <v>243</v>
      </c>
      <c r="E25" s="59" t="s">
        <v>244</v>
      </c>
      <c r="F25" s="59" t="s">
        <v>245</v>
      </c>
      <c r="G25" s="238" t="s">
        <v>246</v>
      </c>
    </row>
    <row r="26" spans="1:7" ht="36" customHeight="1">
      <c r="B26" s="243" t="s">
        <v>581</v>
      </c>
      <c r="C26" s="414"/>
      <c r="D26" s="414"/>
      <c r="E26" s="414"/>
      <c r="F26" s="414"/>
      <c r="G26" s="415"/>
    </row>
    <row r="27" spans="1:7" ht="36" customHeight="1">
      <c r="B27" s="243" t="s">
        <v>582</v>
      </c>
      <c r="C27" s="414"/>
      <c r="D27" s="414"/>
      <c r="E27" s="414"/>
      <c r="F27" s="414"/>
      <c r="G27" s="415"/>
    </row>
    <row r="28" spans="1:7" ht="36" customHeight="1">
      <c r="B28" s="243" t="s">
        <v>247</v>
      </c>
      <c r="C28" s="414"/>
      <c r="D28" s="414"/>
      <c r="E28" s="414"/>
      <c r="F28" s="414"/>
      <c r="G28" s="415"/>
    </row>
    <row r="29" spans="1:7" ht="36" customHeight="1">
      <c r="B29" s="243" t="s">
        <v>579</v>
      </c>
      <c r="C29" s="414"/>
      <c r="D29" s="414"/>
      <c r="E29" s="414"/>
      <c r="F29" s="414"/>
      <c r="G29" s="415"/>
    </row>
    <row r="30" spans="1:7" ht="36" customHeight="1">
      <c r="B30" s="243" t="s">
        <v>580</v>
      </c>
      <c r="C30" s="414"/>
      <c r="D30" s="414"/>
      <c r="E30" s="414"/>
      <c r="F30" s="414"/>
      <c r="G30" s="415"/>
    </row>
    <row r="31" spans="1:7" ht="36" customHeight="1">
      <c r="B31" s="243" t="s">
        <v>572</v>
      </c>
      <c r="C31" s="414"/>
      <c r="D31" s="414"/>
      <c r="E31" s="414"/>
      <c r="F31" s="414"/>
      <c r="G31" s="415"/>
    </row>
    <row r="32" spans="1:7" ht="36" customHeight="1">
      <c r="B32" s="243" t="s">
        <v>608</v>
      </c>
      <c r="C32" s="414"/>
      <c r="D32" s="414"/>
      <c r="E32" s="414"/>
      <c r="F32" s="414"/>
      <c r="G32" s="415"/>
    </row>
    <row r="33" spans="2:7" ht="36" customHeight="1">
      <c r="B33" s="243" t="s">
        <v>583</v>
      </c>
      <c r="C33" s="414"/>
      <c r="D33" s="414"/>
      <c r="E33" s="414"/>
      <c r="F33" s="414"/>
      <c r="G33" s="415"/>
    </row>
    <row r="34" spans="2:7" ht="36" customHeight="1">
      <c r="B34" s="243" t="s">
        <v>573</v>
      </c>
      <c r="C34" s="414"/>
      <c r="D34" s="414"/>
      <c r="E34" s="414"/>
      <c r="F34" s="414"/>
      <c r="G34" s="415"/>
    </row>
    <row r="35" spans="2:7" ht="30">
      <c r="B35" s="243" t="s">
        <v>574</v>
      </c>
      <c r="C35" s="414"/>
      <c r="D35" s="414"/>
      <c r="E35" s="414"/>
      <c r="F35" s="414"/>
      <c r="G35" s="415"/>
    </row>
    <row r="36" spans="2:7" ht="65.25" customHeight="1">
      <c r="B36" s="243" t="s">
        <v>578</v>
      </c>
      <c r="C36" s="414"/>
      <c r="D36" s="414"/>
      <c r="E36" s="414"/>
      <c r="F36" s="414"/>
      <c r="G36" s="415"/>
    </row>
    <row r="37" spans="2:7" ht="36" customHeight="1">
      <c r="B37" s="243" t="s">
        <v>248</v>
      </c>
      <c r="C37" s="414"/>
      <c r="D37" s="414"/>
      <c r="E37" s="414"/>
      <c r="F37" s="414"/>
      <c r="G37" s="415"/>
    </row>
    <row r="38" spans="2:7" ht="36" customHeight="1">
      <c r="B38" s="243" t="s">
        <v>249</v>
      </c>
      <c r="C38" s="414"/>
      <c r="D38" s="414"/>
      <c r="E38" s="414"/>
      <c r="F38" s="414"/>
      <c r="G38" s="415"/>
    </row>
    <row r="39" spans="2:7" ht="36" customHeight="1">
      <c r="B39" s="243" t="s">
        <v>250</v>
      </c>
      <c r="C39" s="414"/>
      <c r="D39" s="414"/>
      <c r="E39" s="414"/>
      <c r="F39" s="414"/>
      <c r="G39" s="415"/>
    </row>
    <row r="40" spans="2:7" ht="29.25" customHeight="1">
      <c r="B40" s="243" t="s">
        <v>575</v>
      </c>
      <c r="C40" s="414"/>
      <c r="D40" s="414"/>
      <c r="E40" s="414"/>
      <c r="F40" s="414"/>
      <c r="G40" s="415"/>
    </row>
    <row r="41" spans="2:7" ht="34.5" customHeight="1">
      <c r="B41" s="243" t="s">
        <v>576</v>
      </c>
      <c r="C41" s="414"/>
      <c r="D41" s="414"/>
      <c r="E41" s="414"/>
      <c r="F41" s="414"/>
      <c r="G41" s="415"/>
    </row>
    <row r="42" spans="2:7" ht="30.75" thickBot="1">
      <c r="B42" s="244" t="s">
        <v>577</v>
      </c>
      <c r="C42" s="416"/>
      <c r="D42" s="416"/>
      <c r="E42" s="416"/>
      <c r="F42" s="416"/>
      <c r="G42" s="417"/>
    </row>
  </sheetData>
  <sheetProtection sheet="1" objects="1" scenarios="1" formatColumns="0" formatRows="0"/>
  <mergeCells count="12">
    <mergeCell ref="B4:G4"/>
    <mergeCell ref="B22:G22"/>
    <mergeCell ref="C23:G23"/>
    <mergeCell ref="C24:G24"/>
    <mergeCell ref="B20:C20"/>
    <mergeCell ref="B6:G6"/>
    <mergeCell ref="B8:G8"/>
    <mergeCell ref="B10:G10"/>
    <mergeCell ref="B12:G12"/>
    <mergeCell ref="B14:G14"/>
    <mergeCell ref="B16:G16"/>
    <mergeCell ref="B18:G18"/>
  </mergeCells>
  <hyperlinks>
    <hyperlink ref="B20" location="'Toolkit Instructions'!A1" display="Click here to return to the Toolkit Instructions" xr:uid="{839EDA82-C5B8-413A-BA07-711672F2A04A}"/>
    <hyperlink ref="B20:C20" location="'User Manual'!A1" display="Click here to return to the Toolkit Instructions" xr:uid="{09F0626A-DAB2-4211-B0D4-49F1312EE4EC}"/>
  </hyperlinks>
  <pageMargins left="0.7" right="0.7" top="0.75" bottom="0.75" header="0.3" footer="0.3"/>
  <pageSetup scale="50"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45F002-4320-4DD5-BBB1-B7E00D46357D}">
  <sheetPr>
    <tabColor rgb="FFFF0000"/>
    <pageSetUpPr fitToPage="1"/>
  </sheetPr>
  <dimension ref="A1:X119"/>
  <sheetViews>
    <sheetView tabSelected="1" zoomScaleNormal="100" workbookViewId="0">
      <selection activeCell="J21" sqref="J21:P21"/>
    </sheetView>
  </sheetViews>
  <sheetFormatPr defaultColWidth="32.42578125" defaultRowHeight="15"/>
  <cols>
    <col min="1" max="1" width="1.7109375" style="5" customWidth="1"/>
    <col min="2" max="2" width="39.42578125" style="114" customWidth="1"/>
    <col min="3" max="3" width="18.28515625" style="114" customWidth="1"/>
    <col min="4" max="4" width="20.42578125" style="114" customWidth="1"/>
    <col min="5" max="5" width="21.85546875" style="114" customWidth="1"/>
    <col min="6" max="6" width="22" style="114" customWidth="1"/>
    <col min="7" max="7" width="22.140625" style="115" bestFit="1" customWidth="1"/>
    <col min="8" max="8" width="27.28515625" style="115" customWidth="1"/>
    <col min="9" max="9" width="9.28515625" style="114" customWidth="1"/>
    <col min="10" max="10" width="41" style="114" customWidth="1"/>
    <col min="11" max="11" width="18.140625" style="114" customWidth="1"/>
    <col min="12" max="12" width="20.42578125" style="114" customWidth="1"/>
    <col min="13" max="13" width="21.5703125" style="114" customWidth="1"/>
    <col min="14" max="14" width="20.140625" style="114" customWidth="1"/>
    <col min="15" max="15" width="18.42578125" style="114" customWidth="1"/>
    <col min="16" max="16" width="27.42578125" style="114" customWidth="1"/>
    <col min="17" max="17" width="9.5703125" style="114" customWidth="1"/>
    <col min="18" max="18" width="41.5703125" style="114" customWidth="1"/>
    <col min="19" max="19" width="17" style="114" customWidth="1"/>
    <col min="20" max="20" width="21.42578125" style="114" customWidth="1"/>
    <col min="21" max="21" width="24.42578125" style="114" customWidth="1"/>
    <col min="22" max="22" width="21.7109375" style="114" customWidth="1"/>
    <col min="23" max="23" width="19.28515625" style="114" customWidth="1"/>
    <col min="24" max="24" width="26.42578125" style="114" customWidth="1"/>
    <col min="25" max="16384" width="32.42578125" style="114"/>
  </cols>
  <sheetData>
    <row r="1" spans="1:24">
      <c r="A1" s="4" t="str" cm="1">
        <f t="array" aca="1" ref="A1" ca="1">RIGHT(CELL("filename",A1),LEN(CELL("filename",A1))-SEARCH("]",CELL("filename",A1)))</f>
        <v>Waste Composition</v>
      </c>
      <c r="B1" s="4"/>
      <c r="C1" s="4"/>
      <c r="D1" s="4"/>
      <c r="E1" s="4"/>
      <c r="F1" s="4"/>
    </row>
    <row r="2" spans="1:24">
      <c r="A2" s="4"/>
      <c r="B2" s="4"/>
      <c r="C2" s="4"/>
      <c r="D2" s="4"/>
      <c r="E2" s="4"/>
      <c r="F2" s="4"/>
    </row>
    <row r="3" spans="1:24">
      <c r="A3" s="4" t="s">
        <v>72</v>
      </c>
      <c r="B3" s="4"/>
      <c r="C3" s="4"/>
      <c r="D3" s="4"/>
      <c r="E3" s="4"/>
    </row>
    <row r="4" spans="1:24" ht="72.75" customHeight="1">
      <c r="A4" s="4"/>
      <c r="B4" s="500" t="s">
        <v>251</v>
      </c>
      <c r="C4" s="500"/>
      <c r="D4" s="500"/>
      <c r="E4" s="500"/>
      <c r="F4" s="500"/>
      <c r="G4" s="500"/>
      <c r="H4" s="500"/>
      <c r="I4" s="73"/>
      <c r="J4" s="73"/>
      <c r="K4" s="73"/>
      <c r="L4" s="73"/>
      <c r="M4" s="73"/>
      <c r="N4" s="73"/>
      <c r="O4" s="73"/>
      <c r="P4" s="73"/>
      <c r="Q4" s="73"/>
    </row>
    <row r="5" spans="1:24">
      <c r="A5" s="4"/>
    </row>
    <row r="6" spans="1:24">
      <c r="A6" s="4" t="s">
        <v>252</v>
      </c>
    </row>
    <row r="7" spans="1:24" ht="31.5" customHeight="1">
      <c r="A7" s="4"/>
      <c r="B7" s="500" t="s">
        <v>609</v>
      </c>
      <c r="C7" s="500"/>
      <c r="D7" s="500"/>
      <c r="E7" s="500"/>
      <c r="F7" s="500"/>
      <c r="G7" s="500"/>
      <c r="H7" s="500"/>
    </row>
    <row r="8" spans="1:24">
      <c r="A8" s="4"/>
    </row>
    <row r="9" spans="1:24">
      <c r="A9" s="4" t="s">
        <v>127</v>
      </c>
    </row>
    <row r="10" spans="1:24">
      <c r="A10" s="4"/>
      <c r="B10" s="537" t="s">
        <v>610</v>
      </c>
      <c r="C10" s="537"/>
      <c r="D10" s="537"/>
      <c r="E10" s="537"/>
      <c r="F10" s="537"/>
      <c r="G10" s="537"/>
      <c r="H10" s="537"/>
    </row>
    <row r="11" spans="1:24" s="4" customFormat="1">
      <c r="A11" s="114"/>
    </row>
    <row r="12" spans="1:24" s="4" customFormat="1">
      <c r="A12" s="114"/>
      <c r="B12" s="125" t="s">
        <v>253</v>
      </c>
      <c r="C12" s="125"/>
      <c r="D12" s="125"/>
      <c r="E12" s="125"/>
      <c r="J12" s="125" t="s">
        <v>254</v>
      </c>
      <c r="P12" s="70"/>
      <c r="R12" s="385" t="s">
        <v>255</v>
      </c>
      <c r="S12" s="125"/>
      <c r="T12" s="125"/>
      <c r="U12" s="125"/>
      <c r="V12" s="125"/>
      <c r="W12" s="125"/>
    </row>
    <row r="13" spans="1:24" s="4" customFormat="1" ht="34.5" customHeight="1">
      <c r="A13" s="114"/>
      <c r="B13" s="552" t="s">
        <v>611</v>
      </c>
      <c r="C13" s="552"/>
      <c r="D13" s="552"/>
      <c r="E13" s="552"/>
      <c r="F13" s="552"/>
      <c r="G13" s="552"/>
      <c r="H13" s="552"/>
      <c r="J13" s="537" t="s">
        <v>616</v>
      </c>
      <c r="K13" s="537"/>
      <c r="L13" s="537"/>
      <c r="M13" s="537"/>
      <c r="N13" s="537"/>
      <c r="O13" s="537"/>
      <c r="P13" s="537"/>
      <c r="R13" s="537" t="s">
        <v>621</v>
      </c>
      <c r="S13" s="537"/>
      <c r="T13" s="537"/>
      <c r="U13" s="537"/>
      <c r="V13" s="537"/>
      <c r="W13" s="537"/>
      <c r="X13" s="537"/>
    </row>
    <row r="14" spans="1:24" s="4" customFormat="1" ht="15" customHeight="1">
      <c r="A14" s="114"/>
      <c r="J14" s="119"/>
      <c r="K14" s="114"/>
      <c r="L14" s="115"/>
      <c r="M14" s="115"/>
      <c r="N14" s="115"/>
      <c r="O14" s="115"/>
      <c r="P14" s="70"/>
      <c r="R14" s="77"/>
      <c r="S14" s="77"/>
      <c r="T14" s="77"/>
      <c r="U14" s="77"/>
      <c r="V14" s="77"/>
      <c r="W14" s="77"/>
      <c r="X14" s="70"/>
    </row>
    <row r="15" spans="1:24" s="4" customFormat="1" ht="78.75" customHeight="1">
      <c r="A15" s="114"/>
      <c r="B15" s="552" t="s">
        <v>612</v>
      </c>
      <c r="C15" s="552"/>
      <c r="D15" s="552"/>
      <c r="E15" s="552"/>
      <c r="F15" s="552"/>
      <c r="G15" s="552"/>
      <c r="H15" s="552"/>
      <c r="J15" s="552" t="s">
        <v>617</v>
      </c>
      <c r="K15" s="552"/>
      <c r="L15" s="552"/>
      <c r="M15" s="552"/>
      <c r="N15" s="552"/>
      <c r="O15" s="552"/>
      <c r="P15" s="552"/>
      <c r="R15" s="552" t="s">
        <v>660</v>
      </c>
      <c r="S15" s="552"/>
      <c r="T15" s="552"/>
      <c r="U15" s="552"/>
      <c r="V15" s="552"/>
      <c r="W15" s="552"/>
      <c r="X15" s="552"/>
    </row>
    <row r="16" spans="1:24" s="4" customFormat="1" ht="15" customHeight="1">
      <c r="A16" s="114"/>
      <c r="B16" s="70"/>
      <c r="C16" s="70"/>
      <c r="D16" s="70"/>
      <c r="E16" s="70"/>
      <c r="F16" s="70"/>
      <c r="G16" s="70"/>
      <c r="H16" s="70"/>
      <c r="J16" s="70"/>
      <c r="K16" s="70"/>
      <c r="L16" s="70"/>
      <c r="M16" s="70"/>
      <c r="N16" s="70"/>
      <c r="O16" s="70"/>
      <c r="P16" s="70"/>
      <c r="R16" s="77"/>
      <c r="S16" s="77"/>
      <c r="T16" s="77"/>
      <c r="U16" s="77"/>
      <c r="V16" s="77"/>
      <c r="W16" s="77"/>
      <c r="X16" s="70"/>
    </row>
    <row r="17" spans="1:24" s="4" customFormat="1" ht="45" customHeight="1">
      <c r="A17" s="114"/>
      <c r="B17" s="552" t="s">
        <v>613</v>
      </c>
      <c r="C17" s="552"/>
      <c r="D17" s="552"/>
      <c r="E17" s="552"/>
      <c r="F17" s="552"/>
      <c r="G17" s="552"/>
      <c r="H17" s="552"/>
      <c r="J17" s="552" t="s">
        <v>618</v>
      </c>
      <c r="K17" s="552"/>
      <c r="L17" s="552"/>
      <c r="M17" s="552"/>
      <c r="N17" s="552"/>
      <c r="O17" s="552"/>
      <c r="P17" s="552"/>
      <c r="R17" s="552" t="s">
        <v>622</v>
      </c>
      <c r="S17" s="552"/>
      <c r="T17" s="552"/>
      <c r="U17" s="552"/>
      <c r="V17" s="552"/>
      <c r="W17" s="552"/>
      <c r="X17" s="552"/>
    </row>
    <row r="18" spans="1:24" s="4" customFormat="1" ht="15" customHeight="1">
      <c r="A18" s="114"/>
      <c r="F18" s="70"/>
      <c r="G18" s="70"/>
      <c r="H18" s="70"/>
      <c r="J18" s="70"/>
      <c r="K18" s="70"/>
      <c r="L18" s="70"/>
      <c r="M18" s="70"/>
      <c r="N18" s="70"/>
      <c r="O18" s="70"/>
      <c r="P18" s="70"/>
    </row>
    <row r="19" spans="1:24" s="4" customFormat="1" ht="30.75" customHeight="1">
      <c r="A19" s="114"/>
      <c r="B19" s="552" t="s">
        <v>614</v>
      </c>
      <c r="C19" s="552"/>
      <c r="D19" s="552"/>
      <c r="E19" s="552"/>
      <c r="F19" s="552"/>
      <c r="G19" s="552"/>
      <c r="H19" s="552"/>
      <c r="J19" s="552" t="s">
        <v>256</v>
      </c>
      <c r="K19" s="552"/>
      <c r="L19" s="552"/>
      <c r="M19" s="552"/>
      <c r="N19" s="552"/>
      <c r="O19" s="552"/>
      <c r="P19" s="552"/>
      <c r="R19" s="552" t="s">
        <v>257</v>
      </c>
      <c r="S19" s="552"/>
      <c r="T19" s="552"/>
      <c r="U19" s="552"/>
      <c r="V19" s="552"/>
      <c r="W19" s="552"/>
      <c r="X19" s="552"/>
    </row>
    <row r="20" spans="1:24" s="4" customFormat="1" ht="15" customHeight="1">
      <c r="A20" s="114"/>
      <c r="B20" s="135"/>
      <c r="C20" s="135"/>
      <c r="D20" s="135"/>
      <c r="E20" s="135"/>
      <c r="F20" s="135"/>
      <c r="G20" s="135"/>
      <c r="H20" s="135"/>
      <c r="J20" s="135"/>
      <c r="K20" s="135"/>
      <c r="L20" s="135"/>
      <c r="M20" s="135"/>
      <c r="N20" s="135"/>
      <c r="O20" s="135"/>
      <c r="P20" s="135"/>
      <c r="R20" s="135"/>
      <c r="S20" s="135"/>
      <c r="T20" s="135"/>
      <c r="U20" s="135"/>
      <c r="V20" s="135"/>
      <c r="W20" s="135"/>
      <c r="X20" s="135"/>
    </row>
    <row r="21" spans="1:24" s="4" customFormat="1" ht="30" customHeight="1">
      <c r="A21" s="114"/>
      <c r="B21" s="535" t="s">
        <v>615</v>
      </c>
      <c r="C21" s="535"/>
      <c r="D21" s="535"/>
      <c r="E21" s="535"/>
      <c r="F21" s="535"/>
      <c r="G21" s="535"/>
      <c r="H21" s="535"/>
      <c r="J21" s="537" t="s">
        <v>619</v>
      </c>
      <c r="K21" s="537"/>
      <c r="L21" s="537"/>
      <c r="M21" s="537"/>
      <c r="N21" s="537"/>
      <c r="O21" s="537"/>
      <c r="P21" s="537"/>
      <c r="R21" s="604" t="s">
        <v>623</v>
      </c>
      <c r="S21" s="604"/>
      <c r="T21" s="604"/>
      <c r="U21" s="604"/>
      <c r="V21" s="604"/>
      <c r="W21" s="604"/>
      <c r="X21" s="604"/>
    </row>
    <row r="22" spans="1:24" s="4" customFormat="1" ht="15" customHeight="1">
      <c r="A22" s="114"/>
      <c r="J22" s="70"/>
      <c r="K22" s="70"/>
      <c r="L22" s="70"/>
      <c r="M22" s="70"/>
      <c r="N22" s="70"/>
      <c r="O22" s="70"/>
      <c r="P22" s="70"/>
      <c r="R22" s="193"/>
      <c r="S22" s="193"/>
      <c r="T22" s="193"/>
      <c r="U22" s="193"/>
      <c r="V22" s="193"/>
      <c r="W22" s="193"/>
      <c r="X22" s="193"/>
    </row>
    <row r="23" spans="1:24">
      <c r="B23" s="537" t="s">
        <v>258</v>
      </c>
      <c r="C23" s="537"/>
      <c r="D23" s="537"/>
      <c r="E23" s="537"/>
      <c r="F23" s="537"/>
      <c r="G23" s="537"/>
      <c r="H23" s="537"/>
      <c r="J23" s="552" t="s">
        <v>620</v>
      </c>
      <c r="K23" s="552"/>
      <c r="L23" s="552"/>
      <c r="M23" s="552"/>
      <c r="N23" s="552"/>
      <c r="O23" s="552"/>
      <c r="P23" s="552"/>
    </row>
    <row r="24" spans="1:24" ht="33.75" customHeight="1">
      <c r="B24" s="137" t="s">
        <v>125</v>
      </c>
      <c r="C24" s="137"/>
      <c r="D24" s="137"/>
      <c r="E24" s="137"/>
      <c r="F24" s="118"/>
      <c r="G24" s="118"/>
      <c r="H24" s="118"/>
      <c r="R24" s="603" t="s">
        <v>624</v>
      </c>
      <c r="S24" s="603"/>
      <c r="T24" s="603"/>
      <c r="U24" s="603"/>
      <c r="V24" s="603"/>
      <c r="W24" s="603"/>
      <c r="X24" s="603"/>
    </row>
    <row r="25" spans="1:24" ht="15" customHeight="1" thickBot="1">
      <c r="B25" s="137"/>
      <c r="C25" s="137"/>
      <c r="D25" s="137"/>
      <c r="E25" s="137"/>
      <c r="F25" s="118"/>
      <c r="G25" s="118"/>
      <c r="H25" s="118"/>
      <c r="R25" s="135"/>
      <c r="S25" s="135"/>
      <c r="T25" s="135"/>
      <c r="U25" s="135"/>
      <c r="V25" s="135"/>
      <c r="W25" s="135"/>
      <c r="X25" s="135"/>
    </row>
    <row r="26" spans="1:24" ht="26.25">
      <c r="B26" s="600" t="s">
        <v>259</v>
      </c>
      <c r="C26" s="601"/>
      <c r="D26" s="601"/>
      <c r="E26" s="601"/>
      <c r="F26" s="602"/>
      <c r="G26" s="386"/>
      <c r="H26" s="386"/>
      <c r="I26" s="387"/>
      <c r="J26" s="387"/>
      <c r="K26" s="387"/>
      <c r="L26" s="387"/>
      <c r="M26" s="387"/>
      <c r="N26" s="387"/>
      <c r="O26" s="387"/>
      <c r="P26" s="387"/>
      <c r="Q26" s="387"/>
      <c r="R26" s="388"/>
      <c r="S26" s="387"/>
      <c r="T26" s="387"/>
      <c r="U26" s="387"/>
      <c r="V26" s="387"/>
      <c r="W26" s="387"/>
      <c r="X26" s="389"/>
    </row>
    <row r="27" spans="1:24">
      <c r="B27" s="158"/>
      <c r="C27" s="139" t="s">
        <v>260</v>
      </c>
      <c r="D27" s="327" t="s">
        <v>261</v>
      </c>
      <c r="E27" s="326" t="s">
        <v>262</v>
      </c>
      <c r="F27" s="50" t="s">
        <v>177</v>
      </c>
      <c r="G27" s="390"/>
      <c r="H27" s="390"/>
      <c r="X27" s="391"/>
    </row>
    <row r="28" spans="1:24">
      <c r="B28" s="159" t="s">
        <v>263</v>
      </c>
      <c r="C28" s="305">
        <f>E79</f>
        <v>0</v>
      </c>
      <c r="D28" s="305">
        <f>M79</f>
        <v>0</v>
      </c>
      <c r="E28" s="305">
        <f>IFERROR(U79,0)</f>
        <v>0</v>
      </c>
      <c r="F28" s="54">
        <f>SUM(C28:E28)</f>
        <v>0</v>
      </c>
      <c r="G28" s="390"/>
      <c r="H28" s="390"/>
      <c r="X28" s="391"/>
    </row>
    <row r="29" spans="1:24">
      <c r="B29" s="159" t="s">
        <v>264</v>
      </c>
      <c r="C29" s="305">
        <f>E80</f>
        <v>0</v>
      </c>
      <c r="D29" s="305">
        <f>M80</f>
        <v>0</v>
      </c>
      <c r="E29" s="305">
        <f>IFERROR(U80,0)</f>
        <v>0</v>
      </c>
      <c r="F29" s="54">
        <f>SUM(C29:E29)</f>
        <v>0</v>
      </c>
      <c r="G29" s="390"/>
      <c r="H29" s="390"/>
      <c r="X29" s="391"/>
    </row>
    <row r="30" spans="1:24">
      <c r="B30" s="159" t="s">
        <v>265</v>
      </c>
      <c r="C30" s="305">
        <f>E81</f>
        <v>0</v>
      </c>
      <c r="D30" s="305">
        <f>M81</f>
        <v>0</v>
      </c>
      <c r="E30" s="305">
        <f>IFERROR(U81,0)</f>
        <v>0</v>
      </c>
      <c r="F30" s="54">
        <f>SUM(C30:E30)</f>
        <v>0</v>
      </c>
      <c r="G30" s="390"/>
      <c r="H30" s="390"/>
      <c r="X30" s="391"/>
    </row>
    <row r="31" spans="1:24">
      <c r="B31" s="159" t="s">
        <v>266</v>
      </c>
      <c r="C31" s="305">
        <f>SUM(C28:C30)</f>
        <v>0</v>
      </c>
      <c r="D31" s="305">
        <f>SUM(D28:D30)</f>
        <v>0</v>
      </c>
      <c r="E31" s="305">
        <f t="shared" ref="E31" si="0">SUM(E28:E30)</f>
        <v>0</v>
      </c>
      <c r="F31" s="306">
        <f>SUM(F28:F30)</f>
        <v>0</v>
      </c>
      <c r="G31" s="390"/>
      <c r="H31" s="390"/>
      <c r="X31" s="391"/>
    </row>
    <row r="32" spans="1:24">
      <c r="B32" s="159" t="s">
        <v>267</v>
      </c>
      <c r="C32" s="637" t="e">
        <f>D28/F31</f>
        <v>#DIV/0!</v>
      </c>
      <c r="D32" s="637"/>
      <c r="E32" s="637"/>
      <c r="F32" s="638"/>
      <c r="G32" s="390"/>
      <c r="H32" s="390"/>
      <c r="X32" s="391"/>
    </row>
    <row r="33" spans="2:24">
      <c r="B33" s="159" t="s">
        <v>268</v>
      </c>
      <c r="C33" s="637" t="e">
        <f>E29/F31</f>
        <v>#DIV/0!</v>
      </c>
      <c r="D33" s="637"/>
      <c r="E33" s="637"/>
      <c r="F33" s="638"/>
      <c r="G33" s="390"/>
      <c r="H33" s="390"/>
      <c r="X33" s="391"/>
    </row>
    <row r="34" spans="2:24">
      <c r="B34" s="159" t="s">
        <v>269</v>
      </c>
      <c r="C34" s="637" t="e">
        <f>F28/F31</f>
        <v>#DIV/0!</v>
      </c>
      <c r="D34" s="637"/>
      <c r="E34" s="637"/>
      <c r="F34" s="638"/>
      <c r="G34" s="390"/>
      <c r="H34" s="390"/>
      <c r="X34" s="391"/>
    </row>
    <row r="35" spans="2:24" ht="15.75" thickBot="1">
      <c r="B35" s="160" t="s">
        <v>270</v>
      </c>
      <c r="C35" s="639" t="e">
        <f>F29/F31</f>
        <v>#DIV/0!</v>
      </c>
      <c r="D35" s="639"/>
      <c r="E35" s="639"/>
      <c r="F35" s="640"/>
      <c r="G35" s="390"/>
      <c r="H35" s="390"/>
      <c r="X35" s="391"/>
    </row>
    <row r="36" spans="2:24" ht="15.75" thickBot="1">
      <c r="B36" s="392"/>
      <c r="C36" s="182"/>
      <c r="D36" s="182"/>
      <c r="E36" s="182"/>
      <c r="F36" s="390"/>
      <c r="G36" s="390"/>
      <c r="H36" s="390"/>
      <c r="X36" s="391"/>
    </row>
    <row r="37" spans="2:24" ht="38.25" customHeight="1" thickBot="1">
      <c r="B37" s="576" t="s">
        <v>271</v>
      </c>
      <c r="C37" s="577"/>
      <c r="D37" s="577"/>
      <c r="E37" s="577"/>
      <c r="F37" s="577"/>
      <c r="G37" s="577"/>
      <c r="H37" s="578"/>
      <c r="I37" s="393"/>
      <c r="J37" s="576" t="s">
        <v>271</v>
      </c>
      <c r="K37" s="577"/>
      <c r="L37" s="577"/>
      <c r="M37" s="577"/>
      <c r="N37" s="577"/>
      <c r="O37" s="577"/>
      <c r="P37" s="578"/>
      <c r="Q37" s="393"/>
      <c r="R37" s="576" t="s">
        <v>271</v>
      </c>
      <c r="S37" s="577"/>
      <c r="T37" s="577"/>
      <c r="U37" s="577"/>
      <c r="V37" s="577"/>
      <c r="W37" s="577"/>
      <c r="X37" s="578"/>
    </row>
    <row r="38" spans="2:24">
      <c r="B38" s="641" t="s">
        <v>272</v>
      </c>
      <c r="C38" s="642"/>
      <c r="D38" s="642"/>
      <c r="E38" s="642"/>
      <c r="F38" s="643"/>
      <c r="G38" s="643"/>
      <c r="H38" s="644"/>
      <c r="I38" s="489"/>
      <c r="J38" s="581" t="s">
        <v>273</v>
      </c>
      <c r="K38" s="582"/>
      <c r="L38" s="582"/>
      <c r="M38" s="582"/>
      <c r="N38" s="582"/>
      <c r="O38" s="582"/>
      <c r="P38" s="634"/>
      <c r="Q38" s="630"/>
      <c r="R38" s="627" t="s">
        <v>274</v>
      </c>
      <c r="S38" s="628"/>
      <c r="T38" s="628"/>
      <c r="U38" s="628"/>
      <c r="V38" s="628"/>
      <c r="W38" s="628"/>
      <c r="X38" s="629"/>
    </row>
    <row r="39" spans="2:24" ht="30" customHeight="1">
      <c r="B39" s="140" t="s">
        <v>231</v>
      </c>
      <c r="C39" s="590"/>
      <c r="D39" s="591"/>
      <c r="E39" s="591"/>
      <c r="F39" s="591"/>
      <c r="G39" s="591"/>
      <c r="H39" s="592"/>
      <c r="I39" s="489"/>
      <c r="J39" s="140" t="s">
        <v>231</v>
      </c>
      <c r="K39" s="635"/>
      <c r="L39" s="635"/>
      <c r="M39" s="635"/>
      <c r="N39" s="635"/>
      <c r="O39" s="635"/>
      <c r="P39" s="636"/>
      <c r="Q39" s="630"/>
      <c r="R39" s="140" t="s">
        <v>231</v>
      </c>
      <c r="S39" s="590"/>
      <c r="T39" s="591"/>
      <c r="U39" s="591"/>
      <c r="V39" s="591"/>
      <c r="W39" s="591"/>
      <c r="X39" s="592"/>
    </row>
    <row r="40" spans="2:24" ht="30" customHeight="1">
      <c r="B40" s="140" t="s">
        <v>232</v>
      </c>
      <c r="C40" s="593"/>
      <c r="D40" s="593"/>
      <c r="E40" s="593"/>
      <c r="F40" s="593"/>
      <c r="G40" s="593"/>
      <c r="H40" s="594"/>
      <c r="I40" s="489"/>
      <c r="J40" s="140" t="s">
        <v>232</v>
      </c>
      <c r="K40" s="635"/>
      <c r="L40" s="635"/>
      <c r="M40" s="635"/>
      <c r="N40" s="635"/>
      <c r="O40" s="635"/>
      <c r="P40" s="636"/>
      <c r="Q40" s="630"/>
      <c r="R40" s="140" t="s">
        <v>232</v>
      </c>
      <c r="S40" s="593"/>
      <c r="T40" s="593"/>
      <c r="U40" s="593"/>
      <c r="V40" s="593"/>
      <c r="W40" s="593"/>
      <c r="X40" s="594"/>
    </row>
    <row r="41" spans="2:24" ht="30" customHeight="1">
      <c r="B41" s="140" t="s">
        <v>275</v>
      </c>
      <c r="C41" s="623"/>
      <c r="D41" s="623"/>
      <c r="E41" s="623"/>
      <c r="F41" s="623"/>
      <c r="G41" s="623"/>
      <c r="H41" s="624"/>
      <c r="I41" s="489"/>
      <c r="J41" s="140" t="s">
        <v>276</v>
      </c>
      <c r="K41" s="623"/>
      <c r="L41" s="623"/>
      <c r="M41" s="623"/>
      <c r="N41" s="623"/>
      <c r="O41" s="623"/>
      <c r="P41" s="624"/>
      <c r="Q41" s="630"/>
      <c r="R41" s="140" t="s">
        <v>276</v>
      </c>
      <c r="S41" s="623"/>
      <c r="T41" s="623"/>
      <c r="U41" s="623"/>
      <c r="V41" s="623"/>
      <c r="W41" s="623"/>
      <c r="X41" s="624"/>
    </row>
    <row r="42" spans="2:24" ht="30" customHeight="1">
      <c r="B42" s="140" t="s">
        <v>277</v>
      </c>
      <c r="C42" s="625"/>
      <c r="D42" s="625"/>
      <c r="E42" s="625"/>
      <c r="F42" s="625"/>
      <c r="G42" s="625"/>
      <c r="H42" s="626"/>
      <c r="I42" s="489"/>
      <c r="J42" s="140" t="s">
        <v>277</v>
      </c>
      <c r="K42" s="625"/>
      <c r="L42" s="625"/>
      <c r="M42" s="625"/>
      <c r="N42" s="625"/>
      <c r="O42" s="625"/>
      <c r="P42" s="626"/>
      <c r="Q42" s="630"/>
      <c r="R42" s="140" t="s">
        <v>277</v>
      </c>
      <c r="S42" s="625"/>
      <c r="T42" s="625"/>
      <c r="U42" s="625"/>
      <c r="V42" s="625"/>
      <c r="W42" s="625"/>
      <c r="X42" s="626"/>
    </row>
    <row r="43" spans="2:24" ht="30" customHeight="1">
      <c r="B43" s="140" t="s">
        <v>278</v>
      </c>
      <c r="C43" s="623"/>
      <c r="D43" s="623"/>
      <c r="E43" s="623"/>
      <c r="F43" s="623"/>
      <c r="G43" s="623"/>
      <c r="H43" s="624"/>
      <c r="I43" s="489"/>
      <c r="J43" s="140" t="s">
        <v>278</v>
      </c>
      <c r="K43" s="623"/>
      <c r="L43" s="623"/>
      <c r="M43" s="623"/>
      <c r="N43" s="623"/>
      <c r="O43" s="623"/>
      <c r="P43" s="624"/>
      <c r="Q43" s="630"/>
      <c r="R43" s="140" t="s">
        <v>278</v>
      </c>
      <c r="S43" s="623"/>
      <c r="T43" s="623"/>
      <c r="U43" s="623"/>
      <c r="V43" s="623"/>
      <c r="W43" s="623"/>
      <c r="X43" s="624"/>
    </row>
    <row r="44" spans="2:24" ht="30" customHeight="1">
      <c r="B44" s="140" t="s">
        <v>279</v>
      </c>
      <c r="C44" s="595">
        <f>C42*C41*C43</f>
        <v>0</v>
      </c>
      <c r="D44" s="595"/>
      <c r="E44" s="595"/>
      <c r="F44" s="595"/>
      <c r="G44" s="595"/>
      <c r="H44" s="596"/>
      <c r="I44" s="489"/>
      <c r="J44" s="334" t="s">
        <v>279</v>
      </c>
      <c r="K44" s="621">
        <f>K42*K41*K43</f>
        <v>0</v>
      </c>
      <c r="L44" s="621"/>
      <c r="M44" s="621"/>
      <c r="N44" s="621"/>
      <c r="O44" s="621"/>
      <c r="P44" s="622"/>
      <c r="Q44" s="630"/>
      <c r="R44" s="334" t="s">
        <v>279</v>
      </c>
      <c r="S44" s="621">
        <f>S41*S42*S43</f>
        <v>0</v>
      </c>
      <c r="T44" s="621"/>
      <c r="U44" s="621"/>
      <c r="V44" s="621"/>
      <c r="W44" s="621"/>
      <c r="X44" s="622"/>
    </row>
    <row r="45" spans="2:24">
      <c r="B45" s="583" t="s">
        <v>280</v>
      </c>
      <c r="C45" s="584"/>
      <c r="D45" s="584"/>
      <c r="E45" s="584"/>
      <c r="F45" s="584"/>
      <c r="G45" s="584"/>
      <c r="H45" s="585"/>
      <c r="I45" s="489"/>
      <c r="J45" s="579" t="s">
        <v>281</v>
      </c>
      <c r="K45" s="580"/>
      <c r="L45" s="580"/>
      <c r="M45" s="580"/>
      <c r="N45" s="580"/>
      <c r="O45" s="580"/>
      <c r="P45" s="337"/>
      <c r="Q45" s="630"/>
      <c r="R45" s="618" t="s">
        <v>282</v>
      </c>
      <c r="S45" s="619"/>
      <c r="T45" s="619"/>
      <c r="U45" s="619"/>
      <c r="V45" s="619"/>
      <c r="W45" s="619"/>
      <c r="X45" s="620"/>
    </row>
    <row r="46" spans="2:24" ht="67.5" customHeight="1" thickBot="1">
      <c r="B46" s="83" t="s">
        <v>283</v>
      </c>
      <c r="C46" s="16" t="s">
        <v>284</v>
      </c>
      <c r="D46" s="16" t="s">
        <v>285</v>
      </c>
      <c r="E46" s="16" t="s">
        <v>286</v>
      </c>
      <c r="F46" s="16" t="s">
        <v>287</v>
      </c>
      <c r="G46" s="16" t="s">
        <v>288</v>
      </c>
      <c r="H46" s="34" t="s">
        <v>289</v>
      </c>
      <c r="I46" s="489"/>
      <c r="J46" s="83" t="s">
        <v>283</v>
      </c>
      <c r="K46" s="16" t="s">
        <v>284</v>
      </c>
      <c r="L46" s="16" t="s">
        <v>285</v>
      </c>
      <c r="M46" s="16" t="s">
        <v>286</v>
      </c>
      <c r="N46" s="16" t="s">
        <v>287</v>
      </c>
      <c r="O46" s="16" t="s">
        <v>288</v>
      </c>
      <c r="P46" s="34" t="s">
        <v>289</v>
      </c>
      <c r="Q46" s="630"/>
      <c r="R46" s="83" t="s">
        <v>283</v>
      </c>
      <c r="S46" s="16" t="s">
        <v>284</v>
      </c>
      <c r="T46" s="16" t="s">
        <v>285</v>
      </c>
      <c r="U46" s="16" t="s">
        <v>286</v>
      </c>
      <c r="V46" s="16" t="s">
        <v>287</v>
      </c>
      <c r="W46" s="16" t="s">
        <v>288</v>
      </c>
      <c r="X46" s="34" t="s">
        <v>289</v>
      </c>
    </row>
    <row r="47" spans="2:24">
      <c r="B47" s="615" t="s">
        <v>290</v>
      </c>
      <c r="C47" s="616"/>
      <c r="D47" s="616"/>
      <c r="E47" s="616"/>
      <c r="F47" s="616"/>
      <c r="G47" s="616"/>
      <c r="H47" s="617"/>
      <c r="I47" s="489"/>
      <c r="J47" s="581" t="s">
        <v>290</v>
      </c>
      <c r="K47" s="582"/>
      <c r="L47" s="582"/>
      <c r="M47" s="582"/>
      <c r="N47" s="582"/>
      <c r="O47" s="582"/>
      <c r="P47" s="338"/>
      <c r="Q47" s="630"/>
      <c r="R47" s="618" t="s">
        <v>290</v>
      </c>
      <c r="S47" s="619"/>
      <c r="T47" s="619"/>
      <c r="U47" s="619"/>
      <c r="V47" s="619"/>
      <c r="W47" s="619"/>
      <c r="X47" s="620"/>
    </row>
    <row r="48" spans="2:24">
      <c r="B48" s="120" t="s">
        <v>291</v>
      </c>
      <c r="C48" s="328"/>
      <c r="D48" s="307">
        <f>C48*$C$44</f>
        <v>0</v>
      </c>
      <c r="E48" s="307">
        <f t="shared" ref="E48:E73" si="1">D48*D89</f>
        <v>0</v>
      </c>
      <c r="F48" s="329" t="e">
        <f t="shared" ref="F48:F74" si="2">E48/$E$82</f>
        <v>#DIV/0!</v>
      </c>
      <c r="G48" s="328"/>
      <c r="H48" s="366">
        <f>D48*G48</f>
        <v>0</v>
      </c>
      <c r="I48" s="489"/>
      <c r="J48" s="120" t="s">
        <v>291</v>
      </c>
      <c r="K48" s="343"/>
      <c r="L48" s="307">
        <f t="shared" ref="L48:L74" si="3">K48*$K$44</f>
        <v>0</v>
      </c>
      <c r="M48" s="122">
        <f t="shared" ref="M48:M72" si="4">L48*D89</f>
        <v>0</v>
      </c>
      <c r="N48" s="329" t="e">
        <f t="shared" ref="N48:N74" si="5">M48/$M$82</f>
        <v>#DIV/0!</v>
      </c>
      <c r="O48" s="328"/>
      <c r="P48" s="366">
        <f>L48*O48</f>
        <v>0</v>
      </c>
      <c r="Q48" s="630"/>
      <c r="R48" s="120" t="s">
        <v>291</v>
      </c>
      <c r="S48" s="330"/>
      <c r="T48" s="310">
        <f t="shared" ref="T48:T74" si="6">S48*$S$44</f>
        <v>0</v>
      </c>
      <c r="U48" s="310">
        <f t="shared" ref="U48:U73" si="7">T48*D89</f>
        <v>0</v>
      </c>
      <c r="V48" s="332" t="e">
        <f t="shared" ref="V48:V74" si="8">U48/$U$82</f>
        <v>#DIV/0!</v>
      </c>
      <c r="W48" s="330"/>
      <c r="X48" s="366">
        <f>T48*W48</f>
        <v>0</v>
      </c>
    </row>
    <row r="49" spans="2:24">
      <c r="B49" s="120" t="s">
        <v>292</v>
      </c>
      <c r="C49" s="328"/>
      <c r="D49" s="307">
        <f t="shared" ref="D49:D74" si="9">C49*$C$44</f>
        <v>0</v>
      </c>
      <c r="E49" s="307">
        <f t="shared" si="1"/>
        <v>0</v>
      </c>
      <c r="F49" s="329" t="e">
        <f t="shared" si="2"/>
        <v>#DIV/0!</v>
      </c>
      <c r="G49" s="328"/>
      <c r="H49" s="366">
        <f t="shared" ref="H49:H77" si="10">D49*G49</f>
        <v>0</v>
      </c>
      <c r="I49" s="489"/>
      <c r="J49" s="120" t="s">
        <v>292</v>
      </c>
      <c r="K49" s="343"/>
      <c r="L49" s="307">
        <f t="shared" si="3"/>
        <v>0</v>
      </c>
      <c r="M49" s="122">
        <f t="shared" si="4"/>
        <v>0</v>
      </c>
      <c r="N49" s="329" t="e">
        <f t="shared" si="5"/>
        <v>#DIV/0!</v>
      </c>
      <c r="O49" s="328"/>
      <c r="P49" s="366">
        <f t="shared" ref="P49:P77" si="11">L49*O49</f>
        <v>0</v>
      </c>
      <c r="Q49" s="630"/>
      <c r="R49" s="120" t="s">
        <v>292</v>
      </c>
      <c r="S49" s="330"/>
      <c r="T49" s="310">
        <f t="shared" si="6"/>
        <v>0</v>
      </c>
      <c r="U49" s="310">
        <f t="shared" si="7"/>
        <v>0</v>
      </c>
      <c r="V49" s="332" t="e">
        <f t="shared" si="8"/>
        <v>#DIV/0!</v>
      </c>
      <c r="W49" s="330"/>
      <c r="X49" s="366">
        <f t="shared" ref="X49:X77" si="12">T49*W49</f>
        <v>0</v>
      </c>
    </row>
    <row r="50" spans="2:24">
      <c r="B50" s="120" t="s">
        <v>293</v>
      </c>
      <c r="C50" s="328"/>
      <c r="D50" s="307">
        <f t="shared" si="9"/>
        <v>0</v>
      </c>
      <c r="E50" s="307">
        <f t="shared" si="1"/>
        <v>0</v>
      </c>
      <c r="F50" s="329" t="e">
        <f t="shared" si="2"/>
        <v>#DIV/0!</v>
      </c>
      <c r="G50" s="328"/>
      <c r="H50" s="366">
        <f t="shared" si="10"/>
        <v>0</v>
      </c>
      <c r="I50" s="489"/>
      <c r="J50" s="120" t="s">
        <v>293</v>
      </c>
      <c r="K50" s="343"/>
      <c r="L50" s="307">
        <f t="shared" si="3"/>
        <v>0</v>
      </c>
      <c r="M50" s="122">
        <f t="shared" si="4"/>
        <v>0</v>
      </c>
      <c r="N50" s="329" t="e">
        <f t="shared" si="5"/>
        <v>#DIV/0!</v>
      </c>
      <c r="O50" s="328"/>
      <c r="P50" s="366">
        <f t="shared" si="11"/>
        <v>0</v>
      </c>
      <c r="Q50" s="630"/>
      <c r="R50" s="120" t="s">
        <v>293</v>
      </c>
      <c r="S50" s="330"/>
      <c r="T50" s="310">
        <f t="shared" si="6"/>
        <v>0</v>
      </c>
      <c r="U50" s="310">
        <f t="shared" si="7"/>
        <v>0</v>
      </c>
      <c r="V50" s="332" t="e">
        <f t="shared" si="8"/>
        <v>#DIV/0!</v>
      </c>
      <c r="W50" s="330"/>
      <c r="X50" s="366">
        <f t="shared" si="12"/>
        <v>0</v>
      </c>
    </row>
    <row r="51" spans="2:24">
      <c r="B51" s="120" t="s">
        <v>294</v>
      </c>
      <c r="C51" s="328"/>
      <c r="D51" s="307">
        <f t="shared" si="9"/>
        <v>0</v>
      </c>
      <c r="E51" s="307">
        <f t="shared" si="1"/>
        <v>0</v>
      </c>
      <c r="F51" s="329" t="e">
        <f t="shared" si="2"/>
        <v>#DIV/0!</v>
      </c>
      <c r="G51" s="328"/>
      <c r="H51" s="366">
        <f t="shared" si="10"/>
        <v>0</v>
      </c>
      <c r="I51" s="489"/>
      <c r="J51" s="120" t="s">
        <v>294</v>
      </c>
      <c r="K51" s="343"/>
      <c r="L51" s="307">
        <f t="shared" si="3"/>
        <v>0</v>
      </c>
      <c r="M51" s="122">
        <f t="shared" si="4"/>
        <v>0</v>
      </c>
      <c r="N51" s="329" t="e">
        <f t="shared" si="5"/>
        <v>#DIV/0!</v>
      </c>
      <c r="O51" s="328"/>
      <c r="P51" s="366">
        <f t="shared" si="11"/>
        <v>0</v>
      </c>
      <c r="Q51" s="630"/>
      <c r="R51" s="120" t="s">
        <v>294</v>
      </c>
      <c r="S51" s="330"/>
      <c r="T51" s="310">
        <f t="shared" si="6"/>
        <v>0</v>
      </c>
      <c r="U51" s="310">
        <f t="shared" si="7"/>
        <v>0</v>
      </c>
      <c r="V51" s="332" t="e">
        <f t="shared" si="8"/>
        <v>#DIV/0!</v>
      </c>
      <c r="W51" s="330"/>
      <c r="X51" s="366">
        <f t="shared" si="12"/>
        <v>0</v>
      </c>
    </row>
    <row r="52" spans="2:24">
      <c r="B52" s="120" t="s">
        <v>295</v>
      </c>
      <c r="C52" s="328"/>
      <c r="D52" s="307">
        <f t="shared" si="9"/>
        <v>0</v>
      </c>
      <c r="E52" s="307">
        <f t="shared" si="1"/>
        <v>0</v>
      </c>
      <c r="F52" s="329" t="e">
        <f t="shared" si="2"/>
        <v>#DIV/0!</v>
      </c>
      <c r="G52" s="328"/>
      <c r="H52" s="366">
        <f t="shared" si="10"/>
        <v>0</v>
      </c>
      <c r="I52" s="489"/>
      <c r="J52" s="120" t="s">
        <v>295</v>
      </c>
      <c r="K52" s="343"/>
      <c r="L52" s="307">
        <f t="shared" si="3"/>
        <v>0</v>
      </c>
      <c r="M52" s="122">
        <f t="shared" si="4"/>
        <v>0</v>
      </c>
      <c r="N52" s="329" t="e">
        <f t="shared" si="5"/>
        <v>#DIV/0!</v>
      </c>
      <c r="O52" s="328"/>
      <c r="P52" s="366">
        <f t="shared" si="11"/>
        <v>0</v>
      </c>
      <c r="Q52" s="630"/>
      <c r="R52" s="120" t="s">
        <v>295</v>
      </c>
      <c r="S52" s="330"/>
      <c r="T52" s="310">
        <f t="shared" si="6"/>
        <v>0</v>
      </c>
      <c r="U52" s="310">
        <f t="shared" si="7"/>
        <v>0</v>
      </c>
      <c r="V52" s="332" t="e">
        <f t="shared" si="8"/>
        <v>#DIV/0!</v>
      </c>
      <c r="W52" s="330"/>
      <c r="X52" s="366">
        <f t="shared" si="12"/>
        <v>0</v>
      </c>
    </row>
    <row r="53" spans="2:24">
      <c r="B53" s="120" t="s">
        <v>296</v>
      </c>
      <c r="C53" s="328"/>
      <c r="D53" s="307">
        <f t="shared" si="9"/>
        <v>0</v>
      </c>
      <c r="E53" s="307">
        <f t="shared" si="1"/>
        <v>0</v>
      </c>
      <c r="F53" s="329" t="e">
        <f t="shared" si="2"/>
        <v>#DIV/0!</v>
      </c>
      <c r="G53" s="328"/>
      <c r="H53" s="366">
        <f t="shared" si="10"/>
        <v>0</v>
      </c>
      <c r="I53" s="489"/>
      <c r="J53" s="120" t="s">
        <v>296</v>
      </c>
      <c r="K53" s="343"/>
      <c r="L53" s="307">
        <f t="shared" si="3"/>
        <v>0</v>
      </c>
      <c r="M53" s="122">
        <f t="shared" si="4"/>
        <v>0</v>
      </c>
      <c r="N53" s="329" t="e">
        <f t="shared" si="5"/>
        <v>#DIV/0!</v>
      </c>
      <c r="O53" s="328"/>
      <c r="P53" s="366">
        <f t="shared" si="11"/>
        <v>0</v>
      </c>
      <c r="Q53" s="630"/>
      <c r="R53" s="120" t="s">
        <v>296</v>
      </c>
      <c r="S53" s="330"/>
      <c r="T53" s="310">
        <f t="shared" si="6"/>
        <v>0</v>
      </c>
      <c r="U53" s="310">
        <f t="shared" si="7"/>
        <v>0</v>
      </c>
      <c r="V53" s="332" t="e">
        <f t="shared" si="8"/>
        <v>#DIV/0!</v>
      </c>
      <c r="W53" s="330"/>
      <c r="X53" s="366">
        <f t="shared" si="12"/>
        <v>0</v>
      </c>
    </row>
    <row r="54" spans="2:24">
      <c r="B54" s="120" t="s">
        <v>297</v>
      </c>
      <c r="C54" s="328"/>
      <c r="D54" s="307">
        <f t="shared" si="9"/>
        <v>0</v>
      </c>
      <c r="E54" s="307">
        <f t="shared" si="1"/>
        <v>0</v>
      </c>
      <c r="F54" s="329" t="e">
        <f t="shared" si="2"/>
        <v>#DIV/0!</v>
      </c>
      <c r="G54" s="328"/>
      <c r="H54" s="366">
        <f t="shared" si="10"/>
        <v>0</v>
      </c>
      <c r="I54" s="489"/>
      <c r="J54" s="120" t="s">
        <v>297</v>
      </c>
      <c r="K54" s="343"/>
      <c r="L54" s="307">
        <f t="shared" si="3"/>
        <v>0</v>
      </c>
      <c r="M54" s="122">
        <f t="shared" si="4"/>
        <v>0</v>
      </c>
      <c r="N54" s="329" t="e">
        <f t="shared" si="5"/>
        <v>#DIV/0!</v>
      </c>
      <c r="O54" s="328"/>
      <c r="P54" s="366">
        <f t="shared" si="11"/>
        <v>0</v>
      </c>
      <c r="Q54" s="630"/>
      <c r="R54" s="120" t="s">
        <v>297</v>
      </c>
      <c r="S54" s="330"/>
      <c r="T54" s="310">
        <f t="shared" si="6"/>
        <v>0</v>
      </c>
      <c r="U54" s="310">
        <f t="shared" si="7"/>
        <v>0</v>
      </c>
      <c r="V54" s="332" t="e">
        <f t="shared" si="8"/>
        <v>#DIV/0!</v>
      </c>
      <c r="W54" s="330"/>
      <c r="X54" s="366">
        <f t="shared" si="12"/>
        <v>0</v>
      </c>
    </row>
    <row r="55" spans="2:24">
      <c r="B55" s="120" t="s">
        <v>298</v>
      </c>
      <c r="C55" s="328"/>
      <c r="D55" s="307">
        <f t="shared" si="9"/>
        <v>0</v>
      </c>
      <c r="E55" s="307">
        <f t="shared" si="1"/>
        <v>0</v>
      </c>
      <c r="F55" s="329" t="e">
        <f t="shared" si="2"/>
        <v>#DIV/0!</v>
      </c>
      <c r="G55" s="328"/>
      <c r="H55" s="366">
        <f t="shared" si="10"/>
        <v>0</v>
      </c>
      <c r="I55" s="489"/>
      <c r="J55" s="120" t="s">
        <v>298</v>
      </c>
      <c r="K55" s="343"/>
      <c r="L55" s="307">
        <f t="shared" si="3"/>
        <v>0</v>
      </c>
      <c r="M55" s="122">
        <f t="shared" si="4"/>
        <v>0</v>
      </c>
      <c r="N55" s="329" t="e">
        <f t="shared" si="5"/>
        <v>#DIV/0!</v>
      </c>
      <c r="O55" s="328"/>
      <c r="P55" s="366">
        <f t="shared" si="11"/>
        <v>0</v>
      </c>
      <c r="Q55" s="630"/>
      <c r="R55" s="120" t="s">
        <v>298</v>
      </c>
      <c r="S55" s="330"/>
      <c r="T55" s="310">
        <f t="shared" si="6"/>
        <v>0</v>
      </c>
      <c r="U55" s="310">
        <f t="shared" si="7"/>
        <v>0</v>
      </c>
      <c r="V55" s="332" t="e">
        <f t="shared" si="8"/>
        <v>#DIV/0!</v>
      </c>
      <c r="W55" s="330"/>
      <c r="X55" s="366">
        <f t="shared" si="12"/>
        <v>0</v>
      </c>
    </row>
    <row r="56" spans="2:24">
      <c r="B56" s="120" t="s">
        <v>299</v>
      </c>
      <c r="C56" s="328"/>
      <c r="D56" s="307">
        <f t="shared" si="9"/>
        <v>0</v>
      </c>
      <c r="E56" s="307">
        <f t="shared" si="1"/>
        <v>0</v>
      </c>
      <c r="F56" s="329" t="e">
        <f t="shared" si="2"/>
        <v>#DIV/0!</v>
      </c>
      <c r="G56" s="328"/>
      <c r="H56" s="366">
        <f t="shared" si="10"/>
        <v>0</v>
      </c>
      <c r="I56" s="489"/>
      <c r="J56" s="120" t="s">
        <v>299</v>
      </c>
      <c r="K56" s="343"/>
      <c r="L56" s="307">
        <f t="shared" si="3"/>
        <v>0</v>
      </c>
      <c r="M56" s="122">
        <f t="shared" si="4"/>
        <v>0</v>
      </c>
      <c r="N56" s="329" t="e">
        <f t="shared" si="5"/>
        <v>#DIV/0!</v>
      </c>
      <c r="O56" s="328"/>
      <c r="P56" s="366">
        <f t="shared" si="11"/>
        <v>0</v>
      </c>
      <c r="Q56" s="630"/>
      <c r="R56" s="120" t="s">
        <v>299</v>
      </c>
      <c r="S56" s="330"/>
      <c r="T56" s="310">
        <f t="shared" si="6"/>
        <v>0</v>
      </c>
      <c r="U56" s="310">
        <f t="shared" si="7"/>
        <v>0</v>
      </c>
      <c r="V56" s="332" t="e">
        <f t="shared" si="8"/>
        <v>#DIV/0!</v>
      </c>
      <c r="W56" s="330"/>
      <c r="X56" s="366">
        <f t="shared" si="12"/>
        <v>0</v>
      </c>
    </row>
    <row r="57" spans="2:24">
      <c r="B57" s="120" t="s">
        <v>300</v>
      </c>
      <c r="C57" s="328"/>
      <c r="D57" s="307">
        <f t="shared" si="9"/>
        <v>0</v>
      </c>
      <c r="E57" s="307">
        <f t="shared" si="1"/>
        <v>0</v>
      </c>
      <c r="F57" s="329" t="e">
        <f t="shared" si="2"/>
        <v>#DIV/0!</v>
      </c>
      <c r="G57" s="328"/>
      <c r="H57" s="366">
        <f t="shared" si="10"/>
        <v>0</v>
      </c>
      <c r="I57" s="489"/>
      <c r="J57" s="120" t="s">
        <v>300</v>
      </c>
      <c r="K57" s="343"/>
      <c r="L57" s="307">
        <f t="shared" si="3"/>
        <v>0</v>
      </c>
      <c r="M57" s="122">
        <f t="shared" si="4"/>
        <v>0</v>
      </c>
      <c r="N57" s="329" t="e">
        <f t="shared" si="5"/>
        <v>#DIV/0!</v>
      </c>
      <c r="O57" s="328"/>
      <c r="P57" s="366">
        <f t="shared" si="11"/>
        <v>0</v>
      </c>
      <c r="Q57" s="630"/>
      <c r="R57" s="120" t="s">
        <v>300</v>
      </c>
      <c r="S57" s="330"/>
      <c r="T57" s="310">
        <f t="shared" si="6"/>
        <v>0</v>
      </c>
      <c r="U57" s="310">
        <f t="shared" si="7"/>
        <v>0</v>
      </c>
      <c r="V57" s="332" t="e">
        <f t="shared" si="8"/>
        <v>#DIV/0!</v>
      </c>
      <c r="W57" s="330"/>
      <c r="X57" s="366">
        <f t="shared" si="12"/>
        <v>0</v>
      </c>
    </row>
    <row r="58" spans="2:24">
      <c r="B58" s="120" t="s">
        <v>301</v>
      </c>
      <c r="C58" s="328"/>
      <c r="D58" s="307">
        <f t="shared" si="9"/>
        <v>0</v>
      </c>
      <c r="E58" s="307">
        <f t="shared" si="1"/>
        <v>0</v>
      </c>
      <c r="F58" s="329" t="e">
        <f t="shared" si="2"/>
        <v>#DIV/0!</v>
      </c>
      <c r="G58" s="328"/>
      <c r="H58" s="366">
        <f t="shared" si="10"/>
        <v>0</v>
      </c>
      <c r="I58" s="489"/>
      <c r="J58" s="120" t="s">
        <v>301</v>
      </c>
      <c r="K58" s="343"/>
      <c r="L58" s="307">
        <f t="shared" si="3"/>
        <v>0</v>
      </c>
      <c r="M58" s="122">
        <f t="shared" si="4"/>
        <v>0</v>
      </c>
      <c r="N58" s="329" t="e">
        <f t="shared" si="5"/>
        <v>#DIV/0!</v>
      </c>
      <c r="O58" s="328"/>
      <c r="P58" s="366">
        <f t="shared" si="11"/>
        <v>0</v>
      </c>
      <c r="Q58" s="630"/>
      <c r="R58" s="120" t="s">
        <v>301</v>
      </c>
      <c r="S58" s="330"/>
      <c r="T58" s="310">
        <f t="shared" si="6"/>
        <v>0</v>
      </c>
      <c r="U58" s="310">
        <f t="shared" si="7"/>
        <v>0</v>
      </c>
      <c r="V58" s="332" t="e">
        <f t="shared" si="8"/>
        <v>#DIV/0!</v>
      </c>
      <c r="W58" s="330"/>
      <c r="X58" s="366">
        <f t="shared" si="12"/>
        <v>0</v>
      </c>
    </row>
    <row r="59" spans="2:24">
      <c r="B59" s="120" t="s">
        <v>302</v>
      </c>
      <c r="C59" s="328"/>
      <c r="D59" s="307">
        <f t="shared" si="9"/>
        <v>0</v>
      </c>
      <c r="E59" s="307">
        <f t="shared" si="1"/>
        <v>0</v>
      </c>
      <c r="F59" s="329" t="e">
        <f t="shared" si="2"/>
        <v>#DIV/0!</v>
      </c>
      <c r="G59" s="328"/>
      <c r="H59" s="366">
        <f t="shared" si="10"/>
        <v>0</v>
      </c>
      <c r="I59" s="489"/>
      <c r="J59" s="120" t="s">
        <v>302</v>
      </c>
      <c r="K59" s="343"/>
      <c r="L59" s="307">
        <f t="shared" si="3"/>
        <v>0</v>
      </c>
      <c r="M59" s="122">
        <f t="shared" si="4"/>
        <v>0</v>
      </c>
      <c r="N59" s="329" t="e">
        <f t="shared" si="5"/>
        <v>#DIV/0!</v>
      </c>
      <c r="O59" s="328"/>
      <c r="P59" s="366">
        <f t="shared" si="11"/>
        <v>0</v>
      </c>
      <c r="Q59" s="630"/>
      <c r="R59" s="120" t="s">
        <v>302</v>
      </c>
      <c r="S59" s="330"/>
      <c r="T59" s="310">
        <f t="shared" si="6"/>
        <v>0</v>
      </c>
      <c r="U59" s="310">
        <f t="shared" si="7"/>
        <v>0</v>
      </c>
      <c r="V59" s="332" t="e">
        <f t="shared" si="8"/>
        <v>#DIV/0!</v>
      </c>
      <c r="W59" s="330"/>
      <c r="X59" s="366">
        <f t="shared" si="12"/>
        <v>0</v>
      </c>
    </row>
    <row r="60" spans="2:24">
      <c r="B60" s="120" t="s">
        <v>303</v>
      </c>
      <c r="C60" s="328"/>
      <c r="D60" s="307">
        <f t="shared" si="9"/>
        <v>0</v>
      </c>
      <c r="E60" s="307">
        <f t="shared" si="1"/>
        <v>0</v>
      </c>
      <c r="F60" s="329" t="e">
        <f t="shared" si="2"/>
        <v>#DIV/0!</v>
      </c>
      <c r="G60" s="328"/>
      <c r="H60" s="366">
        <f t="shared" si="10"/>
        <v>0</v>
      </c>
      <c r="I60" s="489"/>
      <c r="J60" s="120" t="s">
        <v>303</v>
      </c>
      <c r="K60" s="343"/>
      <c r="L60" s="307">
        <f t="shared" si="3"/>
        <v>0</v>
      </c>
      <c r="M60" s="122">
        <f t="shared" si="4"/>
        <v>0</v>
      </c>
      <c r="N60" s="329" t="e">
        <f t="shared" si="5"/>
        <v>#DIV/0!</v>
      </c>
      <c r="O60" s="328"/>
      <c r="P60" s="366">
        <f t="shared" si="11"/>
        <v>0</v>
      </c>
      <c r="Q60" s="630"/>
      <c r="R60" s="120" t="s">
        <v>303</v>
      </c>
      <c r="S60" s="330"/>
      <c r="T60" s="310">
        <f t="shared" si="6"/>
        <v>0</v>
      </c>
      <c r="U60" s="310">
        <f t="shared" si="7"/>
        <v>0</v>
      </c>
      <c r="V60" s="332" t="e">
        <f t="shared" si="8"/>
        <v>#DIV/0!</v>
      </c>
      <c r="W60" s="330"/>
      <c r="X60" s="366">
        <f t="shared" si="12"/>
        <v>0</v>
      </c>
    </row>
    <row r="61" spans="2:24">
      <c r="B61" s="120" t="s">
        <v>304</v>
      </c>
      <c r="C61" s="328"/>
      <c r="D61" s="307">
        <f t="shared" si="9"/>
        <v>0</v>
      </c>
      <c r="E61" s="307">
        <f t="shared" si="1"/>
        <v>0</v>
      </c>
      <c r="F61" s="329" t="e">
        <f t="shared" si="2"/>
        <v>#DIV/0!</v>
      </c>
      <c r="G61" s="328"/>
      <c r="H61" s="366">
        <f t="shared" si="10"/>
        <v>0</v>
      </c>
      <c r="I61" s="489"/>
      <c r="J61" s="120" t="s">
        <v>304</v>
      </c>
      <c r="K61" s="343"/>
      <c r="L61" s="307">
        <f t="shared" si="3"/>
        <v>0</v>
      </c>
      <c r="M61" s="122">
        <f t="shared" si="4"/>
        <v>0</v>
      </c>
      <c r="N61" s="329" t="e">
        <f t="shared" si="5"/>
        <v>#DIV/0!</v>
      </c>
      <c r="O61" s="328"/>
      <c r="P61" s="366">
        <f t="shared" si="11"/>
        <v>0</v>
      </c>
      <c r="Q61" s="630"/>
      <c r="R61" s="120" t="s">
        <v>304</v>
      </c>
      <c r="S61" s="330"/>
      <c r="T61" s="310">
        <f t="shared" si="6"/>
        <v>0</v>
      </c>
      <c r="U61" s="310">
        <f t="shared" si="7"/>
        <v>0</v>
      </c>
      <c r="V61" s="332" t="e">
        <f t="shared" si="8"/>
        <v>#DIV/0!</v>
      </c>
      <c r="W61" s="330"/>
      <c r="X61" s="366">
        <f t="shared" si="12"/>
        <v>0</v>
      </c>
    </row>
    <row r="62" spans="2:24" s="116" customFormat="1">
      <c r="B62" s="120" t="s">
        <v>305</v>
      </c>
      <c r="C62" s="328"/>
      <c r="D62" s="307">
        <f t="shared" si="9"/>
        <v>0</v>
      </c>
      <c r="E62" s="307">
        <f t="shared" si="1"/>
        <v>0</v>
      </c>
      <c r="F62" s="329" t="e">
        <f t="shared" si="2"/>
        <v>#DIV/0!</v>
      </c>
      <c r="G62" s="328"/>
      <c r="H62" s="366">
        <f t="shared" si="10"/>
        <v>0</v>
      </c>
      <c r="I62" s="489"/>
      <c r="J62" s="120" t="s">
        <v>305</v>
      </c>
      <c r="K62" s="343"/>
      <c r="L62" s="307">
        <f t="shared" si="3"/>
        <v>0</v>
      </c>
      <c r="M62" s="122">
        <f t="shared" si="4"/>
        <v>0</v>
      </c>
      <c r="N62" s="329" t="e">
        <f t="shared" si="5"/>
        <v>#DIV/0!</v>
      </c>
      <c r="O62" s="328"/>
      <c r="P62" s="366">
        <f t="shared" si="11"/>
        <v>0</v>
      </c>
      <c r="Q62" s="630"/>
      <c r="R62" s="120" t="s">
        <v>305</v>
      </c>
      <c r="S62" s="330"/>
      <c r="T62" s="310">
        <f t="shared" si="6"/>
        <v>0</v>
      </c>
      <c r="U62" s="310">
        <f t="shared" si="7"/>
        <v>0</v>
      </c>
      <c r="V62" s="332" t="e">
        <f t="shared" si="8"/>
        <v>#DIV/0!</v>
      </c>
      <c r="W62" s="330"/>
      <c r="X62" s="366">
        <f t="shared" si="12"/>
        <v>0</v>
      </c>
    </row>
    <row r="63" spans="2:24" s="116" customFormat="1" ht="13.9" customHeight="1">
      <c r="B63" s="120" t="s">
        <v>306</v>
      </c>
      <c r="C63" s="328"/>
      <c r="D63" s="307">
        <f t="shared" si="9"/>
        <v>0</v>
      </c>
      <c r="E63" s="307">
        <f t="shared" si="1"/>
        <v>0</v>
      </c>
      <c r="F63" s="329" t="e">
        <f t="shared" si="2"/>
        <v>#DIV/0!</v>
      </c>
      <c r="G63" s="328"/>
      <c r="H63" s="366">
        <f t="shared" si="10"/>
        <v>0</v>
      </c>
      <c r="I63" s="489"/>
      <c r="J63" s="120" t="s">
        <v>306</v>
      </c>
      <c r="K63" s="343"/>
      <c r="L63" s="307">
        <f t="shared" si="3"/>
        <v>0</v>
      </c>
      <c r="M63" s="122">
        <f t="shared" si="4"/>
        <v>0</v>
      </c>
      <c r="N63" s="329" t="e">
        <f t="shared" si="5"/>
        <v>#DIV/0!</v>
      </c>
      <c r="O63" s="328"/>
      <c r="P63" s="366">
        <f t="shared" si="11"/>
        <v>0</v>
      </c>
      <c r="Q63" s="630"/>
      <c r="R63" s="120" t="s">
        <v>306</v>
      </c>
      <c r="S63" s="330"/>
      <c r="T63" s="310">
        <f t="shared" si="6"/>
        <v>0</v>
      </c>
      <c r="U63" s="310">
        <f t="shared" si="7"/>
        <v>0</v>
      </c>
      <c r="V63" s="332" t="e">
        <f t="shared" si="8"/>
        <v>#DIV/0!</v>
      </c>
      <c r="W63" s="330"/>
      <c r="X63" s="366">
        <f t="shared" si="12"/>
        <v>0</v>
      </c>
    </row>
    <row r="64" spans="2:24" s="117" customFormat="1">
      <c r="B64" s="120" t="s">
        <v>307</v>
      </c>
      <c r="C64" s="328"/>
      <c r="D64" s="307">
        <f t="shared" si="9"/>
        <v>0</v>
      </c>
      <c r="E64" s="307">
        <f t="shared" si="1"/>
        <v>0</v>
      </c>
      <c r="F64" s="329" t="e">
        <f t="shared" si="2"/>
        <v>#DIV/0!</v>
      </c>
      <c r="G64" s="328"/>
      <c r="H64" s="366">
        <f t="shared" si="10"/>
        <v>0</v>
      </c>
      <c r="I64" s="489"/>
      <c r="J64" s="120" t="s">
        <v>307</v>
      </c>
      <c r="K64" s="343"/>
      <c r="L64" s="307">
        <f t="shared" si="3"/>
        <v>0</v>
      </c>
      <c r="M64" s="122">
        <f t="shared" si="4"/>
        <v>0</v>
      </c>
      <c r="N64" s="329" t="e">
        <f t="shared" si="5"/>
        <v>#DIV/0!</v>
      </c>
      <c r="O64" s="328"/>
      <c r="P64" s="366">
        <f t="shared" si="11"/>
        <v>0</v>
      </c>
      <c r="Q64" s="630"/>
      <c r="R64" s="120" t="s">
        <v>307</v>
      </c>
      <c r="S64" s="330"/>
      <c r="T64" s="310">
        <f t="shared" si="6"/>
        <v>0</v>
      </c>
      <c r="U64" s="310">
        <f t="shared" si="7"/>
        <v>0</v>
      </c>
      <c r="V64" s="332" t="e">
        <f t="shared" si="8"/>
        <v>#DIV/0!</v>
      </c>
      <c r="W64" s="330"/>
      <c r="X64" s="366">
        <f t="shared" si="12"/>
        <v>0</v>
      </c>
    </row>
    <row r="65" spans="2:24" s="117" customFormat="1">
      <c r="B65" s="120" t="s">
        <v>308</v>
      </c>
      <c r="C65" s="328"/>
      <c r="D65" s="307">
        <f t="shared" si="9"/>
        <v>0</v>
      </c>
      <c r="E65" s="307">
        <f t="shared" si="1"/>
        <v>0</v>
      </c>
      <c r="F65" s="329" t="e">
        <f t="shared" si="2"/>
        <v>#DIV/0!</v>
      </c>
      <c r="G65" s="328"/>
      <c r="H65" s="366">
        <f t="shared" si="10"/>
        <v>0</v>
      </c>
      <c r="I65" s="489"/>
      <c r="J65" s="120" t="s">
        <v>308</v>
      </c>
      <c r="K65" s="343"/>
      <c r="L65" s="307">
        <f t="shared" si="3"/>
        <v>0</v>
      </c>
      <c r="M65" s="122">
        <f t="shared" si="4"/>
        <v>0</v>
      </c>
      <c r="N65" s="329" t="e">
        <f t="shared" si="5"/>
        <v>#DIV/0!</v>
      </c>
      <c r="O65" s="328"/>
      <c r="P65" s="366">
        <f t="shared" si="11"/>
        <v>0</v>
      </c>
      <c r="Q65" s="630"/>
      <c r="R65" s="120" t="s">
        <v>308</v>
      </c>
      <c r="S65" s="330"/>
      <c r="T65" s="310">
        <f t="shared" si="6"/>
        <v>0</v>
      </c>
      <c r="U65" s="310">
        <f t="shared" si="7"/>
        <v>0</v>
      </c>
      <c r="V65" s="332" t="e">
        <f t="shared" si="8"/>
        <v>#DIV/0!</v>
      </c>
      <c r="W65" s="330"/>
      <c r="X65" s="366">
        <f t="shared" si="12"/>
        <v>0</v>
      </c>
    </row>
    <row r="66" spans="2:24" s="117" customFormat="1">
      <c r="B66" s="120" t="s">
        <v>309</v>
      </c>
      <c r="C66" s="328"/>
      <c r="D66" s="307">
        <f t="shared" si="9"/>
        <v>0</v>
      </c>
      <c r="E66" s="307">
        <f t="shared" si="1"/>
        <v>0</v>
      </c>
      <c r="F66" s="329" t="e">
        <f t="shared" si="2"/>
        <v>#DIV/0!</v>
      </c>
      <c r="G66" s="328"/>
      <c r="H66" s="366">
        <f t="shared" si="10"/>
        <v>0</v>
      </c>
      <c r="I66" s="489"/>
      <c r="J66" s="120" t="s">
        <v>309</v>
      </c>
      <c r="K66" s="343"/>
      <c r="L66" s="307">
        <f t="shared" si="3"/>
        <v>0</v>
      </c>
      <c r="M66" s="122">
        <f t="shared" si="4"/>
        <v>0</v>
      </c>
      <c r="N66" s="329" t="e">
        <f t="shared" si="5"/>
        <v>#DIV/0!</v>
      </c>
      <c r="O66" s="328"/>
      <c r="P66" s="366">
        <f t="shared" si="11"/>
        <v>0</v>
      </c>
      <c r="Q66" s="630"/>
      <c r="R66" s="120" t="s">
        <v>309</v>
      </c>
      <c r="S66" s="330"/>
      <c r="T66" s="310">
        <f t="shared" si="6"/>
        <v>0</v>
      </c>
      <c r="U66" s="310">
        <f t="shared" si="7"/>
        <v>0</v>
      </c>
      <c r="V66" s="332" t="e">
        <f t="shared" si="8"/>
        <v>#DIV/0!</v>
      </c>
      <c r="W66" s="330"/>
      <c r="X66" s="366">
        <f t="shared" si="12"/>
        <v>0</v>
      </c>
    </row>
    <row r="67" spans="2:24" s="117" customFormat="1">
      <c r="B67" s="120" t="s">
        <v>310</v>
      </c>
      <c r="C67" s="328"/>
      <c r="D67" s="307">
        <f t="shared" si="9"/>
        <v>0</v>
      </c>
      <c r="E67" s="307">
        <f t="shared" si="1"/>
        <v>0</v>
      </c>
      <c r="F67" s="329" t="e">
        <f t="shared" si="2"/>
        <v>#DIV/0!</v>
      </c>
      <c r="G67" s="328"/>
      <c r="H67" s="366">
        <f t="shared" si="10"/>
        <v>0</v>
      </c>
      <c r="I67" s="489"/>
      <c r="J67" s="120" t="s">
        <v>310</v>
      </c>
      <c r="K67" s="343"/>
      <c r="L67" s="307">
        <f t="shared" si="3"/>
        <v>0</v>
      </c>
      <c r="M67" s="122">
        <f t="shared" si="4"/>
        <v>0</v>
      </c>
      <c r="N67" s="329" t="e">
        <f t="shared" si="5"/>
        <v>#DIV/0!</v>
      </c>
      <c r="O67" s="328"/>
      <c r="P67" s="366">
        <f t="shared" si="11"/>
        <v>0</v>
      </c>
      <c r="Q67" s="630"/>
      <c r="R67" s="120" t="s">
        <v>310</v>
      </c>
      <c r="S67" s="330"/>
      <c r="T67" s="310">
        <f t="shared" si="6"/>
        <v>0</v>
      </c>
      <c r="U67" s="310">
        <f t="shared" si="7"/>
        <v>0</v>
      </c>
      <c r="V67" s="332" t="e">
        <f t="shared" si="8"/>
        <v>#DIV/0!</v>
      </c>
      <c r="W67" s="330"/>
      <c r="X67" s="366">
        <f t="shared" si="12"/>
        <v>0</v>
      </c>
    </row>
    <row r="68" spans="2:24" s="117" customFormat="1">
      <c r="B68" s="120" t="s">
        <v>311</v>
      </c>
      <c r="C68" s="328"/>
      <c r="D68" s="307">
        <f t="shared" si="9"/>
        <v>0</v>
      </c>
      <c r="E68" s="307">
        <f t="shared" si="1"/>
        <v>0</v>
      </c>
      <c r="F68" s="329" t="e">
        <f t="shared" si="2"/>
        <v>#DIV/0!</v>
      </c>
      <c r="G68" s="328"/>
      <c r="H68" s="366">
        <f t="shared" si="10"/>
        <v>0</v>
      </c>
      <c r="I68" s="489"/>
      <c r="J68" s="120" t="s">
        <v>311</v>
      </c>
      <c r="K68" s="343"/>
      <c r="L68" s="307">
        <f t="shared" si="3"/>
        <v>0</v>
      </c>
      <c r="M68" s="122">
        <f t="shared" si="4"/>
        <v>0</v>
      </c>
      <c r="N68" s="329" t="e">
        <f t="shared" si="5"/>
        <v>#DIV/0!</v>
      </c>
      <c r="O68" s="328"/>
      <c r="P68" s="366">
        <f t="shared" si="11"/>
        <v>0</v>
      </c>
      <c r="Q68" s="630"/>
      <c r="R68" s="120" t="s">
        <v>311</v>
      </c>
      <c r="S68" s="330"/>
      <c r="T68" s="310">
        <f t="shared" si="6"/>
        <v>0</v>
      </c>
      <c r="U68" s="310">
        <f t="shared" si="7"/>
        <v>0</v>
      </c>
      <c r="V68" s="332" t="e">
        <f t="shared" si="8"/>
        <v>#DIV/0!</v>
      </c>
      <c r="W68" s="330"/>
      <c r="X68" s="366">
        <f t="shared" si="12"/>
        <v>0</v>
      </c>
    </row>
    <row r="69" spans="2:24" s="117" customFormat="1">
      <c r="B69" s="120" t="s">
        <v>312</v>
      </c>
      <c r="C69" s="328"/>
      <c r="D69" s="307">
        <f t="shared" si="9"/>
        <v>0</v>
      </c>
      <c r="E69" s="307">
        <f t="shared" si="1"/>
        <v>0</v>
      </c>
      <c r="F69" s="329" t="e">
        <f t="shared" si="2"/>
        <v>#DIV/0!</v>
      </c>
      <c r="G69" s="328"/>
      <c r="H69" s="366">
        <f t="shared" si="10"/>
        <v>0</v>
      </c>
      <c r="I69" s="489"/>
      <c r="J69" s="120" t="s">
        <v>312</v>
      </c>
      <c r="K69" s="343"/>
      <c r="L69" s="307">
        <f t="shared" si="3"/>
        <v>0</v>
      </c>
      <c r="M69" s="122">
        <f t="shared" si="4"/>
        <v>0</v>
      </c>
      <c r="N69" s="329" t="e">
        <f t="shared" si="5"/>
        <v>#DIV/0!</v>
      </c>
      <c r="O69" s="328"/>
      <c r="P69" s="366">
        <f t="shared" si="11"/>
        <v>0</v>
      </c>
      <c r="Q69" s="630"/>
      <c r="R69" s="120" t="s">
        <v>312</v>
      </c>
      <c r="S69" s="330"/>
      <c r="T69" s="310">
        <f t="shared" si="6"/>
        <v>0</v>
      </c>
      <c r="U69" s="310">
        <f t="shared" si="7"/>
        <v>0</v>
      </c>
      <c r="V69" s="332" t="e">
        <f t="shared" si="8"/>
        <v>#DIV/0!</v>
      </c>
      <c r="W69" s="330"/>
      <c r="X69" s="366">
        <f t="shared" si="12"/>
        <v>0</v>
      </c>
    </row>
    <row r="70" spans="2:24" s="116" customFormat="1" ht="13.9" customHeight="1">
      <c r="B70" s="120" t="s">
        <v>313</v>
      </c>
      <c r="C70" s="328"/>
      <c r="D70" s="307">
        <f t="shared" si="9"/>
        <v>0</v>
      </c>
      <c r="E70" s="307">
        <f t="shared" si="1"/>
        <v>0</v>
      </c>
      <c r="F70" s="329" t="e">
        <f t="shared" si="2"/>
        <v>#DIV/0!</v>
      </c>
      <c r="G70" s="328"/>
      <c r="H70" s="366">
        <f t="shared" si="10"/>
        <v>0</v>
      </c>
      <c r="I70" s="489"/>
      <c r="J70" s="120" t="s">
        <v>313</v>
      </c>
      <c r="K70" s="343"/>
      <c r="L70" s="121">
        <f t="shared" si="3"/>
        <v>0</v>
      </c>
      <c r="M70" s="122">
        <f t="shared" si="4"/>
        <v>0</v>
      </c>
      <c r="N70" s="329" t="e">
        <f t="shared" si="5"/>
        <v>#DIV/0!</v>
      </c>
      <c r="O70" s="328"/>
      <c r="P70" s="366">
        <f t="shared" si="11"/>
        <v>0</v>
      </c>
      <c r="Q70" s="630"/>
      <c r="R70" s="120" t="s">
        <v>313</v>
      </c>
      <c r="S70" s="330"/>
      <c r="T70" s="310">
        <f t="shared" si="6"/>
        <v>0</v>
      </c>
      <c r="U70" s="310">
        <f t="shared" si="7"/>
        <v>0</v>
      </c>
      <c r="V70" s="332" t="e">
        <f t="shared" si="8"/>
        <v>#DIV/0!</v>
      </c>
      <c r="W70" s="330"/>
      <c r="X70" s="366">
        <f t="shared" si="12"/>
        <v>0</v>
      </c>
    </row>
    <row r="71" spans="2:24" s="117" customFormat="1">
      <c r="B71" s="120" t="s">
        <v>314</v>
      </c>
      <c r="C71" s="328"/>
      <c r="D71" s="307">
        <f t="shared" si="9"/>
        <v>0</v>
      </c>
      <c r="E71" s="307">
        <f t="shared" si="1"/>
        <v>0</v>
      </c>
      <c r="F71" s="329" t="e">
        <f t="shared" si="2"/>
        <v>#DIV/0!</v>
      </c>
      <c r="G71" s="328"/>
      <c r="H71" s="366">
        <f t="shared" si="10"/>
        <v>0</v>
      </c>
      <c r="I71" s="489"/>
      <c r="J71" s="120" t="s">
        <v>314</v>
      </c>
      <c r="K71" s="343"/>
      <c r="L71" s="121">
        <f t="shared" si="3"/>
        <v>0</v>
      </c>
      <c r="M71" s="122">
        <f t="shared" si="4"/>
        <v>0</v>
      </c>
      <c r="N71" s="329" t="e">
        <f t="shared" si="5"/>
        <v>#DIV/0!</v>
      </c>
      <c r="O71" s="328"/>
      <c r="P71" s="366">
        <f t="shared" si="11"/>
        <v>0</v>
      </c>
      <c r="Q71" s="630"/>
      <c r="R71" s="120" t="s">
        <v>314</v>
      </c>
      <c r="S71" s="330"/>
      <c r="T71" s="310">
        <f t="shared" si="6"/>
        <v>0</v>
      </c>
      <c r="U71" s="310">
        <f t="shared" si="7"/>
        <v>0</v>
      </c>
      <c r="V71" s="332" t="e">
        <f t="shared" si="8"/>
        <v>#DIV/0!</v>
      </c>
      <c r="W71" s="330"/>
      <c r="X71" s="366">
        <f t="shared" si="12"/>
        <v>0</v>
      </c>
    </row>
    <row r="72" spans="2:24" s="117" customFormat="1">
      <c r="B72" s="120" t="s">
        <v>315</v>
      </c>
      <c r="C72" s="328"/>
      <c r="D72" s="307">
        <f t="shared" si="9"/>
        <v>0</v>
      </c>
      <c r="E72" s="307">
        <f t="shared" si="1"/>
        <v>0</v>
      </c>
      <c r="F72" s="329" t="e">
        <f t="shared" si="2"/>
        <v>#DIV/0!</v>
      </c>
      <c r="G72" s="328"/>
      <c r="H72" s="366">
        <f t="shared" si="10"/>
        <v>0</v>
      </c>
      <c r="I72" s="489"/>
      <c r="J72" s="120" t="s">
        <v>315</v>
      </c>
      <c r="K72" s="343"/>
      <c r="L72" s="121">
        <f t="shared" si="3"/>
        <v>0</v>
      </c>
      <c r="M72" s="122">
        <f t="shared" si="4"/>
        <v>0</v>
      </c>
      <c r="N72" s="329" t="e">
        <f t="shared" si="5"/>
        <v>#DIV/0!</v>
      </c>
      <c r="O72" s="328"/>
      <c r="P72" s="366">
        <f t="shared" si="11"/>
        <v>0</v>
      </c>
      <c r="Q72" s="630"/>
      <c r="R72" s="120" t="s">
        <v>315</v>
      </c>
      <c r="S72" s="330"/>
      <c r="T72" s="310">
        <f t="shared" si="6"/>
        <v>0</v>
      </c>
      <c r="U72" s="310">
        <f t="shared" si="7"/>
        <v>0</v>
      </c>
      <c r="V72" s="332" t="e">
        <f t="shared" si="8"/>
        <v>#DIV/0!</v>
      </c>
      <c r="W72" s="330"/>
      <c r="X72" s="366">
        <f t="shared" si="12"/>
        <v>0</v>
      </c>
    </row>
    <row r="73" spans="2:24" s="117" customFormat="1">
      <c r="B73" s="120" t="s">
        <v>316</v>
      </c>
      <c r="C73" s="328"/>
      <c r="D73" s="307">
        <f t="shared" si="9"/>
        <v>0</v>
      </c>
      <c r="E73" s="307">
        <f t="shared" si="1"/>
        <v>0</v>
      </c>
      <c r="F73" s="329" t="e">
        <f t="shared" si="2"/>
        <v>#DIV/0!</v>
      </c>
      <c r="G73" s="328"/>
      <c r="H73" s="366">
        <f t="shared" si="10"/>
        <v>0</v>
      </c>
      <c r="I73" s="489"/>
      <c r="J73" s="120" t="s">
        <v>316</v>
      </c>
      <c r="K73" s="343"/>
      <c r="L73" s="121">
        <f t="shared" si="3"/>
        <v>0</v>
      </c>
      <c r="M73" s="307">
        <f>L73*L114</f>
        <v>0</v>
      </c>
      <c r="N73" s="329" t="e">
        <f t="shared" si="5"/>
        <v>#DIV/0!</v>
      </c>
      <c r="O73" s="328"/>
      <c r="P73" s="366">
        <f t="shared" si="11"/>
        <v>0</v>
      </c>
      <c r="Q73" s="630"/>
      <c r="R73" s="120" t="s">
        <v>316</v>
      </c>
      <c r="S73" s="330"/>
      <c r="T73" s="310">
        <f t="shared" si="6"/>
        <v>0</v>
      </c>
      <c r="U73" s="310">
        <f t="shared" si="7"/>
        <v>0</v>
      </c>
      <c r="V73" s="332" t="e">
        <f t="shared" si="8"/>
        <v>#DIV/0!</v>
      </c>
      <c r="W73" s="330"/>
      <c r="X73" s="366">
        <f t="shared" si="12"/>
        <v>0</v>
      </c>
    </row>
    <row r="74" spans="2:24" s="117" customFormat="1">
      <c r="B74" s="120" t="s">
        <v>317</v>
      </c>
      <c r="C74" s="328"/>
      <c r="D74" s="307">
        <f t="shared" si="9"/>
        <v>0</v>
      </c>
      <c r="E74" s="307">
        <f t="shared" ref="E74" si="13">D74*D115</f>
        <v>0</v>
      </c>
      <c r="F74" s="329" t="e">
        <f t="shared" si="2"/>
        <v>#DIV/0!</v>
      </c>
      <c r="G74" s="328"/>
      <c r="H74" s="366">
        <f t="shared" si="10"/>
        <v>0</v>
      </c>
      <c r="I74" s="489"/>
      <c r="J74" s="120" t="s">
        <v>317</v>
      </c>
      <c r="K74" s="343"/>
      <c r="L74" s="121">
        <f t="shared" si="3"/>
        <v>0</v>
      </c>
      <c r="M74" s="122">
        <f t="shared" ref="M74" si="14">L74*D115</f>
        <v>0</v>
      </c>
      <c r="N74" s="329" t="e">
        <f t="shared" si="5"/>
        <v>#DIV/0!</v>
      </c>
      <c r="O74" s="328"/>
      <c r="P74" s="366">
        <f t="shared" si="11"/>
        <v>0</v>
      </c>
      <c r="Q74" s="630"/>
      <c r="R74" s="120" t="s">
        <v>317</v>
      </c>
      <c r="S74" s="330"/>
      <c r="T74" s="310">
        <f t="shared" si="6"/>
        <v>0</v>
      </c>
      <c r="U74" s="310">
        <f t="shared" ref="U74" si="15">T74*D115</f>
        <v>0</v>
      </c>
      <c r="V74" s="332" t="e">
        <f t="shared" si="8"/>
        <v>#DIV/0!</v>
      </c>
      <c r="W74" s="330"/>
      <c r="X74" s="366">
        <f t="shared" si="12"/>
        <v>0</v>
      </c>
    </row>
    <row r="75" spans="2:24" s="117" customFormat="1">
      <c r="B75" s="615" t="s">
        <v>318</v>
      </c>
      <c r="C75" s="616"/>
      <c r="D75" s="616"/>
      <c r="E75" s="616"/>
      <c r="F75" s="616"/>
      <c r="G75" s="616"/>
      <c r="H75" s="617"/>
      <c r="I75" s="489"/>
      <c r="J75" s="573" t="s">
        <v>318</v>
      </c>
      <c r="K75" s="574"/>
      <c r="L75" s="574"/>
      <c r="M75" s="574"/>
      <c r="N75" s="574"/>
      <c r="O75" s="574"/>
      <c r="P75" s="575"/>
      <c r="Q75" s="630"/>
      <c r="R75" s="618" t="s">
        <v>318</v>
      </c>
      <c r="S75" s="619"/>
      <c r="T75" s="619"/>
      <c r="U75" s="619"/>
      <c r="V75" s="619"/>
      <c r="W75" s="619"/>
      <c r="X75" s="620"/>
    </row>
    <row r="76" spans="2:24">
      <c r="B76" s="120" t="s">
        <v>319</v>
      </c>
      <c r="C76" s="328"/>
      <c r="D76" s="307">
        <f>C76*$C$44</f>
        <v>0</v>
      </c>
      <c r="E76" s="307">
        <f>D76*D116</f>
        <v>0</v>
      </c>
      <c r="F76" s="329" t="e">
        <f>E76/$E$82</f>
        <v>#DIV/0!</v>
      </c>
      <c r="G76" s="328"/>
      <c r="H76" s="366">
        <f t="shared" si="10"/>
        <v>0</v>
      </c>
      <c r="I76" s="489"/>
      <c r="J76" s="120" t="s">
        <v>319</v>
      </c>
      <c r="K76" s="343"/>
      <c r="L76" s="121">
        <f>K76*$K$44</f>
        <v>0</v>
      </c>
      <c r="M76" s="122">
        <f>L76*D116</f>
        <v>0</v>
      </c>
      <c r="N76" s="329" t="e">
        <f>M76/$M$82</f>
        <v>#DIV/0!</v>
      </c>
      <c r="O76" s="330"/>
      <c r="P76" s="366">
        <f t="shared" si="11"/>
        <v>0</v>
      </c>
      <c r="Q76" s="630"/>
      <c r="R76" s="120" t="s">
        <v>319</v>
      </c>
      <c r="S76" s="330"/>
      <c r="T76" s="310">
        <f>S76*$S$44</f>
        <v>0</v>
      </c>
      <c r="U76" s="310">
        <f>T76*D116</f>
        <v>0</v>
      </c>
      <c r="V76" s="332" t="e">
        <f>U76/$U$82</f>
        <v>#DIV/0!</v>
      </c>
      <c r="W76" s="330"/>
      <c r="X76" s="366">
        <f t="shared" si="12"/>
        <v>0</v>
      </c>
    </row>
    <row r="77" spans="2:24" ht="15" customHeight="1">
      <c r="B77" s="120" t="s">
        <v>320</v>
      </c>
      <c r="C77" s="328"/>
      <c r="D77" s="307">
        <f>C77*$C$44</f>
        <v>0</v>
      </c>
      <c r="E77" s="307">
        <f>D77*D116</f>
        <v>0</v>
      </c>
      <c r="F77" s="329" t="e">
        <f>E77/$E$82</f>
        <v>#DIV/0!</v>
      </c>
      <c r="G77" s="328"/>
      <c r="H77" s="366">
        <f t="shared" si="10"/>
        <v>0</v>
      </c>
      <c r="I77" s="489"/>
      <c r="J77" s="120" t="s">
        <v>320</v>
      </c>
      <c r="K77" s="343"/>
      <c r="L77" s="121">
        <f>K77*$K$44</f>
        <v>0</v>
      </c>
      <c r="M77" s="122">
        <f>L77*D116</f>
        <v>0</v>
      </c>
      <c r="N77" s="329" t="e">
        <f>M77/$M$82</f>
        <v>#DIV/0!</v>
      </c>
      <c r="O77" s="330"/>
      <c r="P77" s="366">
        <f t="shared" si="11"/>
        <v>0</v>
      </c>
      <c r="Q77" s="630"/>
      <c r="R77" s="120" t="s">
        <v>320</v>
      </c>
      <c r="S77" s="330"/>
      <c r="T77" s="310">
        <f>S77*$S$44</f>
        <v>0</v>
      </c>
      <c r="U77" s="310">
        <f>T77*D116</f>
        <v>0</v>
      </c>
      <c r="V77" s="332" t="e">
        <f>U77/$U$82</f>
        <v>#DIV/0!</v>
      </c>
      <c r="W77" s="330"/>
      <c r="X77" s="366">
        <f t="shared" si="12"/>
        <v>0</v>
      </c>
    </row>
    <row r="78" spans="2:24">
      <c r="B78" s="615" t="s">
        <v>321</v>
      </c>
      <c r="C78" s="616"/>
      <c r="D78" s="616"/>
      <c r="E78" s="616"/>
      <c r="F78" s="616"/>
      <c r="G78" s="616"/>
      <c r="H78" s="617"/>
      <c r="I78" s="489"/>
      <c r="J78" s="573" t="s">
        <v>322</v>
      </c>
      <c r="K78" s="574"/>
      <c r="L78" s="574"/>
      <c r="M78" s="574"/>
      <c r="N78" s="574"/>
      <c r="O78" s="574"/>
      <c r="P78" s="575"/>
      <c r="Q78" s="630"/>
      <c r="R78" s="618" t="s">
        <v>323</v>
      </c>
      <c r="S78" s="619"/>
      <c r="T78" s="619"/>
      <c r="U78" s="619"/>
      <c r="V78" s="619"/>
      <c r="W78" s="619"/>
      <c r="X78" s="620"/>
    </row>
    <row r="79" spans="2:24" s="176" customFormat="1" ht="24.95" customHeight="1">
      <c r="B79" s="191" t="s">
        <v>324</v>
      </c>
      <c r="C79" s="354">
        <f>SUM(C48:C70)</f>
        <v>0</v>
      </c>
      <c r="D79" s="309">
        <f>SUM(D48:D70)</f>
        <v>0</v>
      </c>
      <c r="E79" s="308">
        <f>SUM(E48:E70)</f>
        <v>0</v>
      </c>
      <c r="F79" s="335" t="e">
        <f>E79/E82</f>
        <v>#DIV/0!</v>
      </c>
      <c r="G79" s="325"/>
      <c r="H79" s="336">
        <f>SUM(H48:H70)</f>
        <v>0</v>
      </c>
      <c r="I79" s="489"/>
      <c r="J79" s="191" t="s">
        <v>324</v>
      </c>
      <c r="K79" s="324">
        <f>SUM(K48:K70)</f>
        <v>0</v>
      </c>
      <c r="L79" s="309">
        <f>SUM(L48:L70)</f>
        <v>0</v>
      </c>
      <c r="M79" s="308">
        <f>SUM(M48:M70)</f>
        <v>0</v>
      </c>
      <c r="N79" s="335" t="e">
        <f>M79/M82</f>
        <v>#DIV/0!</v>
      </c>
      <c r="O79" s="340"/>
      <c r="P79" s="336">
        <f>SUM(P48:P70)</f>
        <v>0</v>
      </c>
      <c r="Q79" s="630"/>
      <c r="R79" s="191" t="s">
        <v>324</v>
      </c>
      <c r="S79" s="311">
        <f>SUM(S48:S70)</f>
        <v>0</v>
      </c>
      <c r="T79" s="309">
        <f>SUM(T48:T70)</f>
        <v>0</v>
      </c>
      <c r="U79" s="308">
        <f>SUM(U48:U70)</f>
        <v>0</v>
      </c>
      <c r="V79" s="335" t="e">
        <f>U79/U82</f>
        <v>#DIV/0!</v>
      </c>
      <c r="W79" s="331"/>
      <c r="X79" s="336">
        <f>SUM(X48:X70)</f>
        <v>0</v>
      </c>
    </row>
    <row r="80" spans="2:24" s="176" customFormat="1" ht="24.95" customHeight="1">
      <c r="B80" s="191" t="s">
        <v>325</v>
      </c>
      <c r="C80" s="324">
        <f>SUM(C71:C74)</f>
        <v>0</v>
      </c>
      <c r="D80" s="309">
        <f>SUM(D71:D74)</f>
        <v>0</v>
      </c>
      <c r="E80" s="308">
        <f>SUM(E71:E74)</f>
        <v>0</v>
      </c>
      <c r="F80" s="335" t="e">
        <f>E80/E82</f>
        <v>#DIV/0!</v>
      </c>
      <c r="G80" s="325"/>
      <c r="H80" s="336">
        <f>SUM(H71:H74)</f>
        <v>0</v>
      </c>
      <c r="I80" s="489"/>
      <c r="J80" s="191" t="s">
        <v>325</v>
      </c>
      <c r="K80" s="324">
        <f>SUM(K71:K74)</f>
        <v>0</v>
      </c>
      <c r="L80" s="309">
        <f>SUM(L71:L74)</f>
        <v>0</v>
      </c>
      <c r="M80" s="308">
        <f>SUM(M71:M74)</f>
        <v>0</v>
      </c>
      <c r="N80" s="335" t="e">
        <f>M80/M82</f>
        <v>#DIV/0!</v>
      </c>
      <c r="O80" s="340"/>
      <c r="P80" s="336">
        <f>SUM(P71:P74)</f>
        <v>0</v>
      </c>
      <c r="Q80" s="630"/>
      <c r="R80" s="191" t="s">
        <v>325</v>
      </c>
      <c r="S80" s="311">
        <f>SUM(S71:S74)</f>
        <v>0</v>
      </c>
      <c r="T80" s="309">
        <f>SUM(T71:T74)</f>
        <v>0</v>
      </c>
      <c r="U80" s="308">
        <f>SUM(U71:U74)</f>
        <v>0</v>
      </c>
      <c r="V80" s="335" t="e">
        <f>U80/U82</f>
        <v>#DIV/0!</v>
      </c>
      <c r="W80" s="331"/>
      <c r="X80" s="336">
        <f>SUM(X71:X74)</f>
        <v>0</v>
      </c>
    </row>
    <row r="81" spans="2:24" s="176" customFormat="1" ht="24.95" customHeight="1">
      <c r="B81" s="191" t="s">
        <v>326</v>
      </c>
      <c r="C81" s="324">
        <f>SUM(C76:C77)</f>
        <v>0</v>
      </c>
      <c r="D81" s="309">
        <f>SUM(D76:D77)</f>
        <v>0</v>
      </c>
      <c r="E81" s="308">
        <f>SUM(E76:E77)</f>
        <v>0</v>
      </c>
      <c r="F81" s="335" t="e">
        <f>E81/E82</f>
        <v>#DIV/0!</v>
      </c>
      <c r="G81" s="325"/>
      <c r="H81" s="336">
        <f>SUM(H76:H77)</f>
        <v>0</v>
      </c>
      <c r="I81" s="489"/>
      <c r="J81" s="191" t="s">
        <v>326</v>
      </c>
      <c r="K81" s="324">
        <f>SUM(K76:K77)</f>
        <v>0</v>
      </c>
      <c r="L81" s="309">
        <f>SUM(L76:L77)</f>
        <v>0</v>
      </c>
      <c r="M81" s="308">
        <f>SUM(M76:M77)</f>
        <v>0</v>
      </c>
      <c r="N81" s="335" t="e">
        <f>M81/M82</f>
        <v>#DIV/0!</v>
      </c>
      <c r="O81" s="340"/>
      <c r="P81" s="336">
        <f>SUM(P76:P77)</f>
        <v>0</v>
      </c>
      <c r="Q81" s="630"/>
      <c r="R81" s="191" t="s">
        <v>326</v>
      </c>
      <c r="S81" s="311">
        <f>SUM(S76:S77)</f>
        <v>0</v>
      </c>
      <c r="T81" s="309">
        <f>SUM(T76:T77)</f>
        <v>0</v>
      </c>
      <c r="U81" s="308">
        <f>SUM(U76:U77)</f>
        <v>0</v>
      </c>
      <c r="V81" s="335" t="e">
        <f>U81/U82</f>
        <v>#DIV/0!</v>
      </c>
      <c r="W81" s="331"/>
      <c r="X81" s="336">
        <f>SUM(X76:X77)</f>
        <v>0</v>
      </c>
    </row>
    <row r="82" spans="2:24" s="176" customFormat="1" ht="24.95" customHeight="1">
      <c r="B82" s="191" t="s">
        <v>327</v>
      </c>
      <c r="C82" s="333" t="str">
        <f>IF(SUM(C79:C81)=1,SUM(C79:C81),"Error")</f>
        <v>Error</v>
      </c>
      <c r="D82" s="309">
        <f>SUM(D79:D81)</f>
        <v>0</v>
      </c>
      <c r="E82" s="308">
        <f>SUM(E79:E81)</f>
        <v>0</v>
      </c>
      <c r="F82" s="311" t="e">
        <f>SUM(F79:F81)</f>
        <v>#DIV/0!</v>
      </c>
      <c r="G82" s="325"/>
      <c r="H82" s="336">
        <f>SUM(H79:H81)</f>
        <v>0</v>
      </c>
      <c r="I82" s="489"/>
      <c r="J82" s="191" t="s">
        <v>328</v>
      </c>
      <c r="K82" s="333" t="str">
        <f>IF(SUM(K79:K81)=1,SUM(K79:K81),"Error")</f>
        <v>Error</v>
      </c>
      <c r="L82" s="308">
        <f>SUM(L79:L81)</f>
        <v>0</v>
      </c>
      <c r="M82" s="308">
        <f>SUM(M79:M81)</f>
        <v>0</v>
      </c>
      <c r="N82" s="311" t="e">
        <f>SUM(N79:N81)</f>
        <v>#DIV/0!</v>
      </c>
      <c r="O82" s="340"/>
      <c r="P82" s="336">
        <f>SUM(P79:P81)</f>
        <v>0</v>
      </c>
      <c r="Q82" s="630"/>
      <c r="R82" s="191" t="s">
        <v>329</v>
      </c>
      <c r="S82" s="333" t="str">
        <f>IF(SUM(S79:S81)=1,SUM(S79:S81),"Error")</f>
        <v>Error</v>
      </c>
      <c r="T82" s="308">
        <f>SUM(T79:T81)</f>
        <v>0</v>
      </c>
      <c r="U82" s="308">
        <f>SUM(U79:U81)</f>
        <v>0</v>
      </c>
      <c r="V82" s="311" t="e">
        <f>SUM(V79:V81)</f>
        <v>#DIV/0!</v>
      </c>
      <c r="W82" s="331"/>
      <c r="X82" s="336">
        <f t="shared" ref="X82" si="16">SUM(X79:X81)</f>
        <v>0</v>
      </c>
    </row>
    <row r="83" spans="2:24" ht="16.5" customHeight="1">
      <c r="B83" s="587" t="s">
        <v>330</v>
      </c>
      <c r="C83" s="588"/>
      <c r="D83" s="588"/>
      <c r="E83" s="588"/>
      <c r="F83" s="588"/>
      <c r="G83" s="588"/>
      <c r="H83" s="589"/>
      <c r="I83" s="489"/>
      <c r="J83" s="613" t="s">
        <v>330</v>
      </c>
      <c r="K83" s="614"/>
      <c r="L83" s="614"/>
      <c r="M83" s="614"/>
      <c r="N83" s="614"/>
      <c r="O83" s="614"/>
      <c r="P83" s="291"/>
      <c r="Q83" s="630"/>
      <c r="R83" s="613" t="s">
        <v>330</v>
      </c>
      <c r="S83" s="614"/>
      <c r="T83" s="614"/>
      <c r="U83" s="614"/>
      <c r="V83" s="614"/>
      <c r="W83" s="614"/>
      <c r="X83" s="633"/>
    </row>
    <row r="84" spans="2:24">
      <c r="B84" s="597" t="s">
        <v>331</v>
      </c>
      <c r="C84" s="598"/>
      <c r="D84" s="598"/>
      <c r="E84" s="598"/>
      <c r="F84" s="598"/>
      <c r="G84" s="598"/>
      <c r="H84" s="599"/>
      <c r="I84" s="489"/>
      <c r="J84" s="597" t="s">
        <v>332</v>
      </c>
      <c r="K84" s="598"/>
      <c r="L84" s="598"/>
      <c r="M84" s="598"/>
      <c r="N84" s="598"/>
      <c r="O84" s="598"/>
      <c r="P84" s="599"/>
      <c r="Q84" s="630"/>
      <c r="R84" s="597" t="s">
        <v>333</v>
      </c>
      <c r="S84" s="598"/>
      <c r="T84" s="598"/>
      <c r="U84" s="598"/>
      <c r="V84" s="598"/>
      <c r="W84" s="598"/>
      <c r="X84" s="599"/>
    </row>
    <row r="85" spans="2:24" ht="15.75" thickBot="1">
      <c r="B85" s="610" t="s">
        <v>334</v>
      </c>
      <c r="C85" s="611"/>
      <c r="D85" s="611"/>
      <c r="E85" s="611"/>
      <c r="F85" s="611"/>
      <c r="G85" s="611"/>
      <c r="H85" s="612"/>
      <c r="I85" s="586"/>
      <c r="J85" s="632" t="s">
        <v>334</v>
      </c>
      <c r="K85" s="484"/>
      <c r="L85" s="484"/>
      <c r="M85" s="484"/>
      <c r="N85" s="484"/>
      <c r="O85" s="484"/>
      <c r="P85" s="290"/>
      <c r="Q85" s="631"/>
      <c r="R85" s="632" t="s">
        <v>334</v>
      </c>
      <c r="S85" s="484"/>
      <c r="T85" s="484"/>
      <c r="U85" s="484"/>
      <c r="V85" s="484"/>
      <c r="W85" s="484"/>
      <c r="X85" s="485"/>
    </row>
    <row r="86" spans="2:24" ht="15.75" thickBot="1"/>
    <row r="87" spans="2:24">
      <c r="B87" s="607" t="s">
        <v>335</v>
      </c>
      <c r="C87" s="608"/>
      <c r="D87" s="609"/>
      <c r="E87" s="115"/>
    </row>
    <row r="88" spans="2:24" ht="36.6" customHeight="1">
      <c r="B88" s="143" t="s">
        <v>336</v>
      </c>
      <c r="C88" s="14" t="s">
        <v>337</v>
      </c>
      <c r="D88" s="34" t="s">
        <v>338</v>
      </c>
      <c r="E88" s="115"/>
    </row>
    <row r="89" spans="2:24">
      <c r="B89" s="120" t="s">
        <v>291</v>
      </c>
      <c r="C89" s="123">
        <v>1</v>
      </c>
      <c r="D89" s="162">
        <v>106</v>
      </c>
      <c r="E89" s="115"/>
    </row>
    <row r="90" spans="2:24">
      <c r="B90" s="120" t="s">
        <v>292</v>
      </c>
      <c r="C90" s="123">
        <v>1</v>
      </c>
      <c r="D90" s="162">
        <f>(375+465)/2</f>
        <v>420</v>
      </c>
      <c r="E90" s="115"/>
    </row>
    <row r="91" spans="2:24">
      <c r="B91" s="120" t="s">
        <v>293</v>
      </c>
      <c r="C91" s="123">
        <v>1</v>
      </c>
      <c r="D91" s="162">
        <f>(110+380)/2</f>
        <v>245</v>
      </c>
      <c r="E91" s="115"/>
    </row>
    <row r="92" spans="2:24">
      <c r="B92" s="120" t="s">
        <v>294</v>
      </c>
      <c r="C92" s="123">
        <v>1</v>
      </c>
      <c r="D92" s="162">
        <v>32</v>
      </c>
      <c r="E92" s="115"/>
    </row>
    <row r="93" spans="2:24">
      <c r="B93" s="120" t="s">
        <v>295</v>
      </c>
      <c r="C93" s="123">
        <v>1</v>
      </c>
      <c r="D93" s="162">
        <v>32</v>
      </c>
      <c r="E93" s="115"/>
    </row>
    <row r="94" spans="2:24">
      <c r="B94" s="120" t="s">
        <v>296</v>
      </c>
      <c r="C94" s="123">
        <v>1</v>
      </c>
      <c r="D94" s="162">
        <v>32</v>
      </c>
      <c r="E94" s="115"/>
    </row>
    <row r="95" spans="2:24">
      <c r="B95" s="120" t="s">
        <v>297</v>
      </c>
      <c r="C95" s="123">
        <v>1</v>
      </c>
      <c r="D95" s="162">
        <v>26</v>
      </c>
      <c r="E95" s="115"/>
    </row>
    <row r="96" spans="2:24">
      <c r="B96" s="120" t="s">
        <v>298</v>
      </c>
      <c r="C96" s="123">
        <v>1</v>
      </c>
      <c r="D96" s="162">
        <v>35</v>
      </c>
      <c r="E96" s="115"/>
    </row>
    <row r="97" spans="2:5">
      <c r="B97" s="120" t="s">
        <v>299</v>
      </c>
      <c r="C97" s="123">
        <v>1</v>
      </c>
      <c r="D97" s="162">
        <v>32</v>
      </c>
      <c r="E97" s="115"/>
    </row>
    <row r="98" spans="2:5">
      <c r="B98" s="120" t="s">
        <v>300</v>
      </c>
      <c r="C98" s="123">
        <v>1</v>
      </c>
      <c r="D98" s="162">
        <v>32</v>
      </c>
      <c r="E98" s="115"/>
    </row>
    <row r="99" spans="2:5">
      <c r="B99" s="120" t="s">
        <v>301</v>
      </c>
      <c r="C99" s="123">
        <v>1</v>
      </c>
      <c r="D99" s="162">
        <v>380</v>
      </c>
      <c r="E99" s="115"/>
    </row>
    <row r="100" spans="2:5">
      <c r="B100" s="120" t="s">
        <v>302</v>
      </c>
      <c r="C100" s="123">
        <v>1</v>
      </c>
      <c r="D100" s="162">
        <v>380</v>
      </c>
      <c r="E100" s="115"/>
    </row>
    <row r="101" spans="2:5">
      <c r="B101" s="120" t="s">
        <v>303</v>
      </c>
      <c r="C101" s="123">
        <v>1</v>
      </c>
      <c r="D101" s="162">
        <v>35</v>
      </c>
      <c r="E101" s="115"/>
    </row>
    <row r="102" spans="2:5">
      <c r="B102" s="120" t="s">
        <v>304</v>
      </c>
      <c r="C102" s="123">
        <v>1</v>
      </c>
      <c r="D102" s="162">
        <v>40</v>
      </c>
      <c r="E102" s="115"/>
    </row>
    <row r="103" spans="2:5">
      <c r="B103" s="120" t="s">
        <v>305</v>
      </c>
      <c r="C103" s="123">
        <v>1</v>
      </c>
      <c r="D103" s="162">
        <v>225</v>
      </c>
      <c r="E103" s="115"/>
    </row>
    <row r="104" spans="2:5">
      <c r="B104" s="120" t="s">
        <v>306</v>
      </c>
      <c r="C104" s="123">
        <v>1</v>
      </c>
      <c r="D104" s="162">
        <v>225</v>
      </c>
      <c r="E104" s="115"/>
    </row>
    <row r="105" spans="2:5">
      <c r="B105" s="120" t="s">
        <v>307</v>
      </c>
      <c r="C105" s="123">
        <v>1</v>
      </c>
      <c r="D105" s="162">
        <v>50</v>
      </c>
      <c r="E105" s="115"/>
    </row>
    <row r="106" spans="2:5">
      <c r="B106" s="120" t="s">
        <v>308</v>
      </c>
      <c r="C106" s="123">
        <v>1</v>
      </c>
      <c r="D106" s="162">
        <f>(125+125+150+250+150)/5</f>
        <v>160</v>
      </c>
      <c r="E106" s="115"/>
    </row>
    <row r="107" spans="2:5">
      <c r="B107" s="120" t="s">
        <v>309</v>
      </c>
      <c r="C107" s="123">
        <v>1</v>
      </c>
      <c r="D107" s="162">
        <v>354</v>
      </c>
      <c r="E107" s="115"/>
    </row>
    <row r="108" spans="2:5">
      <c r="B108" s="120" t="s">
        <v>310</v>
      </c>
      <c r="C108" s="123">
        <v>1</v>
      </c>
      <c r="D108" s="162">
        <f>4*27</f>
        <v>108</v>
      </c>
      <c r="E108" s="115"/>
    </row>
    <row r="109" spans="2:5">
      <c r="B109" s="120" t="s">
        <v>311</v>
      </c>
      <c r="C109" s="123">
        <v>1</v>
      </c>
      <c r="D109" s="162">
        <f>(125+175)/2</f>
        <v>150</v>
      </c>
      <c r="E109" s="115"/>
    </row>
    <row r="110" spans="2:5">
      <c r="B110" s="120" t="s">
        <v>312</v>
      </c>
      <c r="C110" s="123">
        <v>1</v>
      </c>
      <c r="D110" s="163">
        <f>AVERAGE(D89:D109)</f>
        <v>147.57142857142858</v>
      </c>
      <c r="E110" s="115"/>
    </row>
    <row r="111" spans="2:5">
      <c r="B111" s="120" t="s">
        <v>313</v>
      </c>
      <c r="C111" s="123">
        <v>1</v>
      </c>
      <c r="D111" s="162">
        <v>268</v>
      </c>
      <c r="E111" s="115"/>
    </row>
    <row r="112" spans="2:5">
      <c r="B112" s="120" t="s">
        <v>314</v>
      </c>
      <c r="C112" s="123">
        <v>1</v>
      </c>
      <c r="D112" s="162">
        <v>396</v>
      </c>
      <c r="E112" s="115"/>
    </row>
    <row r="113" spans="2:5">
      <c r="B113" s="120" t="s">
        <v>315</v>
      </c>
      <c r="C113" s="123">
        <v>1</v>
      </c>
      <c r="D113" s="162">
        <v>292</v>
      </c>
      <c r="E113" s="115"/>
    </row>
    <row r="114" spans="2:5">
      <c r="B114" s="120" t="s">
        <v>316</v>
      </c>
      <c r="C114" s="123">
        <v>1</v>
      </c>
      <c r="D114" s="162">
        <v>280</v>
      </c>
      <c r="E114" s="115"/>
    </row>
    <row r="115" spans="2:5">
      <c r="B115" s="120" t="s">
        <v>317</v>
      </c>
      <c r="C115" s="123">
        <v>1</v>
      </c>
      <c r="D115" s="162">
        <v>280</v>
      </c>
      <c r="E115" s="115"/>
    </row>
    <row r="116" spans="2:5">
      <c r="B116" s="120" t="s">
        <v>319</v>
      </c>
      <c r="C116" s="123">
        <v>1</v>
      </c>
      <c r="D116" s="163">
        <f>(138+250+300)/3</f>
        <v>229.33333333333334</v>
      </c>
      <c r="E116" s="115"/>
    </row>
    <row r="117" spans="2:5">
      <c r="B117" s="120" t="s">
        <v>339</v>
      </c>
      <c r="C117" s="123">
        <v>1</v>
      </c>
      <c r="D117" s="163">
        <f>AVERAGE(D89:D110)</f>
        <v>147.57142857142856</v>
      </c>
      <c r="E117" s="115"/>
    </row>
    <row r="118" spans="2:5">
      <c r="B118" s="120" t="s">
        <v>340</v>
      </c>
      <c r="C118" s="123">
        <v>1</v>
      </c>
      <c r="D118" s="163">
        <f>AVERAGE(D112:D115)</f>
        <v>312</v>
      </c>
      <c r="E118" s="115"/>
    </row>
    <row r="119" spans="2:5" ht="82.5" customHeight="1" thickBot="1">
      <c r="B119" s="161" t="s">
        <v>341</v>
      </c>
      <c r="C119" s="605" t="s">
        <v>342</v>
      </c>
      <c r="D119" s="606"/>
      <c r="E119" s="115"/>
    </row>
  </sheetData>
  <sheetProtection sheet="1" objects="1" scenarios="1" formatColumns="0" formatRows="0"/>
  <mergeCells count="75">
    <mergeCell ref="B21:H21"/>
    <mergeCell ref="J23:P23"/>
    <mergeCell ref="J21:P21"/>
    <mergeCell ref="K43:P43"/>
    <mergeCell ref="J38:P38"/>
    <mergeCell ref="K39:P39"/>
    <mergeCell ref="K40:P40"/>
    <mergeCell ref="C32:F32"/>
    <mergeCell ref="C33:F33"/>
    <mergeCell ref="C34:F34"/>
    <mergeCell ref="C35:F35"/>
    <mergeCell ref="B38:H38"/>
    <mergeCell ref="C41:H41"/>
    <mergeCell ref="C42:H42"/>
    <mergeCell ref="C43:H43"/>
    <mergeCell ref="S40:X40"/>
    <mergeCell ref="S41:X41"/>
    <mergeCell ref="S42:X42"/>
    <mergeCell ref="S43:X43"/>
    <mergeCell ref="J37:P37"/>
    <mergeCell ref="R38:X38"/>
    <mergeCell ref="Q38:Q85"/>
    <mergeCell ref="R85:X85"/>
    <mergeCell ref="R78:X78"/>
    <mergeCell ref="J85:O85"/>
    <mergeCell ref="R45:X45"/>
    <mergeCell ref="R47:X47"/>
    <mergeCell ref="R83:X83"/>
    <mergeCell ref="K41:P41"/>
    <mergeCell ref="K42:P42"/>
    <mergeCell ref="K44:P44"/>
    <mergeCell ref="B47:H47"/>
    <mergeCell ref="B75:H75"/>
    <mergeCell ref="R84:X84"/>
    <mergeCell ref="R75:X75"/>
    <mergeCell ref="S44:X44"/>
    <mergeCell ref="C119:D119"/>
    <mergeCell ref="B87:D87"/>
    <mergeCell ref="B85:H85"/>
    <mergeCell ref="J78:P78"/>
    <mergeCell ref="J83:O83"/>
    <mergeCell ref="B84:H84"/>
    <mergeCell ref="B78:H78"/>
    <mergeCell ref="B4:H4"/>
    <mergeCell ref="B15:H15"/>
    <mergeCell ref="B7:H7"/>
    <mergeCell ref="R15:X15"/>
    <mergeCell ref="R24:X24"/>
    <mergeCell ref="R21:X21"/>
    <mergeCell ref="B10:H10"/>
    <mergeCell ref="B13:H13"/>
    <mergeCell ref="R13:X13"/>
    <mergeCell ref="B17:H17"/>
    <mergeCell ref="B19:H19"/>
    <mergeCell ref="R17:X17"/>
    <mergeCell ref="R19:X19"/>
    <mergeCell ref="B23:H23"/>
    <mergeCell ref="J17:P17"/>
    <mergeCell ref="J19:P19"/>
    <mergeCell ref="J15:P15"/>
    <mergeCell ref="J13:P13"/>
    <mergeCell ref="J75:P75"/>
    <mergeCell ref="B37:H37"/>
    <mergeCell ref="R37:X37"/>
    <mergeCell ref="J45:O45"/>
    <mergeCell ref="J47:O47"/>
    <mergeCell ref="B45:H45"/>
    <mergeCell ref="I38:I85"/>
    <mergeCell ref="B83:H83"/>
    <mergeCell ref="C39:H39"/>
    <mergeCell ref="C40:H40"/>
    <mergeCell ref="C44:H44"/>
    <mergeCell ref="J84:P84"/>
    <mergeCell ref="S39:X39"/>
    <mergeCell ref="B26:F26"/>
  </mergeCells>
  <conditionalFormatting sqref="C82">
    <cfRule type="containsText" dxfId="35" priority="1" operator="containsText" text="Error">
      <formula>NOT(ISERROR(SEARCH("Error",C82)))</formula>
    </cfRule>
  </conditionalFormatting>
  <conditionalFormatting sqref="K82">
    <cfRule type="containsText" dxfId="34" priority="4" operator="containsText" text="Error">
      <formula>NOT(ISERROR(SEARCH("Error",K82)))</formula>
    </cfRule>
  </conditionalFormatting>
  <conditionalFormatting sqref="S82">
    <cfRule type="containsText" dxfId="33" priority="2" operator="containsText" text="Error">
      <formula>NOT(ISERROR(SEARCH("Error",S82)))</formula>
    </cfRule>
  </conditionalFormatting>
  <dataValidations count="1">
    <dataValidation type="decimal" operator="lessThanOrEqual" allowBlank="1" showInputMessage="1" showErrorMessage="1" errorTitle="Error" error="Value cannot exceed 100%" sqref="G48:G74 W48:W74 W76:W77 O76:O77 G76:G77 O49:O74 O48 K42:P42 C42:H42 S42:X42 C48:C74 C76:C77 K48:K74 K76:K77 S48:S74 S76:S77" xr:uid="{D0F0039F-B011-4458-8F28-F71D760D3F5F}">
      <formula1>1</formula1>
    </dataValidation>
  </dataValidations>
  <hyperlinks>
    <hyperlink ref="B24" location="'User Manual'!A1" display="Click here to return to the Toolkit Instructions" xr:uid="{6CD168C7-1799-4E35-A4F0-4D6CC0083A97}"/>
    <hyperlink ref="C119" r:id="rId1" xr:uid="{08175F8B-20E9-40B6-B3CB-CD3CA93DC3E5}"/>
  </hyperlinks>
  <pageMargins left="0.7" right="0.7" top="0.75" bottom="0.75" header="0.3" footer="0.3"/>
  <pageSetup scale="39" fitToWidth="0" orientation="portrait" r:id="rId2"/>
  <colBreaks count="2" manualBreakCount="2">
    <brk id="9" max="77" man="1"/>
    <brk id="17" max="77"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c4208a08-5c99-4d78-a35b-8337322ac064" xsi:nil="true"/>
    <lcf76f155ced4ddcb4097134ff3c332f xmlns="2b58c97f-5e7c-41f9-9605-b7281c72510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A4445F3BF18114488EB1B1B1D5ADDD5E" ma:contentTypeVersion="14" ma:contentTypeDescription="Create a new document." ma:contentTypeScope="" ma:versionID="c8335768f11988bebf24f6ef4d1f519a">
  <xsd:schema xmlns:xsd="http://www.w3.org/2001/XMLSchema" xmlns:xs="http://www.w3.org/2001/XMLSchema" xmlns:p="http://schemas.microsoft.com/office/2006/metadata/properties" xmlns:ns2="2b58c97f-5e7c-41f9-9605-b7281c72510b" xmlns:ns3="c4208a08-5c99-4d78-a35b-8337322ac064" targetNamespace="http://schemas.microsoft.com/office/2006/metadata/properties" ma:root="true" ma:fieldsID="f4354b40ef2736c56318c4c65c0a6ca2" ns2:_="" ns3:_="">
    <xsd:import namespace="2b58c97f-5e7c-41f9-9605-b7281c72510b"/>
    <xsd:import namespace="c4208a08-5c99-4d78-a35b-8337322ac06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58c97f-5e7c-41f9-9605-b7281c72510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8cf32eec-7bc8-4e8a-bbcd-8d0e930e2dd8"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208a08-5c99-4d78-a35b-8337322ac064"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e8d34636-5b6e-4149-a40d-3a3d894fe0bf}" ma:internalName="TaxCatchAll" ma:showField="CatchAllData" ma:web="c4208a08-5c99-4d78-a35b-8337322ac06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7C7412-21D5-4A3D-976C-58A92D263048}">
  <ds:schemaRefs>
    <ds:schemaRef ds:uri="http://schemas.microsoft.com/sharepoint/v3/contenttype/forms"/>
  </ds:schemaRefs>
</ds:datastoreItem>
</file>

<file path=customXml/itemProps2.xml><?xml version="1.0" encoding="utf-8"?>
<ds:datastoreItem xmlns:ds="http://schemas.openxmlformats.org/officeDocument/2006/customXml" ds:itemID="{5B995EEF-993C-4D65-A861-B7E8A6519467}">
  <ds:schemaRefs>
    <ds:schemaRef ds:uri="http://www.w3.org/XML/1998/namespace"/>
    <ds:schemaRef ds:uri="http://purl.org/dc/terms/"/>
    <ds:schemaRef ds:uri="http://schemas.microsoft.com/office/2006/documentManagement/types"/>
    <ds:schemaRef ds:uri="http://purl.org/dc/dcmitype/"/>
    <ds:schemaRef ds:uri="2b58c97f-5e7c-41f9-9605-b7281c72510b"/>
    <ds:schemaRef ds:uri="http://schemas.openxmlformats.org/package/2006/metadata/core-properties"/>
    <ds:schemaRef ds:uri="http://schemas.microsoft.com/office/2006/metadata/properties"/>
    <ds:schemaRef ds:uri="http://schemas.microsoft.com/office/infopath/2007/PartnerControls"/>
    <ds:schemaRef ds:uri="http://purl.org/dc/elements/1.1/"/>
    <ds:schemaRef ds:uri="c4208a08-5c99-4d78-a35b-8337322ac064"/>
  </ds:schemaRefs>
</ds:datastoreItem>
</file>

<file path=customXml/itemProps3.xml><?xml version="1.0" encoding="utf-8"?>
<ds:datastoreItem xmlns:ds="http://schemas.openxmlformats.org/officeDocument/2006/customXml" ds:itemID="{7000BCFB-FDFF-497F-88E7-FBC69173C1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58c97f-5e7c-41f9-9605-b7281c72510b"/>
    <ds:schemaRef ds:uri="c4208a08-5c99-4d78-a35b-8337322ac0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11</vt:i4>
      </vt:variant>
    </vt:vector>
  </HeadingPairs>
  <TitlesOfParts>
    <vt:vector size="26" baseType="lpstr">
      <vt:lpstr>Cover Page</vt:lpstr>
      <vt:lpstr>Quick Start Guide</vt:lpstr>
      <vt:lpstr>User Manual</vt:lpstr>
      <vt:lpstr>FAQ</vt:lpstr>
      <vt:lpstr>Program Dashboard</vt:lpstr>
      <vt:lpstr>Monthly Tracker</vt:lpstr>
      <vt:lpstr>Facility Survey</vt:lpstr>
      <vt:lpstr>Observation Checklist</vt:lpstr>
      <vt:lpstr>Waste Composition</vt:lpstr>
      <vt:lpstr>Container Capacity Calculator</vt:lpstr>
      <vt:lpstr>Container Cost Calculator</vt:lpstr>
      <vt:lpstr>Financial Calculator</vt:lpstr>
      <vt:lpstr>Job Creation Calculator</vt:lpstr>
      <vt:lpstr>Carbon Calculator</vt:lpstr>
      <vt:lpstr>WARM Results</vt:lpstr>
      <vt:lpstr>'Container Capacity Calculator'!Print_Area</vt:lpstr>
      <vt:lpstr>'Container Cost Calculator'!Print_Area</vt:lpstr>
      <vt:lpstr>'Facility Survey'!Print_Area</vt:lpstr>
      <vt:lpstr>'Financial Calculator'!Print_Area</vt:lpstr>
      <vt:lpstr>'Job Creation Calculator'!Print_Area</vt:lpstr>
      <vt:lpstr>'Monthly Tracker'!Print_Area</vt:lpstr>
      <vt:lpstr>'Observation Checklist'!Print_Area</vt:lpstr>
      <vt:lpstr>'Program Dashboard'!Print_Area</vt:lpstr>
      <vt:lpstr>'Quick Start Guide'!Print_Area</vt:lpstr>
      <vt:lpstr>'User Manual'!Print_Area</vt:lpstr>
      <vt:lpstr>'Waste Composition'!Print_Area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Clapper, Eric</dc:creator>
  <cp:keywords/>
  <dc:description/>
  <cp:lastModifiedBy>Clapper, Eric</cp:lastModifiedBy>
  <cp:revision/>
  <cp:lastPrinted>2025-10-15T18:39:11Z</cp:lastPrinted>
  <dcterms:created xsi:type="dcterms:W3CDTF">2025-05-08T15:57:36Z</dcterms:created>
  <dcterms:modified xsi:type="dcterms:W3CDTF">2025-11-20T18:26:49Z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0x010100A4445F3BF18114488EB1B1B1D5ADDD5E</vt:lpwstr>
  </property>
  <property fmtid="{D5CDD505-2E9C-101B-9397-08002B2CF9AE}" pid="3" name="MediaServiceImageTags">
    <vt:lpwstr/>
  </property>
</Properties>
</file>