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enrik\Documents\Altiflex\E-mail dokumenter til kunder\SE\"/>
    </mc:Choice>
  </mc:AlternateContent>
  <xr:revisionPtr revIDLastSave="0" documentId="13_ncr:1_{C07987E8-6323-429D-A2C8-57E54AB9494C}" xr6:coauthVersionLast="47" xr6:coauthVersionMax="47" xr10:uidLastSave="{00000000-0000-0000-0000-000000000000}"/>
  <bookViews>
    <workbookView xWindow="-110" yWindow="-110" windowWidth="38620" windowHeight="21220" tabRatio="874" firstSheet="1" activeTab="1" xr2:uid="{00000000-000D-0000-FFFF-FFFF00000000}"/>
  </bookViews>
  <sheets>
    <sheet name="Tilbagebetaling case" sheetId="2" state="hidden" r:id="rId1"/>
    <sheet name="Den Snabba Analysen" sheetId="3" r:id="rId2"/>
    <sheet name="Värmeberäknare för Den Snabba  " sheetId="4" r:id="rId3"/>
    <sheet name="Leje - Moduler" sheetId="10" state="hidden" r:id="rId4"/>
    <sheet name="Leje - Døre" sheetId="7" state="hidden" r:id="rId5"/>
    <sheet name="Gennemsnit lejedage Dansk" sheetId="8" state="hidden" r:id="rId6"/>
    <sheet name="Gennemsnit lejedage Engelsk" sheetId="9" state="hidden" r:id="rId7"/>
    <sheet name="Partnerskab DK" sheetId="11" state="hidden" r:id="rId8"/>
    <sheet name="Sagsoverdragelse" sheetId="17" state="hidden" r:id="rId9"/>
  </sheets>
  <externalReferences>
    <externalReference r:id="rId10"/>
    <externalReference r:id="rId11"/>
    <externalReference r:id="rId12"/>
  </externalReferences>
  <definedNames>
    <definedName name="_far" localSheetId="3">#REF!</definedName>
    <definedName name="_far">#REF!</definedName>
    <definedName name="_xlnm._FilterDatabase" localSheetId="4" hidden="1">'Leje - Døre'!$J$7:$J$92</definedName>
    <definedName name="_xlnm._FilterDatabase" localSheetId="3" hidden="1">'Leje - Moduler'!$J$7:$J$176</definedName>
    <definedName name="_Kørsel">#REF!</definedName>
    <definedName name="_Monteringstekster_" localSheetId="3">#REF!</definedName>
    <definedName name="_Monteringstekster_">#REF!</definedName>
    <definedName name="_vogn" localSheetId="3">#REF!</definedName>
    <definedName name="_vogn">#REF!</definedName>
    <definedName name="_æ_" localSheetId="3">#REF!</definedName>
    <definedName name="_æ_">#REF!</definedName>
    <definedName name="Arbejdsbeskrivelse" localSheetId="3">[1]Tekster!$H$2:$H$20</definedName>
    <definedName name="Arbejdsbeskrivelse">#REF!</definedName>
    <definedName name="Brancher" localSheetId="3">[1]Tekster!$E$2:$E$20</definedName>
    <definedName name="Brancher">#REF!</definedName>
    <definedName name="Brevtekster" localSheetId="3">[1]Tekster!$F$2:$F$20</definedName>
    <definedName name="Brevtekster">#REF!</definedName>
    <definedName name="Døre_STK">#REF!</definedName>
    <definedName name="Døreekstrabredde_STK">#REF!</definedName>
    <definedName name="e" localSheetId="3">#REF!</definedName>
    <definedName name="e">#REF!</definedName>
    <definedName name="ee" localSheetId="3">#REF!</definedName>
    <definedName name="ee">#REF!</definedName>
    <definedName name="Fak_Døre_STK">#REF!</definedName>
    <definedName name="Fak_Døreekstrabredde_STK">#REF!</definedName>
    <definedName name="Fak_hængelåse_STK">#REF!</definedName>
    <definedName name="Fak_Materialer_m2STK">#REF!</definedName>
    <definedName name="Fak_Materialer_Minut">#REF!</definedName>
    <definedName name="Fak_Materialer_Timer">#REF!</definedName>
    <definedName name="Fak_Mobileopbevaringsrum_inde_STK">#REF!</definedName>
    <definedName name="Fak_Mobileopbevaringsrum_ude_STK">#REF!</definedName>
    <definedName name="Fak_Moduler_m2">#REF!</definedName>
    <definedName name="Fak_Moduler_STK">#REF!</definedName>
    <definedName name="Fak_Nøgler_STK">#REF!</definedName>
    <definedName name="Fak_Portrammer_STK">#REF!</definedName>
    <definedName name="Fak_Portrammerdobbelt_STK" localSheetId="3">[1]Fakturadata!#REF!</definedName>
    <definedName name="Fak_Portrammerdobbelt_STK">#REF!</definedName>
    <definedName name="Fak_Tætningslister_m2">#REF!</definedName>
    <definedName name="Fak_Tætningslister_STK">#REF!</definedName>
    <definedName name="FakturaDiverse">#REF!</definedName>
    <definedName name="FakturaKørsel">#REF!</definedName>
    <definedName name="Fast_pris_Valg">#REF!</definedName>
    <definedName name="FormatvalgD" localSheetId="3">[1]Lister!$C$37:$C$41</definedName>
    <definedName name="FormatvalgD">#REF!</definedName>
    <definedName name="FormatvalgE" localSheetId="3">[1]Lister!$C$43:$C$46</definedName>
    <definedName name="FormatvalgE">#REF!</definedName>
    <definedName name="Indtastningsliste" localSheetId="3">[1]Lister!$H$2:$H$20</definedName>
    <definedName name="Indtastningsliste">#REF!</definedName>
    <definedName name="Konfiguration" localSheetId="3">#REF!</definedName>
    <definedName name="Konfiguration">#REF!</definedName>
    <definedName name="Kørsel" localSheetId="3">[1]Tekster!$A$26:$A$29</definedName>
    <definedName name="Kørsel">#REF!</definedName>
    <definedName name="Kørsel_med_Trailer" localSheetId="3">[1]Tekster!$A$33:$A$36</definedName>
    <definedName name="Kørsel_med_Trailer">#REF!</definedName>
    <definedName name="Kørsel_STK" localSheetId="3">[1]Tilbud!#REF!</definedName>
    <definedName name="Kørsel_STK">[1]Tilbud!#REF!</definedName>
    <definedName name="l" localSheetId="3">#REF!</definedName>
    <definedName name="l">#REF!</definedName>
    <definedName name="Leje" localSheetId="3">[1]Lister!$A$56</definedName>
    <definedName name="Leje">#REF!</definedName>
    <definedName name="Lejeregulering" localSheetId="3">[1]Lister!$A$55</definedName>
    <definedName name="Lejeregulering">#REF!</definedName>
    <definedName name="mm" localSheetId="3">#REF!</definedName>
    <definedName name="mm">#REF!</definedName>
    <definedName name="Monteringstekster" localSheetId="3">[1]Tekster!$G$2:$G$20</definedName>
    <definedName name="Monteringstekster">#REF!</definedName>
    <definedName name="mor" localSheetId="3">#REF!</definedName>
    <definedName name="mor">#REF!</definedName>
    <definedName name="Mængde_Start" localSheetId="3">'[2]Tilbud kvm. pris'!#REF!</definedName>
    <definedName name="Mængde_Start">#REF!</definedName>
    <definedName name="Ordr_Døre_STK">#REF!</definedName>
    <definedName name="Ordr_Døreekstrabredde_STK">#REF!</definedName>
    <definedName name="Ordr_hængelåse_STK">#REF!</definedName>
    <definedName name="Ordr_Materialer_m2STK">#REF!</definedName>
    <definedName name="Ordr_Materialer_minut">#REF!</definedName>
    <definedName name="Ordr_materialer_timer">#REF!</definedName>
    <definedName name="Ordr_Mobileopbevaringsruminde_STK">#REF!</definedName>
    <definedName name="Ordr_Mobileopbevaringsrumude_STK">#REF!</definedName>
    <definedName name="Ordr_Moduler_m2">#REF!</definedName>
    <definedName name="Ordr_Moduler_STK">#REF!</definedName>
    <definedName name="Ordr_nøgler_STK">#REF!</definedName>
    <definedName name="Ordr_Portrammer_STK">#REF!</definedName>
    <definedName name="Ordr_Tætningslister_m2">#REF!</definedName>
    <definedName name="Ordr_Tætningslister_STK">#REF!</definedName>
    <definedName name="Over_Døre_STK">#REF!</definedName>
    <definedName name="Over_Døreekstrabredde_STK">#REF!</definedName>
    <definedName name="Over_Mobileopbevaringsrum_inde_STK">#REF!</definedName>
    <definedName name="Over_Moduler_M2">#REF!</definedName>
    <definedName name="Over_Moduler_STK">#REF!</definedName>
    <definedName name="Over_Portrammer_STK">#REF!</definedName>
    <definedName name="Over_Portrammerdobbelt_STK" localSheetId="3">#REF!</definedName>
    <definedName name="Over_Portrammerdobbelt_STK">#REF!</definedName>
    <definedName name="Over_Tætningslister_M2">#REF!</definedName>
    <definedName name="Over_Tætningslister_STK">#REF!</definedName>
    <definedName name="Overskrifter_Tilbud" localSheetId="3">[1]Tekster!$D$2:$D$20</definedName>
    <definedName name="Overskrifter_Tilbud">#REF!</definedName>
    <definedName name="Placeringsliste" localSheetId="3">[1]Lister!$G$26:$G$29</definedName>
    <definedName name="Placeringsliste">#REF!</definedName>
    <definedName name="Plads_Døre_STK">#REF!</definedName>
    <definedName name="Plads_Døreekstrabredde_STK">#REF!</definedName>
    <definedName name="Plads_Moduler_M2">#REF!</definedName>
    <definedName name="Plads_Moduler_STK">#REF!</definedName>
    <definedName name="Plads_Portrammer_STK">#REF!</definedName>
    <definedName name="Plads_Portrammerdobbelt_STK" localSheetId="3">#REF!</definedName>
    <definedName name="Plads_Portrammerdobbelt_STK">#REF!</definedName>
    <definedName name="Produkter">#REF!</definedName>
    <definedName name="Produktliste" localSheetId="3">[1]Lister!$F$2:$F$16</definedName>
    <definedName name="Produktliste">#REF!</definedName>
    <definedName name="ProduktListe_Sorteret" localSheetId="3">[1]Lister!$J$2:$J$15</definedName>
    <definedName name="ProduktListe_Sorteret">#REF!</definedName>
    <definedName name="Produktvalg">#REF!</definedName>
    <definedName name="RaterTilFaktura" localSheetId="3">[1]Lister!$A$26:$A$52</definedName>
    <definedName name="RaterTilFaktura">#REF!</definedName>
    <definedName name="Rulleliste" localSheetId="3">[1]Lister!$A$2:$A$5</definedName>
    <definedName name="Rulleliste">#REF!</definedName>
    <definedName name="Rulleliste_d">#REF!</definedName>
    <definedName name="Rulleliste_leje" localSheetId="3">[1]Lister!$A$55:$A$57</definedName>
    <definedName name="Rulleliste_leje">#REF!</definedName>
    <definedName name="Rulleliste_m" localSheetId="3">[1]Lister!$A$12:$A$13</definedName>
    <definedName name="Rulleliste_m">#REF!</definedName>
    <definedName name="s" localSheetId="3">#REF!</definedName>
    <definedName name="s">#REF!</definedName>
    <definedName name="Talliste" localSheetId="3">[1]Lister!$P$9:$P$19</definedName>
    <definedName name="Talliste">#REF!</definedName>
    <definedName name="Talliste_lille" localSheetId="3">[1]Lister!$Q$9:$Q$13</definedName>
    <definedName name="Talliste_lille">#REF!</definedName>
    <definedName name="Talliste_stor" localSheetId="3">[1]Lister!$A$26:$A$50</definedName>
    <definedName name="Talliste_stor">#REF!</definedName>
    <definedName name="Testfil2019" localSheetId="4">'Leje - Døre'!$A$1:$D$89</definedName>
    <definedName name="Testfil2019" localSheetId="3">'Leje - Moduler'!$A$1:$D$148</definedName>
    <definedName name="Tilb_Døre_STK" localSheetId="3">[1]Tilbud!$A$59</definedName>
    <definedName name="Tilb_Døre_STK">#REF!</definedName>
    <definedName name="Tilb_Døreekstrabredde_STK">#REF!</definedName>
    <definedName name="Tilb_Fast_pris" localSheetId="3">[1]Tilbud!#REF!</definedName>
    <definedName name="Tilb_Fast_pris">#REF!</definedName>
    <definedName name="Tilb_hængelåse_STK" localSheetId="3">[1]Tilbud!#REF!</definedName>
    <definedName name="Tilb_hængelåse_STK">#REF!</definedName>
    <definedName name="Tilb_Materialer_m2STK" localSheetId="3">[1]Tilbud!#REF!</definedName>
    <definedName name="Tilb_Materialer_m2STK">#REF!</definedName>
    <definedName name="Tilb_Materialer_minut" localSheetId="3">[1]Tilbud!#REF!</definedName>
    <definedName name="Tilb_Materialer_minut">#REF!</definedName>
    <definedName name="Tilb_materialer_timer" localSheetId="3">[1]Tilbud!#REF!</definedName>
    <definedName name="Tilb_materialer_timer">#REF!</definedName>
    <definedName name="Tilb_Mobileopbevaringsruminde_STK" localSheetId="3">[1]Tilbud!#REF!</definedName>
    <definedName name="Tilb_Mobileopbevaringsruminde_STK">#REF!</definedName>
    <definedName name="Tilb_Mobileopbevaringsrumude_STK" localSheetId="3">[1]Tilbud!#REF!</definedName>
    <definedName name="Tilb_Mobileopbevaringsrumude_STK">#REF!</definedName>
    <definedName name="Tilb_Moduler_M2" localSheetId="3">[1]Tilbud!#REF!</definedName>
    <definedName name="Tilb_Moduler_M2">#REF!</definedName>
    <definedName name="Tilb_Moduler_STK" localSheetId="3">[1]Tilbud!#REF!</definedName>
    <definedName name="Tilb_Moduler_STK">#REF!</definedName>
    <definedName name="Tilb_nøgler_STK" localSheetId="3">[1]Tilbud!#REF!</definedName>
    <definedName name="Tilb_nøgler_STK">#REF!</definedName>
    <definedName name="Tilb_Portrammer_STK">#REF!</definedName>
    <definedName name="Tilb_Portrammerdobbelt_STK" localSheetId="3">#REF!</definedName>
    <definedName name="Tilb_Portrammerdobbelt_STK">#REF!</definedName>
    <definedName name="Tilb_Ret_Fast_Pris" localSheetId="3">[1]Tilbud!#REF!</definedName>
    <definedName name="Tilb_Ret_Fast_Pris">#REF!</definedName>
    <definedName name="Tilb_Tætningslister_M2" localSheetId="3">[1]Tilbud!#REF!</definedName>
    <definedName name="Tilb_Tætningslister_M2">#REF!</definedName>
    <definedName name="Tilb_Tætningslister_STK" localSheetId="3">[1]Tilbud!#REF!</definedName>
    <definedName name="Tilb_Tætningslister_STK">#REF!</definedName>
    <definedName name="TilkoebRk">#REF!</definedName>
    <definedName name="Tilv_Antal_Muligetilvalg">#REF!</definedName>
    <definedName name="Tilv_Døre_STK" localSheetId="3">[1]Tilbud!#REF!</definedName>
    <definedName name="Tilv_Døre_STK">#REF!</definedName>
    <definedName name="Tilv_Døreekstrabredde_STK" localSheetId="3">[1]Tilbud!#REF!</definedName>
    <definedName name="Tilv_Døreekstrabredde_STK">#REF!</definedName>
    <definedName name="Tilv_hængelåse_STK" localSheetId="3">[1]Tilbud!#REF!</definedName>
    <definedName name="Tilv_hængelåse_STK">#REF!</definedName>
    <definedName name="Tilv_Mobileopbevaringsruminde_STK" localSheetId="3">[1]Tilbud!#REF!</definedName>
    <definedName name="Tilv_Mobileopbevaringsruminde_STK">#REF!</definedName>
    <definedName name="Tilv_Mobileopbevaringsrumude_STK" localSheetId="3">[1]Tilbud!#REF!</definedName>
    <definedName name="Tilv_Mobileopbevaringsrumude_STK">#REF!</definedName>
    <definedName name="Tilv_Moduler_M2" localSheetId="3">[1]Tilbud!#REF!</definedName>
    <definedName name="Tilv_Moduler_M2">#REF!</definedName>
    <definedName name="Tilv_Moduler_STK" localSheetId="3">[1]Tilbud!#REF!</definedName>
    <definedName name="Tilv_Moduler_STK">#REF!</definedName>
    <definedName name="Tilv_nøgler_STK" localSheetId="3">[1]Tilbud!#REF!</definedName>
    <definedName name="Tilv_nøgler_STK">#REF!</definedName>
    <definedName name="Tilv_Overskrift" localSheetId="3">[1]Tilbud!#REF!</definedName>
    <definedName name="Tilv_Overskrift">#REF!</definedName>
    <definedName name="Tilv_Portrammer_STK" localSheetId="3">[1]Tilbud!#REF!</definedName>
    <definedName name="Tilv_Portrammer_STK">#REF!</definedName>
    <definedName name="Tilv_Portrammerdobbelt_STK" localSheetId="3">#REF!</definedName>
    <definedName name="Tilv_Portrammerdobbelt_STK">#REF!</definedName>
    <definedName name="Tilv_Tætningslister_M2" localSheetId="3">[1]Tilbud!#REF!</definedName>
    <definedName name="Tilv_Tætningslister_M2">#REF!</definedName>
    <definedName name="Tilv_Tætningslister_STK" localSheetId="3">[1]Tilbud!#REF!</definedName>
    <definedName name="Tilv_Tætningslister_STK">#REF!</definedName>
    <definedName name="Tilvalg">#REF!</definedName>
    <definedName name="Tilvalg_Sorteret" localSheetId="3">[1]Lister!$M$2:$M$15</definedName>
    <definedName name="Tilvalg_Sorteret">#REF!</definedName>
    <definedName name="Tilvalgsliste">#REF!</definedName>
    <definedName name="_xlnm.Print_Area" localSheetId="4">'Leje - Døre'!$A$1:$I$92</definedName>
    <definedName name="_xlnm.Print_Area" localSheetId="3">'Leje - Moduler'!$A$1:$I$175</definedName>
    <definedName name="_xlnm.Print_Area" localSheetId="8">Sagsoverdragelse!$A$1:$L$64</definedName>
    <definedName name="_xlnm.Print_Area" localSheetId="2">'Värmeberäknare för Den Snabba  '!$B$2:$X$50</definedName>
    <definedName name="æ_" localSheetId="3">#REF!</definedName>
    <definedName name="æ_">#REF!</definedName>
    <definedName name="ææ" localSheetId="3">#REF!</definedName>
    <definedName name="ææ">#REF!</definedName>
    <definedName name="ø" localSheetId="3">#REF!</definedName>
    <definedName name="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3" l="1"/>
  <c r="E46" i="3"/>
  <c r="C24" i="3" l="1"/>
  <c r="C25" i="3" s="1"/>
  <c r="N16" i="4"/>
  <c r="N82" i="4" s="1"/>
  <c r="M16" i="4"/>
  <c r="M82" i="4" s="1"/>
  <c r="L16" i="4"/>
  <c r="L17" i="4" s="1"/>
  <c r="K16" i="4"/>
  <c r="K82" i="4" s="1"/>
  <c r="K83" i="4" s="1"/>
  <c r="O16" i="4"/>
  <c r="O17" i="4" s="1"/>
  <c r="T16" i="4"/>
  <c r="T18" i="4" s="1"/>
  <c r="U16" i="4"/>
  <c r="U82" i="4" s="1"/>
  <c r="U83" i="4" s="1"/>
  <c r="J16" i="4"/>
  <c r="J17" i="4" s="1"/>
  <c r="U42" i="4"/>
  <c r="D20" i="4" s="1"/>
  <c r="B57" i="3"/>
  <c r="S16" i="4"/>
  <c r="S18" i="4" s="1"/>
  <c r="I11" i="4"/>
  <c r="N11" i="4" s="1"/>
  <c r="N12" i="4" s="1"/>
  <c r="M11" i="4"/>
  <c r="M12" i="4"/>
  <c r="L11" i="4"/>
  <c r="L12" i="4" s="1"/>
  <c r="P16" i="4"/>
  <c r="Q16" i="4"/>
  <c r="Q23" i="4" s="1"/>
  <c r="R16" i="4"/>
  <c r="R25" i="4" s="1"/>
  <c r="V5" i="4"/>
  <c r="D47" i="3"/>
  <c r="D48" i="3"/>
  <c r="D49" i="3"/>
  <c r="D50" i="3"/>
  <c r="C50" i="3"/>
  <c r="E50" i="3" s="1"/>
  <c r="D51" i="3"/>
  <c r="D52" i="3"/>
  <c r="D53" i="3"/>
  <c r="D54" i="3"/>
  <c r="C51" i="3"/>
  <c r="E51" i="3" s="1"/>
  <c r="C52" i="3"/>
  <c r="E52" i="3" s="1"/>
  <c r="C53" i="3"/>
  <c r="E53" i="3" s="1"/>
  <c r="C47" i="3"/>
  <c r="E47" i="3" s="1"/>
  <c r="C48" i="3"/>
  <c r="E48" i="3" s="1"/>
  <c r="M17" i="4"/>
  <c r="L35" i="4" s="1"/>
  <c r="N17" i="4"/>
  <c r="M35" i="4" s="1"/>
  <c r="S17" i="4"/>
  <c r="I9" i="4"/>
  <c r="D67" i="3"/>
  <c r="D62" i="3"/>
  <c r="F61" i="3" s="1"/>
  <c r="F4" i="3"/>
  <c r="I31" i="4"/>
  <c r="F62" i="3"/>
  <c r="S23" i="4"/>
  <c r="S25" i="4"/>
  <c r="C26" i="9"/>
  <c r="C27" i="9"/>
  <c r="C28" i="9"/>
  <c r="C29" i="9"/>
  <c r="C30" i="9"/>
  <c r="E26" i="9"/>
  <c r="D26" i="9"/>
  <c r="E27" i="9"/>
  <c r="D27" i="9"/>
  <c r="E28" i="9"/>
  <c r="D28" i="9"/>
  <c r="E29" i="9"/>
  <c r="D29" i="9"/>
  <c r="D30" i="9"/>
  <c r="A30" i="9"/>
  <c r="G13" i="9"/>
  <c r="B33" i="9"/>
  <c r="B36" i="9"/>
  <c r="C16" i="2"/>
  <c r="E17" i="10"/>
  <c r="E18" i="10"/>
  <c r="E20" i="10"/>
  <c r="F31" i="2"/>
  <c r="F32" i="2" s="1"/>
  <c r="F8" i="2"/>
  <c r="F10" i="2" s="1"/>
  <c r="H56" i="2"/>
  <c r="D62" i="2"/>
  <c r="G60" i="2"/>
  <c r="H60" i="2"/>
  <c r="H65" i="2"/>
  <c r="G62" i="2"/>
  <c r="I51" i="10"/>
  <c r="I64" i="10"/>
  <c r="I78" i="10"/>
  <c r="I92" i="10"/>
  <c r="I116" i="10"/>
  <c r="I130" i="10"/>
  <c r="M152" i="10"/>
  <c r="G17" i="10"/>
  <c r="G31" i="10"/>
  <c r="G168" i="10"/>
  <c r="G166" i="10"/>
  <c r="I165" i="10"/>
  <c r="G155" i="10"/>
  <c r="I155" i="10"/>
  <c r="G153" i="10"/>
  <c r="I153" i="10"/>
  <c r="A139" i="10"/>
  <c r="G125" i="10"/>
  <c r="C116" i="10"/>
  <c r="E114" i="10"/>
  <c r="E115" i="10"/>
  <c r="E117" i="10"/>
  <c r="E118" i="10"/>
  <c r="E119" i="10"/>
  <c r="C114" i="10"/>
  <c r="A101" i="10"/>
  <c r="C78" i="10"/>
  <c r="B73" i="10"/>
  <c r="B103" i="10"/>
  <c r="B141" i="10"/>
  <c r="I57" i="10"/>
  <c r="I70" i="10"/>
  <c r="I85" i="10"/>
  <c r="I99" i="10"/>
  <c r="I123" i="10"/>
  <c r="I137" i="10"/>
  <c r="I56" i="10"/>
  <c r="I69" i="10"/>
  <c r="I84" i="10"/>
  <c r="I98" i="10"/>
  <c r="I122" i="10"/>
  <c r="I136" i="10"/>
  <c r="I55" i="10"/>
  <c r="I68" i="10"/>
  <c r="I83" i="10"/>
  <c r="I97" i="10"/>
  <c r="I121" i="10"/>
  <c r="I135" i="10"/>
  <c r="I54" i="10"/>
  <c r="I67" i="10"/>
  <c r="I82" i="10"/>
  <c r="I96" i="10"/>
  <c r="I120" i="10"/>
  <c r="I134" i="10"/>
  <c r="I53" i="10"/>
  <c r="I66" i="10"/>
  <c r="I81" i="10"/>
  <c r="I95" i="10"/>
  <c r="I119" i="10"/>
  <c r="I133" i="10"/>
  <c r="I52" i="10"/>
  <c r="I79" i="10"/>
  <c r="I93" i="10"/>
  <c r="I117" i="10"/>
  <c r="C50" i="10"/>
  <c r="I49" i="10"/>
  <c r="I62" i="10"/>
  <c r="I77" i="10"/>
  <c r="I91" i="10"/>
  <c r="I115" i="10"/>
  <c r="I129" i="10"/>
  <c r="I48" i="10"/>
  <c r="I61" i="10"/>
  <c r="I76" i="10"/>
  <c r="I90" i="10"/>
  <c r="I114" i="10"/>
  <c r="I128" i="10"/>
  <c r="E48" i="10"/>
  <c r="E49" i="10"/>
  <c r="C48" i="10"/>
  <c r="A42" i="10"/>
  <c r="I40" i="10"/>
  <c r="I39" i="10"/>
  <c r="I38" i="10"/>
  <c r="I37" i="10"/>
  <c r="I36" i="10"/>
  <c r="I35" i="10"/>
  <c r="I34" i="10"/>
  <c r="C33" i="10"/>
  <c r="I32" i="10"/>
  <c r="I31" i="10"/>
  <c r="C26" i="10"/>
  <c r="D26" i="10"/>
  <c r="C25" i="10"/>
  <c r="D25" i="10"/>
  <c r="C24" i="10"/>
  <c r="C23" i="10"/>
  <c r="D23" i="10"/>
  <c r="C22" i="10"/>
  <c r="C36" i="10"/>
  <c r="D36" i="10"/>
  <c r="C21" i="10"/>
  <c r="C35" i="10"/>
  <c r="D35" i="10"/>
  <c r="C20" i="10"/>
  <c r="D20" i="10"/>
  <c r="C19" i="10"/>
  <c r="C18" i="10"/>
  <c r="C32" i="10"/>
  <c r="D32" i="10"/>
  <c r="C17" i="10"/>
  <c r="C63" i="10"/>
  <c r="C130" i="10"/>
  <c r="C61" i="10"/>
  <c r="D61" i="10"/>
  <c r="C53" i="10"/>
  <c r="C66" i="10"/>
  <c r="C121" i="10"/>
  <c r="D121" i="10"/>
  <c r="C37" i="10"/>
  <c r="D37" i="10"/>
  <c r="C117" i="10"/>
  <c r="C131" i="10"/>
  <c r="D131" i="10"/>
  <c r="I131" i="10"/>
  <c r="C52" i="10"/>
  <c r="D52" i="10"/>
  <c r="C122" i="10"/>
  <c r="C136" i="10"/>
  <c r="D136" i="10"/>
  <c r="C34" i="10"/>
  <c r="D34" i="10"/>
  <c r="C56" i="10"/>
  <c r="C84" i="10"/>
  <c r="C98" i="10"/>
  <c r="D98" i="10"/>
  <c r="C123" i="10"/>
  <c r="D21" i="10"/>
  <c r="C54" i="10"/>
  <c r="C82" i="10"/>
  <c r="C96" i="10"/>
  <c r="D96" i="10"/>
  <c r="D114" i="10"/>
  <c r="C119" i="10"/>
  <c r="D119" i="10"/>
  <c r="F119" i="10"/>
  <c r="C76" i="10"/>
  <c r="C90" i="10"/>
  <c r="D90" i="10"/>
  <c r="C31" i="10"/>
  <c r="D31" i="10"/>
  <c r="H31" i="10"/>
  <c r="C38" i="10"/>
  <c r="D38" i="10"/>
  <c r="C92" i="10"/>
  <c r="D22" i="10"/>
  <c r="C55" i="10"/>
  <c r="C120" i="10"/>
  <c r="G114" i="10"/>
  <c r="G128" i="10"/>
  <c r="G129" i="10"/>
  <c r="G131" i="10"/>
  <c r="G132" i="10"/>
  <c r="G133" i="10"/>
  <c r="G134" i="10"/>
  <c r="G135" i="10"/>
  <c r="G136" i="10"/>
  <c r="G137" i="10"/>
  <c r="E120" i="10"/>
  <c r="E121" i="10"/>
  <c r="E122" i="10"/>
  <c r="E123" i="10"/>
  <c r="G48" i="10"/>
  <c r="G76" i="10"/>
  <c r="G90" i="10"/>
  <c r="D18" i="10"/>
  <c r="E62" i="10"/>
  <c r="E51" i="10"/>
  <c r="I65" i="10"/>
  <c r="I80" i="10"/>
  <c r="I94" i="10"/>
  <c r="I118" i="10"/>
  <c r="I132" i="10"/>
  <c r="G18" i="10"/>
  <c r="E61" i="10"/>
  <c r="D24" i="10"/>
  <c r="E76" i="10"/>
  <c r="E90" i="10"/>
  <c r="E31" i="10"/>
  <c r="C128" i="10"/>
  <c r="D128" i="10"/>
  <c r="D17" i="10"/>
  <c r="C39" i="10"/>
  <c r="D39" i="10"/>
  <c r="D48" i="10"/>
  <c r="C57" i="10"/>
  <c r="C85" i="10"/>
  <c r="C99" i="10"/>
  <c r="D99" i="10"/>
  <c r="E128" i="10"/>
  <c r="E129" i="10"/>
  <c r="E131" i="10"/>
  <c r="E132" i="10"/>
  <c r="E133" i="10"/>
  <c r="E134" i="10"/>
  <c r="E135" i="10"/>
  <c r="E136" i="10"/>
  <c r="E137" i="10"/>
  <c r="C115" i="10"/>
  <c r="C49" i="10"/>
  <c r="C77" i="10"/>
  <c r="C91" i="10"/>
  <c r="D91" i="10"/>
  <c r="C51" i="10"/>
  <c r="C40" i="10"/>
  <c r="D40" i="10"/>
  <c r="F61" i="10"/>
  <c r="C135" i="10"/>
  <c r="D135" i="10"/>
  <c r="H135" i="10"/>
  <c r="D80" i="10"/>
  <c r="C133" i="10"/>
  <c r="D133" i="10"/>
  <c r="H133" i="10"/>
  <c r="D122" i="10"/>
  <c r="F122" i="10"/>
  <c r="D54" i="10"/>
  <c r="C65" i="10"/>
  <c r="D65" i="10"/>
  <c r="C118" i="10"/>
  <c r="D118" i="10"/>
  <c r="F118" i="10"/>
  <c r="C80" i="10"/>
  <c r="C94" i="10"/>
  <c r="D94" i="10"/>
  <c r="C67" i="10"/>
  <c r="D67" i="10"/>
  <c r="F31" i="10"/>
  <c r="F90" i="10"/>
  <c r="D117" i="10"/>
  <c r="F117" i="10"/>
  <c r="H90" i="10"/>
  <c r="D120" i="10"/>
  <c r="C134" i="10"/>
  <c r="D134" i="10"/>
  <c r="H134" i="10"/>
  <c r="C68" i="10"/>
  <c r="D68" i="10"/>
  <c r="D55" i="10"/>
  <c r="D83" i="10"/>
  <c r="F114" i="10"/>
  <c r="H114" i="10"/>
  <c r="D56" i="10"/>
  <c r="D84" i="10"/>
  <c r="C69" i="10"/>
  <c r="D69" i="10"/>
  <c r="G115" i="10"/>
  <c r="G117" i="10"/>
  <c r="G118" i="10"/>
  <c r="C83" i="10"/>
  <c r="C97" i="10"/>
  <c r="D97" i="10"/>
  <c r="D66" i="10"/>
  <c r="D53" i="10"/>
  <c r="D81" i="10"/>
  <c r="C137" i="10"/>
  <c r="D137" i="10"/>
  <c r="H137" i="10"/>
  <c r="D123" i="10"/>
  <c r="F123" i="10"/>
  <c r="C81" i="10"/>
  <c r="C95" i="10"/>
  <c r="D95" i="10"/>
  <c r="F131" i="10"/>
  <c r="H131" i="10"/>
  <c r="C70" i="10"/>
  <c r="D70" i="10"/>
  <c r="D57" i="10"/>
  <c r="E32" i="10"/>
  <c r="F32" i="10"/>
  <c r="E77" i="10"/>
  <c r="E91" i="10"/>
  <c r="F91" i="10"/>
  <c r="D82" i="10"/>
  <c r="H18" i="10"/>
  <c r="F18" i="10"/>
  <c r="G20" i="10"/>
  <c r="G32" i="10"/>
  <c r="H32" i="10"/>
  <c r="F121" i="10"/>
  <c r="E52" i="10"/>
  <c r="E64" i="10"/>
  <c r="G49" i="10"/>
  <c r="G77" i="10"/>
  <c r="G91" i="10"/>
  <c r="H91" i="10"/>
  <c r="G61" i="10"/>
  <c r="H61" i="10"/>
  <c r="F128" i="10"/>
  <c r="H128" i="10"/>
  <c r="F48" i="10"/>
  <c r="H48" i="10"/>
  <c r="F135" i="10"/>
  <c r="D51" i="10"/>
  <c r="C64" i="10"/>
  <c r="D64" i="10"/>
  <c r="C79" i="10"/>
  <c r="C93" i="10"/>
  <c r="D93" i="10"/>
  <c r="F133" i="10"/>
  <c r="C129" i="10"/>
  <c r="D129" i="10"/>
  <c r="D115" i="10"/>
  <c r="H136" i="10"/>
  <c r="F136" i="10"/>
  <c r="F17" i="10"/>
  <c r="D76" i="10"/>
  <c r="H17" i="10"/>
  <c r="D49" i="10"/>
  <c r="D77" i="10"/>
  <c r="C62" i="10"/>
  <c r="D62" i="10"/>
  <c r="C132" i="10"/>
  <c r="D132" i="10"/>
  <c r="F132" i="10"/>
  <c r="F134" i="10"/>
  <c r="H117" i="10"/>
  <c r="F137" i="10"/>
  <c r="F120" i="10"/>
  <c r="G119" i="10"/>
  <c r="H118" i="10"/>
  <c r="D85" i="10"/>
  <c r="F62" i="10"/>
  <c r="F64" i="10"/>
  <c r="F115" i="10"/>
  <c r="H115" i="10"/>
  <c r="F51" i="10"/>
  <c r="D79" i="10"/>
  <c r="G21" i="10"/>
  <c r="G34" i="10"/>
  <c r="H34" i="10"/>
  <c r="H20" i="10"/>
  <c r="F77" i="10"/>
  <c r="H77" i="10"/>
  <c r="H129" i="10"/>
  <c r="F129" i="10"/>
  <c r="E79" i="10"/>
  <c r="E93" i="10"/>
  <c r="F93" i="10"/>
  <c r="E34" i="10"/>
  <c r="F34" i="10"/>
  <c r="E21" i="10"/>
  <c r="F20" i="10"/>
  <c r="E65" i="10"/>
  <c r="F65" i="10"/>
  <c r="E53" i="10"/>
  <c r="H49" i="10"/>
  <c r="F49" i="10"/>
  <c r="H76" i="10"/>
  <c r="F76" i="10"/>
  <c r="F52" i="10"/>
  <c r="G62" i="10"/>
  <c r="H62" i="10"/>
  <c r="G51" i="10"/>
  <c r="G79" i="10"/>
  <c r="G93" i="10"/>
  <c r="H93" i="10"/>
  <c r="H132" i="10"/>
  <c r="G120" i="10"/>
  <c r="H119" i="10"/>
  <c r="E66" i="10"/>
  <c r="F66" i="10"/>
  <c r="E54" i="10"/>
  <c r="F53" i="10"/>
  <c r="G35" i="10"/>
  <c r="H35" i="10"/>
  <c r="G22" i="10"/>
  <c r="H21" i="10"/>
  <c r="E80" i="10"/>
  <c r="E22" i="10"/>
  <c r="E35" i="10"/>
  <c r="F35" i="10"/>
  <c r="F21" i="10"/>
  <c r="H79" i="10"/>
  <c r="F79" i="10"/>
  <c r="G64" i="10"/>
  <c r="H64" i="10"/>
  <c r="G52" i="10"/>
  <c r="G80" i="10"/>
  <c r="H51" i="10"/>
  <c r="G121" i="10"/>
  <c r="H120" i="10"/>
  <c r="G94" i="10"/>
  <c r="H94" i="10"/>
  <c r="H80" i="10"/>
  <c r="E81" i="10"/>
  <c r="E23" i="10"/>
  <c r="E36" i="10"/>
  <c r="F36" i="10"/>
  <c r="F22" i="10"/>
  <c r="G36" i="10"/>
  <c r="H36" i="10"/>
  <c r="G23" i="10"/>
  <c r="H22" i="10"/>
  <c r="E94" i="10"/>
  <c r="F94" i="10"/>
  <c r="F80" i="10"/>
  <c r="E67" i="10"/>
  <c r="F67" i="10"/>
  <c r="E55" i="10"/>
  <c r="F54" i="10"/>
  <c r="G53" i="10"/>
  <c r="G65" i="10"/>
  <c r="H65" i="10"/>
  <c r="H52" i="10"/>
  <c r="G122" i="10"/>
  <c r="H121" i="10"/>
  <c r="E56" i="10"/>
  <c r="E68" i="10"/>
  <c r="F68" i="10"/>
  <c r="F55" i="10"/>
  <c r="E95" i="10"/>
  <c r="F95" i="10"/>
  <c r="F81" i="10"/>
  <c r="G54" i="10"/>
  <c r="G82" i="10"/>
  <c r="G66" i="10"/>
  <c r="H66" i="10"/>
  <c r="H53" i="10"/>
  <c r="E24" i="10"/>
  <c r="E82" i="10"/>
  <c r="E37" i="10"/>
  <c r="F37" i="10"/>
  <c r="F23" i="10"/>
  <c r="G81" i="10"/>
  <c r="G24" i="10"/>
  <c r="G37" i="10"/>
  <c r="H37" i="10"/>
  <c r="H23" i="10"/>
  <c r="G123" i="10"/>
  <c r="H123" i="10"/>
  <c r="H122" i="10"/>
  <c r="E96" i="10"/>
  <c r="F96" i="10"/>
  <c r="F82" i="10"/>
  <c r="E83" i="10"/>
  <c r="E38" i="10"/>
  <c r="F38" i="10"/>
  <c r="E25" i="10"/>
  <c r="F24" i="10"/>
  <c r="E57" i="10"/>
  <c r="E69" i="10"/>
  <c r="F69" i="10"/>
  <c r="F56" i="10"/>
  <c r="G25" i="10"/>
  <c r="G38" i="10"/>
  <c r="H38" i="10"/>
  <c r="H24" i="10"/>
  <c r="G96" i="10"/>
  <c r="H96" i="10"/>
  <c r="H82" i="10"/>
  <c r="G67" i="10"/>
  <c r="H67" i="10"/>
  <c r="G55" i="10"/>
  <c r="G83" i="10"/>
  <c r="H54" i="10"/>
  <c r="G95" i="10"/>
  <c r="H95" i="10"/>
  <c r="H81" i="10"/>
  <c r="E84" i="10"/>
  <c r="E39" i="10"/>
  <c r="F39" i="10"/>
  <c r="E26" i="10"/>
  <c r="F25" i="10"/>
  <c r="E97" i="10"/>
  <c r="F97" i="10"/>
  <c r="F83" i="10"/>
  <c r="G39" i="10"/>
  <c r="H39" i="10"/>
  <c r="G26" i="10"/>
  <c r="H25" i="10"/>
  <c r="E70" i="10"/>
  <c r="F70" i="10"/>
  <c r="F57" i="10"/>
  <c r="G97" i="10"/>
  <c r="H97" i="10"/>
  <c r="H83" i="10"/>
  <c r="G68" i="10"/>
  <c r="H68" i="10"/>
  <c r="G56" i="10"/>
  <c r="H55" i="10"/>
  <c r="G69" i="10"/>
  <c r="H69" i="10"/>
  <c r="G57" i="10"/>
  <c r="G85" i="10"/>
  <c r="H56" i="10"/>
  <c r="G40" i="10"/>
  <c r="H40" i="10"/>
  <c r="H26" i="10"/>
  <c r="E85" i="10"/>
  <c r="E40" i="10"/>
  <c r="F40" i="10"/>
  <c r="F26" i="10"/>
  <c r="G84" i="10"/>
  <c r="E98" i="10"/>
  <c r="F98" i="10"/>
  <c r="F84" i="10"/>
  <c r="G99" i="10"/>
  <c r="H99" i="10"/>
  <c r="H85" i="10"/>
  <c r="E99" i="10"/>
  <c r="F99" i="10"/>
  <c r="F85" i="10"/>
  <c r="G98" i="10"/>
  <c r="H98" i="10"/>
  <c r="H84" i="10"/>
  <c r="G70" i="10"/>
  <c r="H70" i="10"/>
  <c r="H57" i="10"/>
  <c r="A52" i="7"/>
  <c r="A51" i="7"/>
  <c r="A50" i="7"/>
  <c r="A48" i="7"/>
  <c r="A46" i="7"/>
  <c r="A45" i="7"/>
  <c r="A26" i="9"/>
  <c r="A27" i="9"/>
  <c r="A28" i="9"/>
  <c r="A29" i="9"/>
  <c r="E30" i="9"/>
  <c r="A28" i="8"/>
  <c r="C28" i="8"/>
  <c r="E28" i="8"/>
  <c r="A29" i="8"/>
  <c r="C29" i="8"/>
  <c r="E29" i="8"/>
  <c r="A30" i="8"/>
  <c r="C30" i="8"/>
  <c r="E30" i="8"/>
  <c r="A31" i="8"/>
  <c r="C31" i="8"/>
  <c r="E31" i="8"/>
  <c r="D31" i="8"/>
  <c r="C76" i="7"/>
  <c r="I80" i="7"/>
  <c r="C80" i="7"/>
  <c r="D80" i="7"/>
  <c r="E76" i="7"/>
  <c r="G76" i="7"/>
  <c r="I76" i="7"/>
  <c r="I77" i="7"/>
  <c r="C78" i="7"/>
  <c r="I79" i="7"/>
  <c r="I81" i="7"/>
  <c r="I82" i="7"/>
  <c r="I83" i="7"/>
  <c r="I84" i="7"/>
  <c r="I85" i="7"/>
  <c r="C47" i="7"/>
  <c r="C31" i="7"/>
  <c r="D31" i="7"/>
  <c r="E31" i="7"/>
  <c r="F31" i="7"/>
  <c r="G31" i="7"/>
  <c r="G32" i="7"/>
  <c r="G34" i="7"/>
  <c r="G35" i="7"/>
  <c r="G36" i="7"/>
  <c r="G37" i="7"/>
  <c r="I31" i="7"/>
  <c r="I45" i="7"/>
  <c r="I32" i="7"/>
  <c r="I46" i="7"/>
  <c r="C33" i="7"/>
  <c r="I34" i="7"/>
  <c r="I48" i="7"/>
  <c r="I35" i="7"/>
  <c r="I49" i="7"/>
  <c r="I36" i="7"/>
  <c r="I50" i="7"/>
  <c r="I37" i="7"/>
  <c r="I51" i="7"/>
  <c r="I38" i="7"/>
  <c r="I52" i="7"/>
  <c r="I39" i="7"/>
  <c r="I53" i="7"/>
  <c r="I40" i="7"/>
  <c r="C40" i="7"/>
  <c r="D40" i="7"/>
  <c r="C16" i="7"/>
  <c r="C45" i="7"/>
  <c r="E16" i="7"/>
  <c r="E45" i="7"/>
  <c r="C17" i="7"/>
  <c r="D17" i="7"/>
  <c r="C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B54" i="2"/>
  <c r="D99" i="2"/>
  <c r="D100" i="2"/>
  <c r="C36" i="2"/>
  <c r="C13" i="2"/>
  <c r="D18" i="2"/>
  <c r="D41" i="2"/>
  <c r="H80" i="2"/>
  <c r="H44" i="2"/>
  <c r="D50" i="2"/>
  <c r="H21" i="2"/>
  <c r="C39" i="2"/>
  <c r="G35" i="2"/>
  <c r="G36" i="2"/>
  <c r="G38" i="2"/>
  <c r="H38" i="2"/>
  <c r="D35" i="2"/>
  <c r="D36" i="2"/>
  <c r="G12" i="2"/>
  <c r="G13" i="2"/>
  <c r="D12" i="2"/>
  <c r="D13" i="2"/>
  <c r="B27" i="9"/>
  <c r="D28" i="8"/>
  <c r="C35" i="7"/>
  <c r="D35" i="7"/>
  <c r="C39" i="7"/>
  <c r="D39" i="7"/>
  <c r="B29" i="9"/>
  <c r="B26" i="9"/>
  <c r="B28" i="9"/>
  <c r="F30" i="9"/>
  <c r="G14" i="9"/>
  <c r="E32" i="2"/>
  <c r="H111" i="4"/>
  <c r="E81" i="4"/>
  <c r="U80" i="4"/>
  <c r="T80" i="4"/>
  <c r="S80" i="4"/>
  <c r="R80" i="4"/>
  <c r="Q80" i="4"/>
  <c r="P80" i="4"/>
  <c r="O80" i="4"/>
  <c r="N80" i="4"/>
  <c r="M80" i="4"/>
  <c r="L80" i="4"/>
  <c r="K80" i="4"/>
  <c r="J80" i="4"/>
  <c r="T74" i="4"/>
  <c r="J47" i="4"/>
  <c r="AB46" i="4"/>
  <c r="G94" i="4"/>
  <c r="J46" i="4"/>
  <c r="J45" i="4"/>
  <c r="J44" i="4"/>
  <c r="I43" i="4"/>
  <c r="J43" i="4"/>
  <c r="J42" i="4"/>
  <c r="D102" i="2"/>
  <c r="H54" i="2"/>
  <c r="D86" i="2"/>
  <c r="E76" i="2"/>
  <c r="F76" i="2"/>
  <c r="F77" i="2"/>
  <c r="F86" i="2"/>
  <c r="H86" i="2"/>
  <c r="H75" i="2"/>
  <c r="J48" i="4"/>
  <c r="C32" i="8"/>
  <c r="B31" i="8"/>
  <c r="D30" i="8"/>
  <c r="E32" i="8"/>
  <c r="D29" i="8"/>
  <c r="D32" i="8"/>
  <c r="F32" i="8"/>
  <c r="F16" i="8"/>
  <c r="G10" i="3"/>
  <c r="G41" i="2"/>
  <c r="D71" i="2"/>
  <c r="H35" i="2"/>
  <c r="F35" i="2"/>
  <c r="H36" i="2"/>
  <c r="F36" i="2"/>
  <c r="G39" i="2"/>
  <c r="D27" i="2"/>
  <c r="H13" i="2"/>
  <c r="F13" i="2"/>
  <c r="G18" i="2"/>
  <c r="G15" i="2"/>
  <c r="H12" i="2"/>
  <c r="F12" i="2"/>
  <c r="D54" i="7"/>
  <c r="D53" i="7"/>
  <c r="E17" i="7"/>
  <c r="C53" i="7"/>
  <c r="D16" i="7"/>
  <c r="D45" i="7"/>
  <c r="F45" i="7"/>
  <c r="C85" i="7"/>
  <c r="D85" i="7"/>
  <c r="C37" i="7"/>
  <c r="C36" i="7"/>
  <c r="D36" i="7"/>
  <c r="D50" i="7"/>
  <c r="E32" i="7"/>
  <c r="E34" i="7"/>
  <c r="E35" i="7"/>
  <c r="E36" i="7"/>
  <c r="E37" i="7"/>
  <c r="H35" i="7"/>
  <c r="H31" i="7"/>
  <c r="D49" i="7"/>
  <c r="C81" i="7"/>
  <c r="D81" i="7"/>
  <c r="C32" i="7"/>
  <c r="D76" i="7"/>
  <c r="F76" i="7"/>
  <c r="F16" i="7"/>
  <c r="C38" i="7"/>
  <c r="D38" i="7"/>
  <c r="D52" i="7"/>
  <c r="C84" i="7"/>
  <c r="D84" i="7"/>
  <c r="C49" i="7"/>
  <c r="G16" i="7"/>
  <c r="C34" i="7"/>
  <c r="D34" i="7"/>
  <c r="D48" i="7"/>
  <c r="C83" i="7"/>
  <c r="D83" i="7"/>
  <c r="G38" i="7"/>
  <c r="G39" i="7"/>
  <c r="C79" i="7"/>
  <c r="D79" i="7"/>
  <c r="F17" i="7"/>
  <c r="I54" i="7"/>
  <c r="C82" i="7"/>
  <c r="D82" i="7"/>
  <c r="C77" i="7"/>
  <c r="D77" i="7"/>
  <c r="C54" i="7"/>
  <c r="E19" i="7"/>
  <c r="G77" i="7"/>
  <c r="E77" i="7"/>
  <c r="B29" i="8"/>
  <c r="B28" i="8"/>
  <c r="B30" i="8"/>
  <c r="A32" i="8"/>
  <c r="F15" i="8"/>
  <c r="B35" i="8"/>
  <c r="B38" i="8"/>
  <c r="E55" i="2"/>
  <c r="F55" i="2"/>
  <c r="H76" i="2"/>
  <c r="H77" i="2"/>
  <c r="H15" i="2"/>
  <c r="G16" i="2"/>
  <c r="C50" i="7"/>
  <c r="H36" i="7"/>
  <c r="F35" i="7"/>
  <c r="D37" i="7"/>
  <c r="F37" i="7"/>
  <c r="C51" i="7"/>
  <c r="F36" i="7"/>
  <c r="E46" i="7"/>
  <c r="F19" i="7"/>
  <c r="E48" i="7"/>
  <c r="F48" i="7"/>
  <c r="E20" i="7"/>
  <c r="G40" i="7"/>
  <c r="H40" i="7"/>
  <c r="H39" i="7"/>
  <c r="D32" i="7"/>
  <c r="C46" i="7"/>
  <c r="G17" i="7"/>
  <c r="G45" i="7"/>
  <c r="H45" i="7"/>
  <c r="H16" i="7"/>
  <c r="H76" i="7"/>
  <c r="E38" i="7"/>
  <c r="E39" i="7"/>
  <c r="H38" i="7"/>
  <c r="F34" i="7"/>
  <c r="H34" i="7"/>
  <c r="C52" i="7"/>
  <c r="C48" i="7"/>
  <c r="F77" i="7"/>
  <c r="E79" i="7"/>
  <c r="G79" i="7"/>
  <c r="H77" i="7"/>
  <c r="E57" i="2"/>
  <c r="F57" i="2"/>
  <c r="H57" i="2"/>
  <c r="H55" i="2"/>
  <c r="D51" i="7"/>
  <c r="H37" i="7"/>
  <c r="F38" i="7"/>
  <c r="E49" i="7"/>
  <c r="F49" i="7"/>
  <c r="E21" i="7"/>
  <c r="F20" i="7"/>
  <c r="H32" i="7"/>
  <c r="F32" i="7"/>
  <c r="D46" i="7"/>
  <c r="E40" i="7"/>
  <c r="F40" i="7"/>
  <c r="F39" i="7"/>
  <c r="G19" i="7"/>
  <c r="G46" i="7"/>
  <c r="H17" i="7"/>
  <c r="G80" i="7"/>
  <c r="H79" i="7"/>
  <c r="E80" i="7"/>
  <c r="F79" i="7"/>
  <c r="F58" i="2"/>
  <c r="F59" i="2"/>
  <c r="F71" i="2"/>
  <c r="H71" i="2"/>
  <c r="H58" i="2"/>
  <c r="E22" i="7"/>
  <c r="E50" i="7"/>
  <c r="F50" i="7"/>
  <c r="F21" i="7"/>
  <c r="F46" i="7"/>
  <c r="H46" i="7"/>
  <c r="G48" i="7"/>
  <c r="H48" i="7"/>
  <c r="G20" i="7"/>
  <c r="H19" i="7"/>
  <c r="E81" i="7"/>
  <c r="F80" i="7"/>
  <c r="G81" i="7"/>
  <c r="H80" i="7"/>
  <c r="H59" i="2"/>
  <c r="E51" i="7"/>
  <c r="F51" i="7"/>
  <c r="E23" i="7"/>
  <c r="F22" i="7"/>
  <c r="G49" i="7"/>
  <c r="H49" i="7"/>
  <c r="G21" i="7"/>
  <c r="H20" i="7"/>
  <c r="E82" i="7"/>
  <c r="F81" i="7"/>
  <c r="G82" i="7"/>
  <c r="H81" i="7"/>
  <c r="H61" i="2"/>
  <c r="H62" i="2"/>
  <c r="G50" i="7"/>
  <c r="H50" i="7"/>
  <c r="G22" i="7"/>
  <c r="H21" i="7"/>
  <c r="E52" i="7"/>
  <c r="F52" i="7"/>
  <c r="E24" i="7"/>
  <c r="F23" i="7"/>
  <c r="G83" i="7"/>
  <c r="H82" i="7"/>
  <c r="E83" i="7"/>
  <c r="F82" i="7"/>
  <c r="E25" i="7"/>
  <c r="E53" i="7"/>
  <c r="F53" i="7"/>
  <c r="F24" i="7"/>
  <c r="G23" i="7"/>
  <c r="G51" i="7"/>
  <c r="H51" i="7"/>
  <c r="H22" i="7"/>
  <c r="E84" i="7"/>
  <c r="F83" i="7"/>
  <c r="G84" i="7"/>
  <c r="H83" i="7"/>
  <c r="G52" i="7"/>
  <c r="H52" i="7"/>
  <c r="G24" i="7"/>
  <c r="H23" i="7"/>
  <c r="F25" i="7"/>
  <c r="E54" i="7"/>
  <c r="F54" i="7"/>
  <c r="G85" i="7"/>
  <c r="H85" i="7"/>
  <c r="H84" i="7"/>
  <c r="E85" i="7"/>
  <c r="F85" i="7"/>
  <c r="F84" i="7"/>
  <c r="G25" i="7"/>
  <c r="G53" i="7"/>
  <c r="H53" i="7"/>
  <c r="H24" i="7"/>
  <c r="G54" i="7"/>
  <c r="H54" i="7"/>
  <c r="H25" i="7"/>
  <c r="C54" i="3" l="1"/>
  <c r="E54" i="3" s="1"/>
  <c r="F64" i="3"/>
  <c r="F66" i="3" s="1"/>
  <c r="I24" i="4" s="1"/>
  <c r="U24" i="4" s="1"/>
  <c r="F63" i="3"/>
  <c r="F65" i="3" s="1"/>
  <c r="I23" i="4" s="1"/>
  <c r="L13" i="4"/>
  <c r="L81" i="4" s="1"/>
  <c r="M13" i="4"/>
  <c r="M14" i="4" s="1"/>
  <c r="M18" i="4" s="1"/>
  <c r="M20" i="4" s="1"/>
  <c r="U62" i="4" s="1"/>
  <c r="N13" i="4"/>
  <c r="N14" i="4" s="1"/>
  <c r="N18" i="4" s="1"/>
  <c r="N20" i="4" s="1"/>
  <c r="P56" i="4" s="1"/>
  <c r="F9" i="2"/>
  <c r="H9" i="2" s="1"/>
  <c r="H8" i="2"/>
  <c r="H10" i="2" s="1"/>
  <c r="H11" i="2" s="1"/>
  <c r="H14" i="2" s="1"/>
  <c r="F11" i="2"/>
  <c r="F27" i="2" s="1"/>
  <c r="H27" i="2" s="1"/>
  <c r="H32" i="2"/>
  <c r="F33" i="2"/>
  <c r="F34" i="2" s="1"/>
  <c r="F50" i="2" s="1"/>
  <c r="H50" i="2" s="1"/>
  <c r="H31" i="2"/>
  <c r="L82" i="4"/>
  <c r="T82" i="4"/>
  <c r="T83" i="4" s="1"/>
  <c r="T17" i="4"/>
  <c r="T23" i="4"/>
  <c r="Q25" i="4"/>
  <c r="P11" i="4"/>
  <c r="P12" i="4" s="1"/>
  <c r="P13" i="4" s="1"/>
  <c r="P14" i="4" s="1"/>
  <c r="P18" i="4" s="1"/>
  <c r="P20" i="4" s="1"/>
  <c r="R56" i="4" s="1"/>
  <c r="S82" i="4"/>
  <c r="S83" i="4" s="1"/>
  <c r="Q11" i="4"/>
  <c r="Q12" i="4" s="1"/>
  <c r="Q13" i="4" s="1"/>
  <c r="Q14" i="4" s="1"/>
  <c r="T11" i="4"/>
  <c r="T12" i="4" s="1"/>
  <c r="T13" i="4" s="1"/>
  <c r="T14" i="4" s="1"/>
  <c r="Q17" i="4"/>
  <c r="R28" i="4" s="1"/>
  <c r="R82" i="4"/>
  <c r="R83" i="4" s="1"/>
  <c r="Q82" i="4"/>
  <c r="Q83" i="4" s="1"/>
  <c r="Q18" i="4"/>
  <c r="Q20" i="4" s="1"/>
  <c r="S56" i="4" s="1"/>
  <c r="K24" i="4"/>
  <c r="K35" i="4"/>
  <c r="K34" i="4"/>
  <c r="S65" i="4" s="1"/>
  <c r="L14" i="4"/>
  <c r="L18" i="4" s="1"/>
  <c r="L20" i="4" s="1"/>
  <c r="T62" i="4" s="1"/>
  <c r="AC16" i="4"/>
  <c r="AB49" i="4" s="1"/>
  <c r="G95" i="4" s="1"/>
  <c r="R23" i="4"/>
  <c r="R17" i="4"/>
  <c r="K17" i="4"/>
  <c r="M28" i="4" s="1"/>
  <c r="K11" i="4"/>
  <c r="K12" i="4" s="1"/>
  <c r="K13" i="4" s="1"/>
  <c r="K18" i="4"/>
  <c r="K20" i="4" s="1"/>
  <c r="S62" i="4" s="1"/>
  <c r="M34" i="4"/>
  <c r="U65" i="4" s="1"/>
  <c r="S11" i="4"/>
  <c r="S12" i="4" s="1"/>
  <c r="S13" i="4" s="1"/>
  <c r="R11" i="4"/>
  <c r="R12" i="4" s="1"/>
  <c r="R13" i="4" s="1"/>
  <c r="R18" i="4"/>
  <c r="R20" i="4" s="1"/>
  <c r="T56" i="4" s="1"/>
  <c r="O11" i="4"/>
  <c r="O12" i="4" s="1"/>
  <c r="O13" i="4" s="1"/>
  <c r="M24" i="4"/>
  <c r="U11" i="4"/>
  <c r="U12" i="4" s="1"/>
  <c r="U13" i="4" s="1"/>
  <c r="P82" i="4"/>
  <c r="O82" i="4"/>
  <c r="L24" i="4"/>
  <c r="J11" i="4"/>
  <c r="J12" i="4" s="1"/>
  <c r="J13" i="4" s="1"/>
  <c r="J18" i="4"/>
  <c r="J20" i="4" s="1"/>
  <c r="R62" i="4" s="1"/>
  <c r="L34" i="4"/>
  <c r="T65" i="4" s="1"/>
  <c r="T25" i="4"/>
  <c r="J25" i="4"/>
  <c r="J82" i="4"/>
  <c r="U18" i="4"/>
  <c r="U20" i="4" s="1"/>
  <c r="Q62" i="4" s="1"/>
  <c r="U17" i="4"/>
  <c r="U34" i="4" s="1"/>
  <c r="N24" i="4"/>
  <c r="N34" i="4"/>
  <c r="P17" i="4"/>
  <c r="L28" i="4"/>
  <c r="L23" i="4" s="1"/>
  <c r="J28" i="4"/>
  <c r="J31" i="4" s="1"/>
  <c r="J5" i="3"/>
  <c r="K5" i="3" s="1"/>
  <c r="B56" i="3"/>
  <c r="B58" i="3" s="1"/>
  <c r="U23" i="4"/>
  <c r="K23" i="4"/>
  <c r="E84" i="4"/>
  <c r="T20" i="4"/>
  <c r="S20" i="4"/>
  <c r="U56" i="4" s="1"/>
  <c r="J23" i="4"/>
  <c r="K25" i="4"/>
  <c r="N35" i="4"/>
  <c r="R24" i="4" l="1"/>
  <c r="S24" i="4"/>
  <c r="S26" i="4" s="1"/>
  <c r="S27" i="4" s="1"/>
  <c r="G8" i="3"/>
  <c r="H8" i="3" s="1"/>
  <c r="J8" i="3" s="1"/>
  <c r="K8" i="3" s="1"/>
  <c r="L8" i="3" s="1"/>
  <c r="M8" i="3" s="1"/>
  <c r="N8" i="3" s="1"/>
  <c r="O8" i="3" s="1"/>
  <c r="G7" i="3"/>
  <c r="H7" i="3" s="1"/>
  <c r="J7" i="3" s="1"/>
  <c r="K7" i="3" s="1"/>
  <c r="L7" i="3" s="1"/>
  <c r="M7" i="3" s="1"/>
  <c r="N7" i="3" s="1"/>
  <c r="O7" i="3" s="1"/>
  <c r="M81" i="4"/>
  <c r="M83" i="4" s="1"/>
  <c r="M84" i="4" s="1"/>
  <c r="P81" i="4"/>
  <c r="L83" i="4"/>
  <c r="R26" i="4"/>
  <c r="R27" i="4" s="1"/>
  <c r="N81" i="4"/>
  <c r="N83" i="4" s="1"/>
  <c r="N84" i="4" s="1"/>
  <c r="H33" i="2"/>
  <c r="H34" i="2" s="1"/>
  <c r="S34" i="4"/>
  <c r="S35" i="4"/>
  <c r="U59" i="4" s="1"/>
  <c r="T81" i="4"/>
  <c r="Q81" i="4"/>
  <c r="Q34" i="4"/>
  <c r="Q35" i="4"/>
  <c r="R35" i="4"/>
  <c r="Q28" i="4"/>
  <c r="Q32" i="4" s="1"/>
  <c r="J24" i="4"/>
  <c r="J26" i="4" s="1"/>
  <c r="J27" i="4" s="1"/>
  <c r="P28" i="4"/>
  <c r="P23" i="4" s="1"/>
  <c r="K28" i="4"/>
  <c r="K30" i="4" s="1"/>
  <c r="R34" i="4"/>
  <c r="M23" i="4"/>
  <c r="M31" i="4"/>
  <c r="J14" i="4"/>
  <c r="J81" i="4"/>
  <c r="L30" i="4"/>
  <c r="U28" i="4"/>
  <c r="U30" i="4" s="1"/>
  <c r="K14" i="4"/>
  <c r="K81" i="4"/>
  <c r="J34" i="4"/>
  <c r="O28" i="4"/>
  <c r="O31" i="4" s="1"/>
  <c r="U14" i="4"/>
  <c r="U81" i="4"/>
  <c r="Q24" i="4"/>
  <c r="Q26" i="4" s="1"/>
  <c r="Q27" i="4" s="1"/>
  <c r="N28" i="4"/>
  <c r="N31" i="4" s="1"/>
  <c r="R81" i="4"/>
  <c r="R14" i="4"/>
  <c r="S14" i="4"/>
  <c r="S81" i="4"/>
  <c r="P83" i="4"/>
  <c r="P84" i="4" s="1"/>
  <c r="J35" i="4"/>
  <c r="J83" i="4"/>
  <c r="J84" i="4" s="1"/>
  <c r="J78" i="4"/>
  <c r="AB51" i="4"/>
  <c r="O81" i="4"/>
  <c r="O83" i="4" s="1"/>
  <c r="O84" i="4" s="1"/>
  <c r="O14" i="4"/>
  <c r="O18" i="4" s="1"/>
  <c r="W18" i="4" s="1"/>
  <c r="T35" i="4"/>
  <c r="T34" i="4"/>
  <c r="P65" i="4" s="1"/>
  <c r="T24" i="4"/>
  <c r="T26" i="4" s="1"/>
  <c r="T27" i="4" s="1"/>
  <c r="U35" i="4"/>
  <c r="Q65" i="4" s="1"/>
  <c r="O34" i="4"/>
  <c r="T28" i="4"/>
  <c r="T30" i="4" s="1"/>
  <c r="P59" i="4"/>
  <c r="O24" i="4"/>
  <c r="P24" i="4"/>
  <c r="O35" i="4"/>
  <c r="P35" i="4"/>
  <c r="P34" i="4"/>
  <c r="R59" i="4" s="1"/>
  <c r="S28" i="4"/>
  <c r="S33" i="4" s="1"/>
  <c r="U58" i="4" s="1"/>
  <c r="M32" i="4"/>
  <c r="L31" i="4"/>
  <c r="M33" i="4"/>
  <c r="U64" i="4" s="1"/>
  <c r="J33" i="4"/>
  <c r="J32" i="4"/>
  <c r="L32" i="4"/>
  <c r="J30" i="4"/>
  <c r="G6" i="3"/>
  <c r="I25" i="4"/>
  <c r="L5" i="3"/>
  <c r="L33" i="4"/>
  <c r="T64" i="4" s="1"/>
  <c r="M30" i="4"/>
  <c r="R30" i="4"/>
  <c r="R31" i="4"/>
  <c r="R32" i="4"/>
  <c r="R33" i="4"/>
  <c r="T58" i="4" s="1"/>
  <c r="S84" i="4"/>
  <c r="Q84" i="4"/>
  <c r="T84" i="4"/>
  <c r="L84" i="4"/>
  <c r="U84" i="4"/>
  <c r="K84" i="4"/>
  <c r="R84" i="4"/>
  <c r="K26" i="4"/>
  <c r="K27" i="4" s="1"/>
  <c r="P62" i="4"/>
  <c r="R63" i="4" l="1"/>
  <c r="S31" i="4"/>
  <c r="H37" i="2"/>
  <c r="H88" i="2"/>
  <c r="Q30" i="4"/>
  <c r="R65" i="4"/>
  <c r="Q31" i="4"/>
  <c r="S30" i="4"/>
  <c r="S59" i="4"/>
  <c r="T59" i="4"/>
  <c r="P31" i="4"/>
  <c r="L36" i="4"/>
  <c r="K32" i="4"/>
  <c r="J36" i="4"/>
  <c r="Q33" i="4"/>
  <c r="S58" i="4" s="1"/>
  <c r="P32" i="4"/>
  <c r="K31" i="4"/>
  <c r="K33" i="4"/>
  <c r="S64" i="4" s="1"/>
  <c r="S32" i="4"/>
  <c r="U63" i="4"/>
  <c r="U31" i="4"/>
  <c r="U33" i="4"/>
  <c r="Q64" i="4" s="1"/>
  <c r="P33" i="4"/>
  <c r="R58" i="4" s="1"/>
  <c r="P30" i="4"/>
  <c r="W34" i="4"/>
  <c r="U32" i="4"/>
  <c r="N33" i="4"/>
  <c r="P58" i="4" s="1"/>
  <c r="O23" i="4"/>
  <c r="O30" i="4"/>
  <c r="N30" i="4"/>
  <c r="N23" i="4"/>
  <c r="O20" i="4"/>
  <c r="O33" i="4"/>
  <c r="Q58" i="4" s="1"/>
  <c r="N32" i="4"/>
  <c r="O32" i="4"/>
  <c r="W35" i="4"/>
  <c r="W24" i="4"/>
  <c r="O25" i="4"/>
  <c r="P25" i="4"/>
  <c r="P26" i="4" s="1"/>
  <c r="P27" i="4" s="1"/>
  <c r="T33" i="4"/>
  <c r="P64" i="4" s="1"/>
  <c r="Q59" i="4"/>
  <c r="T32" i="4"/>
  <c r="T31" i="4"/>
  <c r="M36" i="4"/>
  <c r="T57" i="4"/>
  <c r="M5" i="3"/>
  <c r="M25" i="4"/>
  <c r="M26" i="4" s="1"/>
  <c r="M27" i="4" s="1"/>
  <c r="U25" i="4"/>
  <c r="U26" i="4" s="1"/>
  <c r="U27" i="4" s="1"/>
  <c r="L25" i="4"/>
  <c r="N25" i="4"/>
  <c r="H6" i="3"/>
  <c r="L6" i="3" s="1"/>
  <c r="L9" i="3" s="1"/>
  <c r="G9" i="3"/>
  <c r="H9" i="3" s="1"/>
  <c r="R36" i="4"/>
  <c r="R38" i="4" s="1"/>
  <c r="T63" i="4"/>
  <c r="R64" i="4"/>
  <c r="K89" i="4"/>
  <c r="K88" i="4"/>
  <c r="K92" i="4"/>
  <c r="K91" i="4"/>
  <c r="K90" i="4"/>
  <c r="K87" i="4"/>
  <c r="N90" i="4"/>
  <c r="N87" i="4"/>
  <c r="N88" i="4"/>
  <c r="N92" i="4"/>
  <c r="N89" i="4"/>
  <c r="N91" i="4"/>
  <c r="U90" i="4"/>
  <c r="U89" i="4"/>
  <c r="U91" i="4"/>
  <c r="U88" i="4"/>
  <c r="U92" i="4"/>
  <c r="U87" i="4"/>
  <c r="J38" i="4"/>
  <c r="S89" i="4"/>
  <c r="S88" i="4"/>
  <c r="S92" i="4"/>
  <c r="S91" i="4"/>
  <c r="S90" i="4"/>
  <c r="S87" i="4"/>
  <c r="J89" i="4"/>
  <c r="W84" i="4"/>
  <c r="G12" i="3" s="1"/>
  <c r="G15" i="3" s="1"/>
  <c r="J88" i="4"/>
  <c r="J91" i="4"/>
  <c r="J92" i="4"/>
  <c r="J87" i="4"/>
  <c r="J90" i="4"/>
  <c r="O87" i="4"/>
  <c r="O91" i="4"/>
  <c r="O88" i="4"/>
  <c r="O90" i="4"/>
  <c r="O89" i="4"/>
  <c r="O92" i="4"/>
  <c r="M90" i="4"/>
  <c r="M92" i="4"/>
  <c r="M89" i="4"/>
  <c r="M88" i="4"/>
  <c r="M87" i="4"/>
  <c r="M91" i="4"/>
  <c r="L91" i="4"/>
  <c r="L90" i="4"/>
  <c r="L87" i="4"/>
  <c r="L89" i="4"/>
  <c r="L88" i="4"/>
  <c r="L92" i="4"/>
  <c r="T89" i="4"/>
  <c r="T91" i="4"/>
  <c r="T92" i="4"/>
  <c r="T90" i="4"/>
  <c r="T88" i="4"/>
  <c r="T87" i="4"/>
  <c r="Q87" i="4"/>
  <c r="Q89" i="4"/>
  <c r="Q91" i="4"/>
  <c r="Q90" i="4"/>
  <c r="Q88" i="4"/>
  <c r="Q92" i="4"/>
  <c r="P87" i="4"/>
  <c r="P88" i="4"/>
  <c r="P89" i="4"/>
  <c r="P91" i="4"/>
  <c r="P90" i="4"/>
  <c r="P92" i="4"/>
  <c r="R87" i="4"/>
  <c r="R92" i="4"/>
  <c r="R90" i="4"/>
  <c r="R88" i="4"/>
  <c r="R89" i="4"/>
  <c r="R91" i="4"/>
  <c r="R57" i="4" l="1"/>
  <c r="S57" i="4"/>
  <c r="U57" i="4"/>
  <c r="W65" i="4"/>
  <c r="H34" i="3" s="1"/>
  <c r="G34" i="3" s="1"/>
  <c r="Q57" i="4"/>
  <c r="S63" i="4"/>
  <c r="P36" i="4"/>
  <c r="P38" i="4" s="1"/>
  <c r="Q36" i="4"/>
  <c r="Q38" i="4" s="1"/>
  <c r="Q63" i="4"/>
  <c r="U36" i="4"/>
  <c r="U38" i="4" s="1"/>
  <c r="S36" i="4"/>
  <c r="S38" i="4" s="1"/>
  <c r="K36" i="4"/>
  <c r="K38" i="4" s="1"/>
  <c r="W31" i="4"/>
  <c r="O26" i="4"/>
  <c r="O27" i="4" s="1"/>
  <c r="W23" i="4"/>
  <c r="N26" i="4"/>
  <c r="N27" i="4" s="1"/>
  <c r="W32" i="4"/>
  <c r="Q56" i="4"/>
  <c r="W62" i="4" s="1"/>
  <c r="T75" i="4" s="1"/>
  <c r="W20" i="4"/>
  <c r="AC18" i="4" s="1"/>
  <c r="AC20" i="4" s="1"/>
  <c r="O36" i="4"/>
  <c r="W33" i="4"/>
  <c r="N36" i="4"/>
  <c r="P57" i="4"/>
  <c r="W64" i="4"/>
  <c r="H33" i="3" s="1"/>
  <c r="G33" i="3" s="1"/>
  <c r="W30" i="4"/>
  <c r="T36" i="4"/>
  <c r="T38" i="4" s="1"/>
  <c r="P63" i="4"/>
  <c r="L26" i="4"/>
  <c r="L27" i="4" s="1"/>
  <c r="W25" i="4"/>
  <c r="N5" i="3"/>
  <c r="O5" i="3" s="1"/>
  <c r="O6" i="3" s="1"/>
  <c r="O9" i="3" s="1"/>
  <c r="M6" i="3"/>
  <c r="M9" i="3" s="1"/>
  <c r="H87" i="4"/>
  <c r="H22" i="3" s="1"/>
  <c r="G22" i="3" s="1"/>
  <c r="M38" i="4"/>
  <c r="J6" i="3"/>
  <c r="J9" i="3" s="1"/>
  <c r="K6" i="3"/>
  <c r="K9" i="3" s="1"/>
  <c r="H92" i="4"/>
  <c r="H89" i="4"/>
  <c r="H88" i="4"/>
  <c r="H91" i="4"/>
  <c r="H15" i="3"/>
  <c r="G17" i="3"/>
  <c r="H90" i="4"/>
  <c r="N6" i="3" l="1"/>
  <c r="N9" i="3" s="1"/>
  <c r="W63" i="4"/>
  <c r="H32" i="3" s="1"/>
  <c r="G32" i="3" s="1"/>
  <c r="G35" i="3" s="1"/>
  <c r="H35" i="3" s="1"/>
  <c r="W26" i="4"/>
  <c r="W27" i="4" s="1"/>
  <c r="N38" i="4"/>
  <c r="O38" i="4"/>
  <c r="W71" i="4"/>
  <c r="H97" i="4"/>
  <c r="T76" i="4"/>
  <c r="W36" i="4"/>
  <c r="L38" i="4"/>
  <c r="I27" i="4"/>
  <c r="H24" i="3"/>
  <c r="G24" i="3" s="1"/>
  <c r="H99" i="4"/>
  <c r="H100" i="4"/>
  <c r="H25" i="3"/>
  <c r="G25" i="3" s="1"/>
  <c r="H45" i="2"/>
  <c r="K15" i="3"/>
  <c r="K17" i="3" s="1"/>
  <c r="N15" i="3"/>
  <c r="H81" i="2"/>
  <c r="H82" i="2" s="1"/>
  <c r="H83" i="2" s="1"/>
  <c r="J15" i="3"/>
  <c r="J17" i="3" s="1"/>
  <c r="H17" i="3"/>
  <c r="O15" i="3"/>
  <c r="O17" i="3" s="1"/>
  <c r="L15" i="3"/>
  <c r="L17" i="3" s="1"/>
  <c r="M15" i="3"/>
  <c r="M17" i="3" s="1"/>
  <c r="H22" i="2"/>
  <c r="H26" i="3"/>
  <c r="G26" i="3" s="1"/>
  <c r="H101" i="4"/>
  <c r="H98" i="4"/>
  <c r="H23" i="3"/>
  <c r="G23" i="3" s="1"/>
  <c r="H27" i="3"/>
  <c r="G27" i="3" s="1"/>
  <c r="H102" i="4"/>
  <c r="N17" i="3" l="1"/>
  <c r="W67" i="4"/>
  <c r="W69" i="4" s="1"/>
  <c r="D38" i="4"/>
  <c r="E38" i="4"/>
  <c r="F38" i="4"/>
  <c r="G38" i="4"/>
  <c r="H38" i="4"/>
  <c r="I38" i="4"/>
  <c r="W38" i="4"/>
  <c r="D39" i="2"/>
  <c r="H39" i="2" s="1"/>
  <c r="H40" i="2" s="1"/>
  <c r="H41" i="2" s="1"/>
  <c r="H46" i="2"/>
  <c r="H47" i="2" s="1"/>
  <c r="H23" i="2"/>
  <c r="H24" i="2" s="1"/>
  <c r="D16" i="2"/>
  <c r="H66" i="2" l="1"/>
  <c r="H67" i="2" s="1"/>
  <c r="H68" i="2" s="1"/>
  <c r="H16" i="2"/>
  <c r="H17" i="2" s="1"/>
  <c r="H18" i="2" s="1"/>
</calcChain>
</file>

<file path=xl/sharedStrings.xml><?xml version="1.0" encoding="utf-8"?>
<sst xmlns="http://schemas.openxmlformats.org/spreadsheetml/2006/main" count="791" uniqueCount="456">
  <si>
    <t>Altiflex tilbagebetaling case</t>
  </si>
  <si>
    <t>Modul V3</t>
  </si>
  <si>
    <t>Case 1: Altiflex bruges på en sag</t>
  </si>
  <si>
    <t>Køb - stk.</t>
  </si>
  <si>
    <t>Moduler V3</t>
  </si>
  <si>
    <t>Mængde rabat på modul V3</t>
  </si>
  <si>
    <t>Købspris</t>
  </si>
  <si>
    <t>Montering - besparelser ved Version V3 vs V1 ca. 50-60%</t>
  </si>
  <si>
    <t>Demontering - besparelser ved Version V3 vs V1 ca. 25-35%</t>
  </si>
  <si>
    <t>Leje - besparelse ved køb</t>
  </si>
  <si>
    <t>Varmebesparelsen pr. dag - Data fra "Den hurtige analyse"</t>
  </si>
  <si>
    <t>Tilbagebetalingstid i dage:</t>
  </si>
  <si>
    <t xml:space="preserve">Case 2:  </t>
  </si>
  <si>
    <t>Leje pr. dag</t>
  </si>
  <si>
    <t>I alt</t>
  </si>
  <si>
    <t>Tilbagebetaling inkl. Varmebesparelsen</t>
  </si>
  <si>
    <t>Case 3:</t>
  </si>
  <si>
    <t>Tilbagebetaling ekskl. Varmebesparelsen</t>
  </si>
  <si>
    <t>Døre V3</t>
  </si>
  <si>
    <t>Case 1:</t>
  </si>
  <si>
    <t>Case 2:</t>
  </si>
  <si>
    <t>Sikkerhedsrækværk med Modul V3 - Ekskl. Varmebesparelsen</t>
  </si>
  <si>
    <t>Stolpesko</t>
  </si>
  <si>
    <t>Stolpesko - Rabat</t>
  </si>
  <si>
    <t>Varmebesparelsen pr. dag</t>
  </si>
  <si>
    <t>Tilbagebetaling</t>
  </si>
  <si>
    <t>Tilbagebetaling uden varmebesparelsen</t>
  </si>
  <si>
    <t>Portramme - uden moduler</t>
  </si>
  <si>
    <t>Rabat</t>
  </si>
  <si>
    <t>Køb i alt "Moduler, Døre og Portrammer"</t>
  </si>
  <si>
    <r>
      <t>Data: Modul á 2,5m</t>
    </r>
    <r>
      <rPr>
        <b/>
        <vertAlign val="superscript"/>
        <sz val="12"/>
        <color theme="1"/>
        <rFont val="Calibri"/>
        <family val="2"/>
        <scheme val="minor"/>
      </rPr>
      <t xml:space="preserve">2 </t>
    </r>
    <r>
      <rPr>
        <b/>
        <sz val="12"/>
        <color theme="1"/>
        <rFont val="Calibri"/>
        <family val="2"/>
        <scheme val="minor"/>
      </rPr>
      <t>og dør á 2,5m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:</t>
    </r>
  </si>
  <si>
    <r>
      <t xml:space="preserve">Modul "gennemsnit" </t>
    </r>
    <r>
      <rPr>
        <b/>
        <sz val="11"/>
        <color theme="1"/>
        <rFont val="Calibri"/>
        <family val="2"/>
        <scheme val="minor"/>
      </rPr>
      <t>2,5m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</si>
  <si>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Varme besparelse ca. pr. måned "gennemsnit" 80 kr. pr.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2,5m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200 kr. pr. stk. / 30 dage = </t>
    </r>
    <r>
      <rPr>
        <b/>
        <sz val="11"/>
        <color theme="1"/>
        <rFont val="Calibri"/>
        <family val="2"/>
        <scheme val="minor"/>
      </rPr>
      <t>6,67 kr. pr. stk.</t>
    </r>
    <r>
      <rPr>
        <sz val="11"/>
        <color theme="1"/>
        <rFont val="Calibri"/>
        <family val="2"/>
        <scheme val="minor"/>
      </rPr>
      <t xml:space="preserve"> pr. dag</t>
    </r>
  </si>
  <si>
    <t>Altiflex Undervisning - Den Bæredygtige løsning 14.07.23</t>
  </si>
  <si>
    <t>Altiflex opbevaring aftale:</t>
  </si>
  <si>
    <t>Pakning, udpakning, rengøring op opbevaring</t>
  </si>
  <si>
    <t>Moduler og døre i alt</t>
  </si>
  <si>
    <t>Pris pr. måned</t>
  </si>
  <si>
    <t>Pris pr. dag pr. stk.</t>
  </si>
  <si>
    <t>Hvis kunden tænker "Hvad nu hvis vi ikke er færdige til tiden, og der skal være lukket af 30 dage ekstra?"</t>
  </si>
  <si>
    <t>Samlet pris, hvis projektet udvides til i alt:</t>
  </si>
  <si>
    <t>pr. m2</t>
  </si>
  <si>
    <t>grader Celcius</t>
  </si>
  <si>
    <t>September</t>
  </si>
  <si>
    <t>x</t>
  </si>
  <si>
    <t>Oktober</t>
  </si>
  <si>
    <t>November</t>
  </si>
  <si>
    <t>December</t>
  </si>
  <si>
    <t>Januar</t>
  </si>
  <si>
    <r>
      <t xml:space="preserve">Linjen nedenfor er netto-omkostning  pr m2 </t>
    </r>
    <r>
      <rPr>
        <i/>
        <u/>
        <sz val="9"/>
        <color theme="1"/>
        <rFont val="Calibri"/>
        <family val="2"/>
        <scheme val="minor"/>
      </rPr>
      <t>i hele perioden!</t>
    </r>
    <r>
      <rPr>
        <sz val="9"/>
        <color theme="1"/>
        <rFont val="Calibri"/>
        <family val="2"/>
        <scheme val="minor"/>
      </rPr>
      <t xml:space="preserve"> … altså ikke bare de ekstra 30 dage, men </t>
    </r>
    <r>
      <rPr>
        <i/>
        <sz val="9"/>
        <color theme="1"/>
        <rFont val="Calibri"/>
        <family val="2"/>
        <scheme val="minor"/>
      </rPr>
      <t>alle</t>
    </r>
    <r>
      <rPr>
        <sz val="9"/>
        <color theme="1"/>
        <rFont val="Calibri"/>
        <family val="2"/>
        <scheme val="minor"/>
      </rPr>
      <t xml:space="preserve"> dagene.</t>
    </r>
  </si>
  <si>
    <t>Februar</t>
  </si>
  <si>
    <t>Marts</t>
  </si>
  <si>
    <t>April</t>
  </si>
  <si>
    <t>Maj</t>
  </si>
  <si>
    <t xml:space="preserve">Der er tale om cirkatal og en foreløbig vurdering. En komplet analyse kan gennemføres i værktøjet Den Fulde Analyse. </t>
  </si>
  <si>
    <t>Juni</t>
  </si>
  <si>
    <t>Forudsætter at temperaturer i de ekstra måneder svarer til de afkrydsede måneder, hvilket er cirka-tal.</t>
  </si>
  <si>
    <t>Juli</t>
  </si>
  <si>
    <t>Som oftest ser man, at kundens netto-omkostning ved at udvide lejeperioden er meget lav eller faktisk gratis pga. varmeregningen.</t>
  </si>
  <si>
    <t>August</t>
  </si>
  <si>
    <t>Elektricitet</t>
  </si>
  <si>
    <t>Naturgas</t>
  </si>
  <si>
    <t>Diesel</t>
  </si>
  <si>
    <t>Moduler</t>
  </si>
  <si>
    <t>sum</t>
  </si>
  <si>
    <t>MODUL:</t>
  </si>
  <si>
    <r>
      <t>W/m</t>
    </r>
    <r>
      <rPr>
        <vertAlign val="superscript"/>
        <sz val="10"/>
        <color theme="3"/>
        <rFont val="Times New Roman"/>
        <family val="1"/>
      </rPr>
      <t>2</t>
    </r>
    <r>
      <rPr>
        <sz val="10"/>
        <color theme="3"/>
        <rFont val="Times New Roman"/>
        <family val="1"/>
      </rPr>
      <t>/K</t>
    </r>
  </si>
  <si>
    <t>Altiflex Systemet*</t>
  </si>
  <si>
    <t>Elpris pr kWh  (netto)</t>
  </si>
  <si>
    <t>Sep 
(30 dg)</t>
  </si>
  <si>
    <t>Okt 
(31 dg)</t>
  </si>
  <si>
    <t>Nov 
(30 dg)</t>
  </si>
  <si>
    <t>Dec 
(31 dg)</t>
  </si>
  <si>
    <t>Jan 
(31 dg)</t>
  </si>
  <si>
    <t>Feb 
(28 dg)</t>
  </si>
  <si>
    <t>Mar 
(31 dg)</t>
  </si>
  <si>
    <t>Apr 
(30 dg)</t>
  </si>
  <si>
    <t>Maj 
(31 dg)</t>
  </si>
  <si>
    <t>Jun 
(30 dg)</t>
  </si>
  <si>
    <t>Jul 
(31 dg)</t>
  </si>
  <si>
    <t>Aug 
(31 dg)</t>
  </si>
  <si>
    <t>1)</t>
  </si>
  <si>
    <t>2)</t>
  </si>
  <si>
    <t>Ja  =  +</t>
  </si>
  <si>
    <t>Antal måneder krydset af</t>
  </si>
  <si>
    <t>Samlet varmebesparelse beregnet:</t>
  </si>
  <si>
    <t>pr. m2.</t>
  </si>
  <si>
    <t>Gns. varmebesp. pr. md.</t>
  </si>
  <si>
    <t>=</t>
  </si>
  <si>
    <t>Kvalitets-tjek</t>
  </si>
  <si>
    <t>a) Ifølge Fanen "Projektdata": Antal leje-dage i projektet</t>
  </si>
  <si>
    <t>b) Ifølge Fanen "Projektdata": Antal dage uden varme</t>
  </si>
  <si>
    <t>c) = a)-b): Antal dage med varme og varmebesparelse</t>
  </si>
  <si>
    <t>https://www.dmi.dk/vejr/arkiver/normaler-og-ekstremer/klimanormaler-dk/vejrnormal/</t>
  </si>
  <si>
    <t>d) Ifølge Fanen "Varmebesparelse": Antal dage, der indgår i beregning af den gennemsnitlige varmebesparelse</t>
  </si>
  <si>
    <t>pr. måned:</t>
  </si>
  <si>
    <t xml:space="preserve">Forskel mellem c) og d) </t>
  </si>
  <si>
    <t>c) og d) behøver ikke være ens, men forskellen må højst være 16 dage. Ellers har du ikke valgt det rigtige</t>
  </si>
  <si>
    <t xml:space="preserve">antal måneder i "Varmebesparelse". Kryds de måneder af, der passer bedst til projektets længde og </t>
  </si>
  <si>
    <t>tidspunkt. Dermed beregnes varmebesparelsen på dit projekt mest præcist.</t>
  </si>
  <si>
    <t>inkl. mont/demont.</t>
  </si>
  <si>
    <t>Sum</t>
  </si>
  <si>
    <t>dage i perioden,</t>
  </si>
  <si>
    <t>Kg CO2 / kWh</t>
  </si>
  <si>
    <t xml:space="preserve"> </t>
  </si>
  <si>
    <t>Tætningsliste</t>
  </si>
  <si>
    <t>Firma XXX</t>
  </si>
  <si>
    <t>Demontering - besparelser ved Version V3 vs V1 ca. 30%</t>
  </si>
  <si>
    <t>Leje inkl. Tætningslisten - besparelse ved køb</t>
  </si>
  <si>
    <t>Montering - besparelser ved Version V3 vs V1 ca. 50%</t>
  </si>
  <si>
    <t>*</t>
  </si>
  <si>
    <t>Indtast i grønne</t>
  </si>
  <si>
    <t>Enhedspriser</t>
  </si>
  <si>
    <t>Leje pr. dag pr. stk.</t>
  </si>
  <si>
    <t>Leje pr. stk. pr. dag</t>
  </si>
  <si>
    <t>Montering</t>
  </si>
  <si>
    <t>Leje+Montering</t>
  </si>
  <si>
    <t>Montering+Demontering pr. stk.</t>
  </si>
  <si>
    <t>Leje+Montering+Demontering</t>
  </si>
  <si>
    <t>Rabat på lejen</t>
  </si>
  <si>
    <t>Leje</t>
  </si>
  <si>
    <r>
      <t xml:space="preserve">Tætningsliste V1 -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</t>
    </r>
  </si>
  <si>
    <t>Tætningslister montering</t>
  </si>
  <si>
    <t>Tætningslister demontering</t>
  </si>
  <si>
    <t>DØRE</t>
  </si>
  <si>
    <r>
      <t xml:space="preserve">Altiflex Leje-prisliste, </t>
    </r>
    <r>
      <rPr>
        <b/>
        <u/>
        <sz val="12"/>
        <rFont val="Calibri"/>
        <family val="2"/>
        <scheme val="minor"/>
      </rPr>
      <t>V1 og V3 døre</t>
    </r>
  </si>
  <si>
    <t>Dør</t>
  </si>
  <si>
    <t>Prisændring…. Ændrer V1-dørens lejepris… altså justering af tallet i D12.</t>
  </si>
  <si>
    <t>(indtast negativt tal for at reducere prisen på en dør)</t>
  </si>
  <si>
    <t xml:space="preserve">DØR V1 - kr. pr. stk. </t>
  </si>
  <si>
    <t>Leje. pr. stk. i perioden</t>
  </si>
  <si>
    <r>
      <t xml:space="preserve">DØR V1 inkl. Tætning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</t>
    </r>
  </si>
  <si>
    <r>
      <t xml:space="preserve">Altiflex døre montering… EKSKL. tætningsliste. 
(I prislisten står </t>
    </r>
    <r>
      <rPr>
        <b/>
        <i/>
        <sz val="12"/>
        <rFont val="Calibri"/>
        <family val="2"/>
        <scheme val="minor"/>
      </rPr>
      <t>inkl</t>
    </r>
    <r>
      <rPr>
        <b/>
        <sz val="12"/>
        <rFont val="Calibri"/>
        <family val="2"/>
        <scheme val="minor"/>
      </rPr>
      <t>. tætning, men indtil videre forudsætter jeg her, at det er EKSKL. tætning og lægger tætning til nedenfor.)</t>
    </r>
  </si>
  <si>
    <t xml:space="preserve">Monteringspris </t>
  </si>
  <si>
    <t>Demonteringspris</t>
  </si>
  <si>
    <t>Tillægspriser til ovenstående</t>
  </si>
  <si>
    <t>DØR V3 
Dør V1 inkl. tætningsliste</t>
  </si>
  <si>
    <t>Altiflex døre montering og demont</t>
  </si>
  <si>
    <t xml:space="preserve">Services Partner
</t>
  </si>
  <si>
    <t>Altiflex</t>
  </si>
  <si>
    <t>Gennemsnit beregner på lejedage &amp; lejedage</t>
  </si>
  <si>
    <r>
      <t xml:space="preserve">Overskriv </t>
    </r>
    <r>
      <rPr>
        <b/>
        <u/>
        <sz val="11"/>
        <color rgb="FFFF0000"/>
        <rFont val="Calibri"/>
        <family val="2"/>
        <scheme val="minor"/>
      </rPr>
      <t>kun</t>
    </r>
    <r>
      <rPr>
        <b/>
        <sz val="11"/>
        <color rgb="FFFF0000"/>
        <rFont val="Calibri"/>
        <family val="2"/>
        <scheme val="minor"/>
      </rPr>
      <t xml:space="preserve"> røde tal!</t>
    </r>
  </si>
  <si>
    <t>Aflukning nr. 1</t>
  </si>
  <si>
    <t>Aflukning nr. 2</t>
  </si>
  <si>
    <t>Gennemsnit "Aflukning nr. 1-4":</t>
  </si>
  <si>
    <t>Aflukning nr. 3</t>
  </si>
  <si>
    <t>Aflukning nr. 4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</si>
  <si>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</si>
  <si>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Leje dage ialt</t>
  </si>
  <si>
    <t>Dage</t>
  </si>
  <si>
    <t>Tager forbehold for taste fejl</t>
  </si>
  <si>
    <t>Average calculates on rental days &amp; rental days</t>
  </si>
  <si>
    <r>
      <t xml:space="preserve">Overwrite </t>
    </r>
    <r>
      <rPr>
        <b/>
        <u/>
        <sz val="11"/>
        <color rgb="FFFF0000"/>
        <rFont val="Calibri"/>
        <family val="2"/>
        <scheme val="minor"/>
      </rPr>
      <t>only</t>
    </r>
    <r>
      <rPr>
        <b/>
        <sz val="11"/>
        <color rgb="FFFF0000"/>
        <rFont val="Calibri"/>
        <family val="2"/>
        <scheme val="minor"/>
      </rPr>
      <t xml:space="preserve"> red numbers!</t>
    </r>
  </si>
  <si>
    <t>Closure nr. 1</t>
  </si>
  <si>
    <t>Closure nr. 2</t>
  </si>
  <si>
    <t>Average "Closure nr. 1-4":</t>
  </si>
  <si>
    <t>Closure nr. 3</t>
  </si>
  <si>
    <t>Closure nr. 4</t>
  </si>
  <si>
    <t>Rental days ialt</t>
  </si>
  <si>
    <t>Days</t>
  </si>
  <si>
    <t>Subject to typing errors</t>
  </si>
  <si>
    <t>MODULER</t>
  </si>
  <si>
    <r>
      <t xml:space="preserve">Altiflex Leje-prisliste, </t>
    </r>
    <r>
      <rPr>
        <b/>
        <u/>
        <sz val="12"/>
        <rFont val="Calibri"/>
        <family val="2"/>
        <scheme val="minor"/>
      </rPr>
      <t>V1 og V3 moduler</t>
    </r>
  </si>
  <si>
    <r>
      <t>Stk. og m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priser</t>
    </r>
  </si>
  <si>
    <t>Prisændring…. Ændrer V1-modul lejepris… altså justering af tallet i B12.</t>
  </si>
  <si>
    <t>Montering og demonterings priser ligger i bunden af arket!</t>
  </si>
  <si>
    <t>(indtast negativt tal for at reducere prisen på et modul)</t>
  </si>
  <si>
    <t>Tætningslister</t>
  </si>
  <si>
    <r>
      <t xml:space="preserve">Modul V1 -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
</t>
    </r>
    <r>
      <rPr>
        <b/>
        <sz val="12"/>
        <color rgb="FFFF0000"/>
        <rFont val="Calibri"/>
        <family val="2"/>
        <scheme val="minor"/>
      </rPr>
      <t>Ekskl. tætningslister</t>
    </r>
  </si>
  <si>
    <r>
      <t>Leje. pr. stk.</t>
    </r>
    <r>
      <rPr>
        <b/>
        <sz val="12"/>
        <rFont val="Calibri"/>
        <family val="2"/>
      </rPr>
      <t xml:space="preserve"> </t>
    </r>
    <r>
      <rPr>
        <b/>
        <sz val="12"/>
        <rFont val="Calibri"/>
        <family val="2"/>
        <scheme val="minor"/>
      </rPr>
      <t>i perioden</t>
    </r>
  </si>
  <si>
    <t>Montering og demontering er beregnet ved søjlebjælkehus, 50% over 2,25m og 50% under.</t>
  </si>
  <si>
    <r>
      <t xml:space="preserve">Modul V1 - kr. pr. </t>
    </r>
    <r>
      <rPr>
        <b/>
        <u/>
        <sz val="12"/>
        <rFont val="Calibri"/>
        <family val="2"/>
        <scheme val="minor"/>
      </rPr>
      <t>m</t>
    </r>
    <r>
      <rPr>
        <b/>
        <u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- </t>
    </r>
    <r>
      <rPr>
        <b/>
        <sz val="12"/>
        <color rgb="FFFF0000"/>
        <rFont val="Calibri"/>
        <family val="2"/>
        <scheme val="minor"/>
      </rPr>
      <t>Stk pris omregnet til m</t>
    </r>
    <r>
      <rPr>
        <b/>
        <vertAlign val="superscript"/>
        <sz val="12"/>
        <color rgb="FFFF0000"/>
        <rFont val="Calibri"/>
        <family val="2"/>
        <scheme val="minor"/>
      </rPr>
      <t>2</t>
    </r>
    <r>
      <rPr>
        <b/>
        <sz val="12"/>
        <color rgb="FFFF0000"/>
        <rFont val="Calibri"/>
        <family val="2"/>
        <scheme val="minor"/>
      </rPr>
      <t xml:space="preserve"> pris</t>
    </r>
    <r>
      <rPr>
        <b/>
        <sz val="12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Ekskl. tætningslister</t>
    </r>
  </si>
  <si>
    <t>Leje pr. m2 pr. dag</t>
  </si>
  <si>
    <r>
      <t>Leje. pr. m2</t>
    </r>
    <r>
      <rPr>
        <b/>
        <sz val="12"/>
        <rFont val="Calibri"/>
        <family val="2"/>
      </rPr>
      <t xml:space="preserve"> </t>
    </r>
    <r>
      <rPr>
        <b/>
        <sz val="12"/>
        <rFont val="Calibri"/>
        <family val="2"/>
        <scheme val="minor"/>
      </rPr>
      <t>i perioden</t>
    </r>
  </si>
  <si>
    <t>Montering+Demontering pr. m2.</t>
  </si>
  <si>
    <r>
      <t xml:space="preserve">Leje+Montering+Demontering… V1 </t>
    </r>
    <r>
      <rPr>
        <b/>
        <u/>
        <sz val="12"/>
        <rFont val="Calibri"/>
        <family val="2"/>
        <scheme val="minor"/>
      </rPr>
      <t>UDEN</t>
    </r>
    <r>
      <rPr>
        <b/>
        <sz val="12"/>
        <rFont val="Calibri"/>
        <family val="2"/>
        <scheme val="minor"/>
      </rPr>
      <t xml:space="preserve"> tætning. pr. m2</t>
    </r>
  </si>
  <si>
    <r>
      <t>Modul - gennemsnit i m</t>
    </r>
    <r>
      <rPr>
        <vertAlign val="superscript"/>
        <sz val="12"/>
        <rFont val="Calibri"/>
        <family val="2"/>
        <scheme val="minor"/>
      </rPr>
      <t>2</t>
    </r>
  </si>
  <si>
    <t>Skal også rettes til 2,5 i prislister… alle steder.</t>
  </si>
  <si>
    <r>
      <t xml:space="preserve">Tætningsliste V1 - kr. pr. </t>
    </r>
    <r>
      <rPr>
        <b/>
        <u/>
        <sz val="12"/>
        <rFont val="Calibri"/>
        <family val="2"/>
        <scheme val="minor"/>
      </rPr>
      <t>m</t>
    </r>
    <r>
      <rPr>
        <b/>
        <u/>
        <vertAlign val="super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- </t>
    </r>
    <r>
      <rPr>
        <b/>
        <sz val="12"/>
        <color rgb="FFFF0000"/>
        <rFont val="Calibri"/>
        <family val="2"/>
        <scheme val="minor"/>
      </rPr>
      <t>Stk pris omregnet til m2 pris</t>
    </r>
  </si>
  <si>
    <r>
      <t xml:space="preserve">Modul V1 inkl. Tætning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</t>
    </r>
  </si>
  <si>
    <r>
      <t xml:space="preserve">Modul V1 inkl. tætning - kr. pr. </t>
    </r>
    <r>
      <rPr>
        <b/>
        <u/>
        <sz val="12"/>
        <rFont val="Calibri"/>
        <family val="2"/>
        <scheme val="minor"/>
      </rPr>
      <t>m</t>
    </r>
    <r>
      <rPr>
        <b/>
        <u/>
        <vertAlign val="superscript"/>
        <sz val="12"/>
        <rFont val="Calibri"/>
        <family val="2"/>
        <scheme val="minor"/>
      </rPr>
      <t>2</t>
    </r>
  </si>
  <si>
    <t>Leje+Montering+Demontering pr. m2… V1 INKL. tætning</t>
  </si>
  <si>
    <t>V3-tabeller</t>
  </si>
  <si>
    <t>Prisændring…. Ændrer V3-modul lejepris… altså justering af tallet i B107.</t>
  </si>
  <si>
    <r>
      <t xml:space="preserve">Modul V3 - kr. pr. </t>
    </r>
    <r>
      <rPr>
        <b/>
        <u/>
        <sz val="12"/>
        <rFont val="Calibri"/>
        <family val="2"/>
        <scheme val="minor"/>
      </rPr>
      <t>stk</t>
    </r>
    <r>
      <rPr>
        <b/>
        <sz val="12"/>
        <rFont val="Calibri"/>
        <family val="2"/>
        <scheme val="minor"/>
      </rPr>
      <t xml:space="preserve">. </t>
    </r>
  </si>
  <si>
    <r>
      <t xml:space="preserve">Modul V3 - kr. pr. </t>
    </r>
    <r>
      <rPr>
        <b/>
        <u/>
        <sz val="12"/>
        <rFont val="Calibri"/>
        <family val="2"/>
        <scheme val="minor"/>
      </rPr>
      <t>m2</t>
    </r>
    <r>
      <rPr>
        <b/>
        <sz val="12"/>
        <rFont val="Calibri"/>
        <family val="2"/>
        <scheme val="minor"/>
      </rPr>
      <t xml:space="preserve">. - </t>
    </r>
    <r>
      <rPr>
        <b/>
        <sz val="12"/>
        <color rgb="FFFF0000"/>
        <rFont val="Calibri"/>
        <family val="2"/>
        <scheme val="minor"/>
      </rPr>
      <t>Stk pris omregnet til m</t>
    </r>
    <r>
      <rPr>
        <b/>
        <vertAlign val="superscript"/>
        <sz val="12"/>
        <color rgb="FFFF0000"/>
        <rFont val="Calibri"/>
        <family val="2"/>
        <scheme val="minor"/>
      </rPr>
      <t>2</t>
    </r>
    <r>
      <rPr>
        <b/>
        <sz val="12"/>
        <color rgb="FFFF0000"/>
        <rFont val="Calibri"/>
        <family val="2"/>
        <scheme val="minor"/>
      </rPr>
      <t xml:space="preserve"> pris</t>
    </r>
  </si>
  <si>
    <t>Leje+Montering+Demontering… V3 pr m2</t>
  </si>
  <si>
    <t xml:space="preserve">Moduler V1 - Montering og demontage priser  </t>
  </si>
  <si>
    <r>
      <t xml:space="preserve">Søjle bjælkehus 
</t>
    </r>
    <r>
      <rPr>
        <sz val="14"/>
        <color theme="1"/>
        <rFont val="Calibri"/>
        <family val="2"/>
        <scheme val="minor"/>
      </rPr>
      <t>Erfaring ca 2,4 - 2,8 m2 i gennemsnit pr. modul
Med/fra 2 stk. lodret tømmer eller S-stolper</t>
    </r>
  </si>
  <si>
    <t>Partner pris
inkl. tømmer, stolpesko og vinkler</t>
  </si>
  <si>
    <t>Services Partner
Op til ca. 5 meter</t>
  </si>
  <si>
    <t xml:space="preserve">Monteringspris op til 2,25 meter (1 stk. modul stående) eller (2 stk. moduler liggende) </t>
  </si>
  <si>
    <t>Modul</t>
  </si>
  <si>
    <t>Monteringspris fra 2,25 meter og op (Montering fra: Stige, lift, stillads m.v.)</t>
  </si>
  <si>
    <t xml:space="preserve">Demonteringspris op til 2,25 meter (1 stk. modul stående) eller (2 stk. moduler liggende) </t>
  </si>
  <si>
    <t>Demonteringspris fra 2,25 meter og op (Montering fra: Stige, lift, stillads m.v.)</t>
  </si>
  <si>
    <t>Services Partner har skruer, bor, torks, bits med i sin pris - se aftalegrundlag s.13 i Altiflex prisliste</t>
  </si>
  <si>
    <t xml:space="preserve">Moduler V3 - Montering og demontage priser  </t>
  </si>
  <si>
    <r>
      <t xml:space="preserve">Søjle bjælkehus 
</t>
    </r>
    <r>
      <rPr>
        <sz val="13"/>
        <color theme="1"/>
        <rFont val="Calibri"/>
        <family val="2"/>
        <scheme val="minor"/>
      </rPr>
      <t>Erfaring ca 2,4 - 2,8 m2 i gennemsnit pr. modul
Med/fra 2 stk. lodret tømmer eller S-stolper</t>
    </r>
  </si>
  <si>
    <t>Services Partner pris</t>
  </si>
  <si>
    <t>Tætningslister - Montering og demontage priser</t>
  </si>
  <si>
    <t>Liste priser:
Lejepriser gældende fra 31.12.2022 til 31-12-23 2024</t>
  </si>
  <si>
    <t>Moduler opbevaring 13 dkr pr stk pr måned for opbevaring, pakning, udpakning og alm vask</t>
  </si>
  <si>
    <t>I Danmark afskriver vi Altiflex moduler og døre over 20 år</t>
  </si>
  <si>
    <t>Holbarheden ca 40 år - Der er en rapport Danvurdering</t>
  </si>
  <si>
    <t>https://danvurdering.dk/</t>
  </si>
  <si>
    <t>Restværdig efter 10 år</t>
  </si>
  <si>
    <t>Altiflex Partner får 20% rabat der hvor der ikke er givet rabat på alt hvad de lejer fra Altiflex Centrallager</t>
  </si>
  <si>
    <t>Minimum pr. måned er 5.000 kr. "Oprettet i vores system inkl. Styring"</t>
  </si>
  <si>
    <t>SAG OG KONTAKTOPLYSNINGER</t>
  </si>
  <si>
    <t>Firma</t>
  </si>
  <si>
    <t>Sagsnavn</t>
  </si>
  <si>
    <t>Byggeleder</t>
  </si>
  <si>
    <t>Cvr. nr.</t>
  </si>
  <si>
    <t xml:space="preserve">Sag nr. </t>
  </si>
  <si>
    <t>Mobil nr.</t>
  </si>
  <si>
    <t>Forsikringssum</t>
  </si>
  <si>
    <t>Faktura nr.</t>
  </si>
  <si>
    <t xml:space="preserve">Byggeplads adr. </t>
  </si>
  <si>
    <t>Post nr. og by</t>
  </si>
  <si>
    <t>FORHOLD UNDER UDFØRSEL</t>
  </si>
  <si>
    <t>MÆNGDE OG TIDSPLAN</t>
  </si>
  <si>
    <t>NOTER</t>
  </si>
  <si>
    <t>Tætning</t>
  </si>
  <si>
    <t>Ja</t>
  </si>
  <si>
    <t>Nej</t>
  </si>
  <si>
    <t>Antal</t>
  </si>
  <si>
    <t>Mængde</t>
  </si>
  <si>
    <r>
      <t>M</t>
    </r>
    <r>
      <rPr>
        <vertAlign val="superscript"/>
        <sz val="22"/>
        <color theme="1"/>
        <rFont val="Calibri"/>
        <family val="2"/>
        <scheme val="minor"/>
      </rPr>
      <t>2</t>
    </r>
    <r>
      <rPr>
        <sz val="22"/>
        <color theme="1"/>
        <rFont val="Calibri"/>
        <family val="2"/>
        <scheme val="minor"/>
      </rPr>
      <t xml:space="preserve"> pris</t>
    </r>
  </si>
  <si>
    <t>Gennemsnitsdage</t>
  </si>
  <si>
    <t>Tætningskit</t>
  </si>
  <si>
    <t>Stk. pris</t>
  </si>
  <si>
    <t>Gennemsnit pr. modul</t>
  </si>
  <si>
    <t>Tape - profil og rude</t>
  </si>
  <si>
    <t>Fast pris</t>
  </si>
  <si>
    <t>Tape - væg, gulv eller loft</t>
  </si>
  <si>
    <t>Type af byggeri</t>
  </si>
  <si>
    <t>Placering</t>
  </si>
  <si>
    <t>Bemærkning</t>
  </si>
  <si>
    <t>X</t>
  </si>
  <si>
    <t>Montage af modul i hul - cm fra kant</t>
  </si>
  <si>
    <t>Element</t>
  </si>
  <si>
    <t>Montage bag søjler</t>
  </si>
  <si>
    <t>Søjle-bjælke</t>
  </si>
  <si>
    <t>Montage mellem søjler</t>
  </si>
  <si>
    <t>Vægge over 4 m i højden</t>
  </si>
  <si>
    <t>Montage foran søjler</t>
  </si>
  <si>
    <t>Opstart*</t>
  </si>
  <si>
    <t>Hæves over gulv - højde i cm</t>
  </si>
  <si>
    <t>Facade/etage/hul nr.</t>
  </si>
  <si>
    <t>Start dato</t>
  </si>
  <si>
    <t>Slut dato</t>
  </si>
  <si>
    <t>Bemærkning - størrelse</t>
  </si>
  <si>
    <t>Støbe stop - højde i cm</t>
  </si>
  <si>
    <t>Fastgørelse</t>
  </si>
  <si>
    <t>Bore i drager - beton overlægger</t>
  </si>
  <si>
    <t>Bore i søjler</t>
  </si>
  <si>
    <t>Bore i gulv - gulvvarme</t>
  </si>
  <si>
    <t>*Noter start og slut dato, så gennemsnitsdage kan udregnes</t>
  </si>
  <si>
    <t>Bore i loft</t>
  </si>
  <si>
    <t>Montagetid</t>
  </si>
  <si>
    <t>Stropper om søjler</t>
  </si>
  <si>
    <t>Antal montører</t>
  </si>
  <si>
    <t>Timer pr. etage/hul</t>
  </si>
  <si>
    <t>Moduler pr. montør pr. dag</t>
  </si>
  <si>
    <t>Som sikkerhedsrækværk</t>
  </si>
  <si>
    <t>Altiflex systemet</t>
  </si>
  <si>
    <t>Diverse</t>
  </si>
  <si>
    <r>
      <t>cm/m/m</t>
    </r>
    <r>
      <rPr>
        <vertAlign val="superscript"/>
        <sz val="22"/>
        <color theme="1"/>
        <rFont val="Calibri"/>
        <family val="2"/>
        <scheme val="minor"/>
      </rPr>
      <t>2</t>
    </r>
  </si>
  <si>
    <t>Nye facader</t>
  </si>
  <si>
    <t>Vandret tømmer - højde i cm</t>
  </si>
  <si>
    <t>Nye vinduer</t>
  </si>
  <si>
    <t>X-Finer</t>
  </si>
  <si>
    <t>Dokumenter</t>
  </si>
  <si>
    <t>Polycarbonatplader</t>
  </si>
  <si>
    <t>Dokument nr. m.v.</t>
  </si>
  <si>
    <t>Andre dokumenter - Bilag nr.- se mail</t>
  </si>
  <si>
    <t>Stof - f.eks. tætning om rør</t>
  </si>
  <si>
    <t>Facadetegninger</t>
  </si>
  <si>
    <t>Isolering - f.eks. tætning om rør</t>
  </si>
  <si>
    <t>Etageplaner</t>
  </si>
  <si>
    <t>Kørsel og hejs</t>
  </si>
  <si>
    <t>Snittegninger</t>
  </si>
  <si>
    <t>Kørsel betales af kunde</t>
  </si>
  <si>
    <t>Vinduesplan</t>
  </si>
  <si>
    <t>Kørsel er inkl. i tilbuddet</t>
  </si>
  <si>
    <t>Beskrivelse</t>
  </si>
  <si>
    <t>Hejs på pladsen</t>
  </si>
  <si>
    <t>Oversigtplan - byggepladsen</t>
  </si>
  <si>
    <t>Aftale vedr. op/nedbæring</t>
  </si>
  <si>
    <t xml:space="preserve">Plan for sikkerhed og sundhed </t>
  </si>
  <si>
    <t>Bemærkninger</t>
  </si>
  <si>
    <t>Dør nr. 1,2,3,18 (max B 130x H215 cm)</t>
  </si>
  <si>
    <t>Dør ekstra bred nr. 4,22,25 (max B 160x H215 cm)</t>
  </si>
  <si>
    <t>Lejedage pr. dør</t>
  </si>
  <si>
    <t>Hængelåse</t>
  </si>
  <si>
    <t>Nøgler</t>
  </si>
  <si>
    <t>Lejedage pr. hængelås</t>
  </si>
  <si>
    <t>Dørramme 2x6" tømmer - hvis dør f.eks sidder i alufacade</t>
  </si>
  <si>
    <t>Portramme</t>
  </si>
  <si>
    <t>Enkelt</t>
  </si>
  <si>
    <t>Dobbelt</t>
  </si>
  <si>
    <t>Indadgående</t>
  </si>
  <si>
    <t>Udadgående</t>
  </si>
  <si>
    <t>Port dimension (BxH)</t>
  </si>
  <si>
    <t>Pris på materialer m.v. til specialløsning</t>
  </si>
  <si>
    <t>Kr. pr. meter / pr. stk. / pr. m2</t>
  </si>
  <si>
    <t>Forhold der ikke er inkl. i beregningen - tilbudsgiver prissætter selv</t>
  </si>
  <si>
    <t>Stillads, lift, manitou, kørsel, afsætningsplatform m.v.</t>
  </si>
  <si>
    <t>Rækværk - montering og demontering</t>
  </si>
  <si>
    <t>Bære på trapper - op/ned</t>
  </si>
  <si>
    <r>
      <t xml:space="preserve">Varmebesparelse - Fra oktober til marts "gennemsnit" </t>
    </r>
    <r>
      <rPr>
        <b/>
        <sz val="11"/>
        <color theme="1"/>
        <rFont val="Calibri"/>
        <family val="2"/>
        <scheme val="minor"/>
      </rPr>
      <t>80 kr. pr. m2 pr. måned</t>
    </r>
  </si>
  <si>
    <t>Pris i alt</t>
  </si>
  <si>
    <t>Leje pr. modul</t>
  </si>
  <si>
    <t>Modul i gennemsnit m2</t>
  </si>
  <si>
    <t>Pris pr. m2</t>
  </si>
  <si>
    <t>Total price</t>
  </si>
  <si>
    <t>Rent per module</t>
  </si>
  <si>
    <t>Module in average m2</t>
  </si>
  <si>
    <t>Price per m2</t>
  </si>
  <si>
    <t xml:space="preserve">Här får du en snabb utvärdering av ett projekt med några enkla data. </t>
  </si>
  <si>
    <r>
      <t xml:space="preserve">Skriv in dina data i de </t>
    </r>
    <r>
      <rPr>
        <b/>
        <u/>
        <sz val="15"/>
        <color rgb="FF2AAD13"/>
        <rFont val="Calibri (Brödtext)"/>
      </rPr>
      <t xml:space="preserve">GRÖNA </t>
    </r>
    <r>
      <rPr>
        <b/>
        <u/>
        <sz val="15"/>
        <color theme="1"/>
        <rFont val="Calibri"/>
        <family val="2"/>
        <scheme val="minor"/>
      </rPr>
      <t>cellerna</t>
    </r>
  </si>
  <si>
    <t>Byggprojekt XX</t>
  </si>
  <si>
    <t>Projekt</t>
  </si>
  <si>
    <t>Önskad innetemperatur 
+5 grader pga värmeförlust</t>
  </si>
  <si>
    <t>Fasad-areal instängt</t>
  </si>
  <si>
    <t>Sätt x vid valda månader</t>
  </si>
  <si>
    <t>Januari</t>
  </si>
  <si>
    <t>Februari</t>
  </si>
  <si>
    <t>Mars</t>
  </si>
  <si>
    <t>Augusti</t>
  </si>
  <si>
    <t>Antal valda månader:</t>
  </si>
  <si>
    <t>Cirka antal dagar</t>
  </si>
  <si>
    <t>Projektdata - preliminär utvärdering</t>
  </si>
  <si>
    <t>Cirkapris på hyra av Altiflex Systemet</t>
  </si>
  <si>
    <t>Värmebesparing vid användade av Altiflex Systemet istället för reglar och plast</t>
  </si>
  <si>
    <t>Pris per kWh för uppvärmning</t>
  </si>
  <si>
    <t>Besparing på uppvärmning</t>
  </si>
  <si>
    <t>Kundens ca. netto-utgift efter besparing</t>
  </si>
  <si>
    <t>När netto är negativ, sparar kunden mer i värme än priset på Altiflex Systemet</t>
  </si>
  <si>
    <r>
      <rPr>
        <b/>
        <u/>
        <sz val="13"/>
        <color theme="1"/>
        <rFont val="Calibri"/>
        <family val="2"/>
        <scheme val="minor"/>
      </rPr>
      <t>Reduktion av CO2-utsläpp</t>
    </r>
    <r>
      <rPr>
        <b/>
        <u/>
        <sz val="11"/>
        <color theme="1"/>
        <rFont val="Calibri"/>
        <family val="2"/>
        <scheme val="minor"/>
      </rPr>
      <t xml:space="preserve"> vid den angivna kWh-besparingen</t>
    </r>
  </si>
  <si>
    <t>Fjärrvärme</t>
  </si>
  <si>
    <t>Olja</t>
  </si>
  <si>
    <t>CO2-reduktion i genomsnitt</t>
  </si>
  <si>
    <t>Källa: Viegand &amp; Maagøe</t>
  </si>
  <si>
    <t>Totalt</t>
  </si>
  <si>
    <t>Material och montering</t>
  </si>
  <si>
    <t>Sparade utgifter för instängning med  reglar och plast
enligt Byggeriets Beregnerservice</t>
  </si>
  <si>
    <t>Underhåll</t>
  </si>
  <si>
    <t>Demontering och avfall</t>
  </si>
  <si>
    <t>Källa: Byggeriets Beregnerservice</t>
  </si>
  <si>
    <t>Kunden görs uppmärksam på, att det är preliminära siffror.</t>
  </si>
  <si>
    <r>
      <t xml:space="preserve">Nedanstående linje är nettokostnad per m2 </t>
    </r>
    <r>
      <rPr>
        <i/>
        <u/>
        <sz val="11"/>
        <color theme="1"/>
        <rFont val="Calibri (Brödtext)"/>
      </rPr>
      <t xml:space="preserve">för hela perioden … </t>
    </r>
    <r>
      <rPr>
        <sz val="11"/>
        <color theme="1"/>
        <rFont val="Calibri (Brödtext)"/>
      </rPr>
      <t>alltså inte bara de extra trettio dagarna, utan alla dagarna.</t>
    </r>
  </si>
  <si>
    <t>Förutsätter att temperatuer i de extra månaderna svara till de markerade månader, vilka är ungefärliga tal.</t>
  </si>
  <si>
    <t>Detta är ungefärliga tal och en preliminär värdering. En komplett analys kan utföras med verktyget Den Totala Analysen.</t>
  </si>
  <si>
    <t>Om kunden tänker "Men om vi nu inte blir färdiga i tid, och det måste vara instängt i 30 dagar till?"</t>
  </si>
  <si>
    <t>Totalsumma, om projektet förlängs i totalt:</t>
  </si>
  <si>
    <t>30 hyrdagar</t>
  </si>
  <si>
    <t>Oftast kan man se, att kundens nettokostnad genom att förlänga hyresperioden blir mycket låg eller faktiskt gratis pga. värmeräkningen.</t>
  </si>
  <si>
    <t>Besparing på reglar och plast när Altiflex systemet används istället</t>
  </si>
  <si>
    <t>När fliken är UN-protected / upplåst: Skriv endast i de GRÖNA rutorna!</t>
  </si>
  <si>
    <t>BERÄKNING AV VÄRMEBESPARING VID ANVÄNDANDET AV ALTIFLEX 
ALTIFLEX MODULER</t>
  </si>
  <si>
    <t>Förutsättning:
(U-värde)</t>
  </si>
  <si>
    <t>Skillnad i U-värde</t>
  </si>
  <si>
    <t>* U-värdet för Altiflex Systemet har verifierats av Teknologisk Institut.</t>
  </si>
  <si>
    <t>Pris pr 4. kvartal 2018, 5-10.000 kWh (verifierat hos Ørsted &amp; NRGi)</t>
  </si>
  <si>
    <t>Månatlig medeltemp. Väderdata 2006-2015 Enl. DMI</t>
  </si>
  <si>
    <t>Innetemperatur  (minimum)</t>
  </si>
  <si>
    <r>
      <t>Sparad energi  pr. m</t>
    </r>
    <r>
      <rPr>
        <vertAlign val="superscript"/>
        <sz val="11"/>
        <color theme="1"/>
        <rFont val="Times New Roman"/>
        <family val="1"/>
      </rPr>
      <t xml:space="preserve">2 </t>
    </r>
    <r>
      <rPr>
        <sz val="11"/>
        <color theme="1"/>
        <rFont val="Times New Roman"/>
        <family val="1"/>
      </rPr>
      <t xml:space="preserve"> fasadstängning pr. dag</t>
    </r>
  </si>
  <si>
    <r>
      <t>Besparing pr. m</t>
    </r>
    <r>
      <rPr>
        <vertAlign val="superscript"/>
        <sz val="11"/>
        <color theme="1"/>
        <rFont val="Times New Roman"/>
        <family val="1"/>
      </rPr>
      <t xml:space="preserve">2  </t>
    </r>
    <r>
      <rPr>
        <sz val="11"/>
        <color theme="1"/>
        <rFont val="Times New Roman"/>
        <family val="1"/>
      </rPr>
      <t>fasadstängning pr. dag</t>
    </r>
  </si>
  <si>
    <t>Används täckning?</t>
  </si>
  <si>
    <r>
      <t>Värmebesparing pr. m</t>
    </r>
    <r>
      <rPr>
        <b/>
        <i/>
        <u/>
        <vertAlign val="superscript"/>
        <sz val="11"/>
        <color theme="1"/>
        <rFont val="Times New Roman"/>
        <family val="1"/>
      </rPr>
      <t>2</t>
    </r>
    <r>
      <rPr>
        <b/>
        <i/>
        <u/>
        <sz val="11"/>
        <color theme="1"/>
        <rFont val="Times New Roman"/>
        <family val="1"/>
      </rPr>
      <t xml:space="preserve"> pr. månad med Altiflex</t>
    </r>
  </si>
  <si>
    <r>
      <t>Prisexempel: 1m</t>
    </r>
    <r>
      <rPr>
        <b/>
        <i/>
        <u/>
        <vertAlign val="superscript"/>
        <sz val="11"/>
        <color theme="1"/>
        <rFont val="Times New Roman"/>
        <family val="1"/>
      </rPr>
      <t>2</t>
    </r>
    <r>
      <rPr>
        <b/>
        <i/>
        <u/>
        <sz val="11"/>
        <color theme="1"/>
        <rFont val="Times New Roman"/>
        <family val="1"/>
      </rPr>
      <t>/dag Altiflex modul inkl tätningslist</t>
    </r>
  </si>
  <si>
    <r>
      <t>Demontering och packning pr. m</t>
    </r>
    <r>
      <rPr>
        <vertAlign val="superscript"/>
        <sz val="11"/>
        <color theme="1"/>
        <rFont val="Times New Roman"/>
        <family val="1"/>
      </rPr>
      <t>2</t>
    </r>
  </si>
  <si>
    <r>
      <t>Utpackning och montering pr. m</t>
    </r>
    <r>
      <rPr>
        <vertAlign val="superscript"/>
        <sz val="11"/>
        <color theme="1"/>
        <rFont val="Times New Roman"/>
        <family val="1"/>
      </rPr>
      <t>2</t>
    </r>
  </si>
  <si>
    <r>
      <t>Skriv in hyra pr. 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 pr. dag inkl. tätningslist</t>
    </r>
  </si>
  <si>
    <t>Kostnad vid Altiflex-täckning</t>
  </si>
  <si>
    <t>Nettokostnad inkl. värmebesparing</t>
  </si>
  <si>
    <t>Lönekostnad pr. timme</t>
  </si>
  <si>
    <t>Uppmätning, inköp och produktion</t>
  </si>
  <si>
    <t>Material</t>
  </si>
  <si>
    <t xml:space="preserve"> + Spill</t>
  </si>
  <si>
    <t>Underhåll pr månad</t>
  </si>
  <si>
    <t>Demontering och nedbärning</t>
  </si>
  <si>
    <t>Uppbärning och montering</t>
  </si>
  <si>
    <t>Avfall</t>
  </si>
  <si>
    <t>Kostnad vid plasttäckning</t>
  </si>
  <si>
    <t>Prisexempel: Plasttäckning - Beräkningen är från Byggeriets Beregnerservice.</t>
  </si>
  <si>
    <t>Lönekostnad pr. minut  /  pr. timme</t>
  </si>
  <si>
    <t>Uppmätning, inköp &amp; produktion</t>
  </si>
  <si>
    <t xml:space="preserve">Material </t>
  </si>
  <si>
    <t>Underhåll pr månad (från 2. månaden)</t>
  </si>
  <si>
    <t>Allmänna förutsättningar:</t>
  </si>
  <si>
    <r>
      <t>Ovanstående beräkning visas som standard för 1 m</t>
    </r>
    <r>
      <rPr>
        <vertAlign val="superscript"/>
        <sz val="11"/>
        <rFont val="Times New Roman"/>
        <family val="1"/>
      </rPr>
      <t>2</t>
    </r>
  </si>
  <si>
    <t xml:space="preserve">Genom att skriva in det samlade arealet här, kan den totala besparingen avläsas i schemat. </t>
  </si>
  <si>
    <t>I beräkningen utgås det ifrån, att byggnaden är uppvärmd dygnet runt.</t>
  </si>
  <si>
    <t>1) DMI utetemperaturer/landsdel:</t>
  </si>
  <si>
    <t xml:space="preserve">2) Lägsta temperatur for "stillastående finmotoriskt arbete", enl. Arbejdstilsynet (eg. elektrikkeren) är 15 grader. </t>
  </si>
  <si>
    <t xml:space="preserve">    Observera, att om dörrar/fönster står öppna, blir det nödvändigt att öka temperaturen med ca. 5°C</t>
  </si>
  <si>
    <t>Översikt över projektet.</t>
  </si>
  <si>
    <t>Kundens besparing pr. m2 genom att välja Altiflex Systemet</t>
  </si>
  <si>
    <t>Värmebesparing</t>
  </si>
  <si>
    <t>Besparing genom att undvika reglar/plast: Material, uppbärning, montering</t>
  </si>
  <si>
    <t>Besparing genom att undvika underhåll av reglar/plast</t>
  </si>
  <si>
    <t>Besparing genom att undvika demontering, nedbärning och avfall</t>
  </si>
  <si>
    <t>Besparing  genom att undvika reglar/plast: Material, uppbärning, montering</t>
  </si>
  <si>
    <t>Förutsätter skillnad pga. antal dagar.</t>
  </si>
  <si>
    <t>Hyr Altiflex Systemet för</t>
  </si>
  <si>
    <t>Spara värme</t>
  </si>
  <si>
    <t>efter justering för dagar utan värme</t>
  </si>
  <si>
    <t>Spara på udgifter för reglar/plast</t>
  </si>
  <si>
    <t>…besparingarna är oftast större än utgifterna för montering, demontering av Altiflex</t>
  </si>
  <si>
    <t>För hela 
projekt-perioden</t>
  </si>
  <si>
    <t>Månad</t>
  </si>
  <si>
    <t>Månader stängt</t>
  </si>
  <si>
    <t>Sparad energi pr. m2 fasadstängning pr. måned</t>
  </si>
  <si>
    <t>Skriv in m2 i cell U42</t>
  </si>
  <si>
    <t>Sparat CO2-utsläpp (kg) beroende på energikälla för uppvärmning:</t>
  </si>
  <si>
    <t>Genomsnitt</t>
  </si>
  <si>
    <t>Summa</t>
  </si>
  <si>
    <t>Om det stängs av</t>
  </si>
  <si>
    <t>i förhållande till de</t>
  </si>
  <si>
    <t>dagar som valts i denna cell,</t>
  </si>
  <si>
    <t>så ändras ovanstående tal förhållandevis:</t>
  </si>
  <si>
    <t>Källa: Viegand &amp; Maagøe.</t>
  </si>
  <si>
    <t>Uppvärmningssätt:</t>
  </si>
  <si>
    <r>
      <t>Prisexempel: Plasttäckning pr. m</t>
    </r>
    <r>
      <rPr>
        <b/>
        <i/>
        <u/>
        <vertAlign val="superscript"/>
        <sz val="11"/>
        <color theme="1"/>
        <rFont val="Times New Roman"/>
        <family val="1"/>
      </rPr>
      <t>2</t>
    </r>
  </si>
  <si>
    <t>inkl. underhåll, vfall, mont/demont.</t>
  </si>
  <si>
    <t>Summa (sparat på värmen och på att välja bort reglar/plast)</t>
  </si>
  <si>
    <t>Justering för dagar utan värme</t>
  </si>
  <si>
    <t>Total möjlig besparing genom att välja bort reglar/plast:</t>
  </si>
  <si>
    <t>Jämfört med Altiflex Systemet: Totalt för hyra, montering, demontering</t>
  </si>
  <si>
    <t>Jämfört med värmeberäknaren ovan</t>
  </si>
  <si>
    <t>Jämfört med konkreta "Projektdata"</t>
  </si>
  <si>
    <t>Arbejdstilsynet betecknar vinterperioden i DK från 1/10 till 31/3.</t>
  </si>
  <si>
    <t>Temperaturskillnad</t>
  </si>
  <si>
    <t>Perioden totalt</t>
  </si>
  <si>
    <r>
      <t>pr. m</t>
    </r>
    <r>
      <rPr>
        <u/>
        <vertAlign val="superscript"/>
        <sz val="12"/>
        <color theme="1"/>
        <rFont val="Calibri"/>
        <family val="2"/>
        <scheme val="minor"/>
      </rPr>
      <t>2</t>
    </r>
  </si>
  <si>
    <r>
      <t>Gennomsnit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pr. modul</t>
    </r>
  </si>
  <si>
    <r>
      <t>Pr. 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pr. dag</t>
    </r>
  </si>
  <si>
    <r>
      <t>Polykarbonatskivans U-värde = 2,5 W/m</t>
    </r>
    <r>
      <rPr>
        <b/>
        <vertAlign val="superscript"/>
        <sz val="10"/>
        <color theme="3"/>
        <rFont val="Times New Roman"/>
        <family val="1"/>
      </rPr>
      <t>2</t>
    </r>
    <r>
      <rPr>
        <b/>
        <sz val="10"/>
        <color theme="3"/>
        <rFont val="Times New Roman"/>
        <family val="1"/>
      </rPr>
      <t>/K</t>
    </r>
  </si>
  <si>
    <t>Cirkapris för installation</t>
  </si>
  <si>
    <t>Cirkapris för demontering</t>
  </si>
  <si>
    <t>Ungefärligt totalpris för Altiflex-systemet</t>
  </si>
  <si>
    <t>Gällande prislista, kr. pr. stk. pr. dag</t>
  </si>
  <si>
    <t>Förseglingstejp</t>
  </si>
  <si>
    <t>Pr. modul inkl. tätning pr. dag</t>
  </si>
  <si>
    <r>
      <t>Genomsnitt 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pr. modul</t>
    </r>
  </si>
  <si>
    <t>Uppackning, montering, skruvar och timmer</t>
  </si>
  <si>
    <t>Demontering och packning</t>
  </si>
  <si>
    <t>FÖRSEGLINGSLISTA</t>
  </si>
  <si>
    <t>Uppackning och montering</t>
  </si>
  <si>
    <t>Uppackning och montering totalt</t>
  </si>
  <si>
    <t>Total demontering och packning</t>
  </si>
  <si>
    <t>Inkl. 120 hyrdagar i genomsnitt</t>
  </si>
  <si>
    <t>Plast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</si>
</sst>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-* #,##0.00\ _k_r_._-;\-* #,##0.00\ _k_r_._-;_-* &quot;-&quot;??\ _k_r_._-;_-@_-"/>
    <numFmt numFmtId="165" formatCode="#,##0\ &quot;kr./time&quot;"/>
    <numFmt numFmtId="166" formatCode="#,##0\ &quot;min&quot;"/>
    <numFmt numFmtId="167" formatCode="#,##0\ &quot;stk&quot;"/>
    <numFmt numFmtId="168" formatCode="#,##0\ &quot;dage&quot;"/>
    <numFmt numFmtId="169" formatCode="#,##0.00\ &quot;leje/dag&quot;"/>
    <numFmt numFmtId="170" formatCode="[$-F800]dddd\,\ mmmm\ dd\,\ yyyy"/>
    <numFmt numFmtId="171" formatCode="#,##0\ &quot;stk.&quot;"/>
    <numFmt numFmtId="172" formatCode="0.0%"/>
    <numFmt numFmtId="173" formatCode="#,##0.0\ &quot;%&quot;"/>
    <numFmt numFmtId="174" formatCode="&quot;Inkl. gennemsnitligt&quot;\ #,##0\ &quot;lejedage&quot;"/>
    <numFmt numFmtId="175" formatCode="&quot;Inkl. gennemsnits&quot;\ #,##0\ &quot;lejedage&quot;"/>
    <numFmt numFmtId="176" formatCode="&quot;&quot;\ #,##0\ &quot;lejedage&quot;"/>
    <numFmt numFmtId="177" formatCode="_ * #,##0.00_ ;_ * \-#,##0.00_ ;_ * &quot;-&quot;??_ ;_ @_ "/>
    <numFmt numFmtId="178" formatCode="#,##0\ &quot;kr./m2&quot;"/>
    <numFmt numFmtId="179" formatCode="#,##0.0"/>
    <numFmt numFmtId="180" formatCode="#,##0\ &quot;kWh &quot;;[Red]\ \-#,##0\ &quot;kr/m² &quot;"/>
    <numFmt numFmtId="181" formatCode="#,##0.0\ &quot;tons CO2 &quot;;[Red]\ \-#,##0.0\ &quot;kr/m² &quot;"/>
    <numFmt numFmtId="182" formatCode="#,##0\ &quot;kg CO2 &quot;;[Red]\ \-#,##0\ &quot;kr/m² &quot;"/>
    <numFmt numFmtId="183" formatCode="#,##0.0\ &quot;m2&quot;"/>
    <numFmt numFmtId="184" formatCode="&quot;kr.&quot;\ #,##0.00;&quot;kr.&quot;\ \-#,##0.00"/>
    <numFmt numFmtId="185" formatCode="0.0"/>
    <numFmt numFmtId="186" formatCode="####.0"/>
    <numFmt numFmtId="187" formatCode="#,##0.0\º\C;[Red]\-#,##0.0\º\C"/>
    <numFmt numFmtId="188" formatCode="#,##0.0\ \k\W\h;[Red]\-#,##0.0\ \k\W\h"/>
    <numFmt numFmtId="189" formatCode="&quot;kr.&quot;\ #,##0.00;[Red]&quot;kr.&quot;\ \-#,##0.00"/>
    <numFmt numFmtId="190" formatCode="#,##0.00\ &quot;kr/m² &quot;;[Red]\ \-#,##0.00\ &quot;kr/m² &quot;"/>
    <numFmt numFmtId="191" formatCode="#,##0.00\ ;[Red]\-#,##0.00\ "/>
    <numFmt numFmtId="192" formatCode="#,##0\ &quot;min/m²&quot;;[Red]\ \-#,##0\ &quot;min/m²&quot;"/>
    <numFmt numFmtId="193" formatCode="_ &quot;kr.&quot;\ * #,##0.00_ ;_ &quot;kr.&quot;\ * \-#,##0.00_ ;_ &quot;kr.&quot;\ * &quot;-&quot;??_ ;_ @_ "/>
    <numFmt numFmtId="194" formatCode="#,##0\ &quot;min.&quot;;[Red]\ \-#,##0\ &quot;min.&quot;"/>
    <numFmt numFmtId="195" formatCode="#,##0\ &quot;m²&quot;;[Red]\ \-#,##0\ &quot;m²&quot;"/>
    <numFmt numFmtId="196" formatCode="#,##0_ ;[Red]\-#,##0\ "/>
    <numFmt numFmtId="197" formatCode="#,##0.00\ &quot;kWh/m² &quot;;[Red]\ \-#,##0.00\ &quot;kr/m² &quot;"/>
    <numFmt numFmtId="198" formatCode="&quot;Sparet energi for projekt på&quot;\ #,##0\ &quot;m2&quot;"/>
    <numFmt numFmtId="199" formatCode="0.000"/>
    <numFmt numFmtId="200" formatCode="0.000000000"/>
    <numFmt numFmtId="201" formatCode="_-* #,##0_-;\-* #,##0_-;_-* &quot;-&quot;??_-;_-@_-"/>
    <numFmt numFmtId="202" formatCode="_-* #,##0.000000000_-;\-* #,##0.000000000_-;_-* &quot;-&quot;??_-;_-@_-"/>
    <numFmt numFmtId="206" formatCode="#,##0\ &quot;stk flytninger&quot;"/>
    <numFmt numFmtId="207" formatCode="#,##0.00\ &quot;kr/dag&quot;"/>
    <numFmt numFmtId="208" formatCode="#,##0.0\ &quot;Meter rækværk ialt&quot;"/>
    <numFmt numFmtId="209" formatCode="&quot;Besparelse&quot;\ #,##0.0\ &quot; kr. pr. stk&quot;"/>
    <numFmt numFmtId="210" formatCode="#,##0.00\ &quot; kr/min&quot;"/>
    <numFmt numFmtId="211" formatCode="#,##0.00\ &quot;kr.&quot;"/>
    <numFmt numFmtId="212" formatCode="&quot;Leje&quot;\ #,##0\ &quot;dage&quot;"/>
    <numFmt numFmtId="213" formatCode="&quot;[Pris 9]    &quot;#,##0.00\ &quot;kr pr stk&quot;"/>
    <numFmt numFmtId="214" formatCode="&quot;[Pris 10]    &quot;#,##0.00\ &quot;kr pr stk&quot;"/>
    <numFmt numFmtId="215" formatCode="&quot;[Pris 14]    &quot;#,##0.00\ &quot;kr pr stk&quot;"/>
    <numFmt numFmtId="216" formatCode="&quot;[Pris 15]    &quot;#,##0.00\ &quot;kr pr stk&quot;"/>
    <numFmt numFmtId="217" formatCode="#,##0\ &quot;lejedage&quot;"/>
    <numFmt numFmtId="218" formatCode="#,##0\ &quot;m2&quot;"/>
    <numFmt numFmtId="219" formatCode="#,##0.0\ &quot;lejedage&quot;"/>
    <numFmt numFmtId="220" formatCode="&quot;Gennemsnit&quot;\ #,##0\ &quot;lejedage pr. m2&quot;"/>
    <numFmt numFmtId="221" formatCode="&quot;Gennemsnit&quot;\ #,##0\ &quot;m2 pr. dag&quot;"/>
    <numFmt numFmtId="222" formatCode="&quot;Gennemsnit&quot;\ #,##0\ &quot;lejedage&quot;"/>
    <numFmt numFmtId="223" formatCode="&quot;Gennemsnit m2 pr. dag&quot;\ #,##0\ &quot;m2&quot;"/>
    <numFmt numFmtId="224" formatCode="#,##0\ &quot;Rental days&quot;"/>
    <numFmt numFmtId="225" formatCode="&quot;Average&quot;\ #,##0\ &quot;rental days&quot;"/>
    <numFmt numFmtId="226" formatCode="&quot;Average&quot;\ #,##0\ &quot;m2&quot;"/>
    <numFmt numFmtId="227" formatCode="#,##0\ &quot;days&quot;"/>
    <numFmt numFmtId="228" formatCode="#,##0\ &quot;rental days&quot;"/>
    <numFmt numFmtId="229" formatCode="_-[$€-2]\ * #,##0.00_-;\-[$€-2]\ * #,##0.00_-;_-[$€-2]\ * &quot;-&quot;??_-;_-@_-"/>
    <numFmt numFmtId="230" formatCode="#,##0.0\ &quot;m² pr. modul&quot;"/>
    <numFmt numFmtId="231" formatCode="&quot;[Pris 5]    &quot;#,##0.00\ &quot;kr pr stk&quot;"/>
    <numFmt numFmtId="232" formatCode="&quot;[Pris 6]    &quot;#,##0.00\ &quot;kr pr stk&quot;"/>
    <numFmt numFmtId="233" formatCode="&quot;[Pris 7]    &quot;#,##0.00\ &quot;kr pr stk&quot;"/>
    <numFmt numFmtId="234" formatCode="&quot;[Pris 8]    &quot;#,##0.00\ &quot;kr pr stk&quot;"/>
    <numFmt numFmtId="235" formatCode="#,##0.0\ &quot;m²&quot;"/>
    <numFmt numFmtId="236" formatCode="#,##0.0\ &quot;stk.&quot;"/>
    <numFmt numFmtId="237" formatCode="dd/mm/yy;@"/>
    <numFmt numFmtId="238" formatCode="_-* #,##0.00\ [$SEK]_-;\-* #,##0.00\ [$SEK]_-;_-* &quot;-&quot;??\ [$SEK]_-;_-@_-"/>
    <numFmt numFmtId="239" formatCode="_-* #,##0\ [$SEK]_-;\-* #,##0\ [$SEK]_-;_-* &quot;-&quot;\ [$SEK]_-;_-@_-"/>
    <numFmt numFmtId="240" formatCode="_-* #,##0.00\ [$SEK]_-;\-* #,##0.00\ [$SEK]_-;_-* &quot;-&quot;\ [$SEK]_-;_-@_-"/>
    <numFmt numFmtId="241" formatCode="#,##0.00\ &quot;m2 &quot;;[Red]\ \-#,##0.00\ &quot;kr/m² &quot;"/>
    <numFmt numFmtId="242" formatCode="#,##0.00\ &quot;SEK/m² &quot;;[Red]\ \-#,##0.00\ &quot;kr/m² &quot;"/>
    <numFmt numFmtId="243" formatCode="#,##0.00\ &quot;m²&quot;"/>
    <numFmt numFmtId="244" formatCode="#,##0.00\ &quot;SEK/m²&quot;"/>
    <numFmt numFmtId="245" formatCode="#,##0.00\ &quot;SEK/m²  &quot;;[Black]\ \-#,##0.00\ &quot;SEK/m² &quot;"/>
    <numFmt numFmtId="246" formatCode="#,##0.00\ &quot;SEK/m²  &quot;"/>
    <numFmt numFmtId="247" formatCode="#,##0.00\ &quot;SEK/m2&quot;"/>
    <numFmt numFmtId="248" formatCode="#,##0.00\ &quot;SEK/stk&quot;"/>
    <numFmt numFmtId="249" formatCode="#,##0.0\ &quot;m² &quot;"/>
    <numFmt numFmtId="250" formatCode="#,##0\ &quot;SEK/m²  &quot;"/>
    <numFmt numFmtId="251" formatCode="#,##0\ &quot;m²&quot;"/>
  </numFmts>
  <fonts count="1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3"/>
      <name val="Times New Roman"/>
      <family val="1"/>
    </font>
    <font>
      <sz val="10"/>
      <color theme="3"/>
      <name val="Times New Roman"/>
      <family val="1"/>
    </font>
    <font>
      <vertAlign val="superscript"/>
      <sz val="10"/>
      <color theme="3"/>
      <name val="Times New Roman"/>
      <family val="1"/>
    </font>
    <font>
      <b/>
      <sz val="10"/>
      <name val="Times New Roman"/>
      <family val="1"/>
    </font>
    <font>
      <b/>
      <i/>
      <u/>
      <sz val="13"/>
      <name val="Times New Roman"/>
      <family val="1"/>
    </font>
    <font>
      <b/>
      <i/>
      <u/>
      <sz val="10"/>
      <color theme="1"/>
      <name val="Times New Roman"/>
      <family val="1"/>
    </font>
    <font>
      <b/>
      <sz val="11"/>
      <color rgb="FF006100"/>
      <name val="Calibri"/>
      <family val="2"/>
      <scheme val="minor"/>
    </font>
    <font>
      <b/>
      <vertAlign val="superscript"/>
      <sz val="10"/>
      <color theme="3"/>
      <name val="Times New Roman"/>
      <family val="1"/>
    </font>
    <font>
      <sz val="9"/>
      <color theme="0" tint="-4.9989318521683403E-2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vertAlign val="superscript"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11"/>
      <color rgb="FF2808E6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9"/>
      <color rgb="FF2808E6"/>
      <name val="Times New Roman"/>
      <family val="1"/>
    </font>
    <font>
      <sz val="9"/>
      <color theme="0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vertAlign val="superscript"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9"/>
      <color rgb="FF008000"/>
      <name val="Times New Roman"/>
      <family val="1"/>
    </font>
    <font>
      <b/>
      <sz val="11"/>
      <color rgb="FF008000"/>
      <name val="Times New Roman"/>
      <family val="1"/>
    </font>
    <font>
      <b/>
      <sz val="11"/>
      <color theme="0" tint="-0.499984740745262"/>
      <name val="Times New Roman"/>
      <family val="1"/>
    </font>
    <font>
      <sz val="11"/>
      <color theme="0" tint="-0.499984740745262"/>
      <name val="Times New Roman"/>
      <family val="1"/>
    </font>
    <font>
      <sz val="9"/>
      <color theme="0" tint="-0.499984740745262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b/>
      <u/>
      <sz val="15"/>
      <color theme="1"/>
      <name val="Times New Roman"/>
      <family val="1"/>
    </font>
    <font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5"/>
      <color theme="1"/>
      <name val="Times New Roman"/>
      <family val="1"/>
    </font>
    <font>
      <b/>
      <u/>
      <sz val="9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vertAlign val="superscript"/>
      <sz val="12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24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vertAlign val="superscript"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u/>
      <sz val="15"/>
      <color rgb="FF2AAD13"/>
      <name val="Calibri (Brödtext)"/>
    </font>
    <font>
      <i/>
      <u/>
      <sz val="11"/>
      <color theme="1"/>
      <name val="Calibri (Brödtext)"/>
    </font>
    <font>
      <sz val="11"/>
      <color theme="1"/>
      <name val="Calibri (Brödtext)"/>
    </font>
    <font>
      <u/>
      <vertAlign val="superscript"/>
      <sz val="12"/>
      <color theme="1"/>
      <name val="Calibri"/>
      <family val="2"/>
      <scheme val="minor"/>
    </font>
    <font>
      <b/>
      <sz val="9"/>
      <color rgb="FF00B050"/>
      <name val="Times New Roman"/>
      <family val="1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5EA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 style="double">
        <color theme="0" tint="-0.49998474074526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rgb="FFFF0000"/>
      </bottom>
      <diagonal/>
    </border>
    <border>
      <left/>
      <right style="thin">
        <color auto="1"/>
      </right>
      <top style="thin">
        <color theme="0" tint="-0.24994659260841701"/>
      </top>
      <bottom style="double">
        <color rgb="FFFF0000"/>
      </bottom>
      <diagonal/>
    </border>
    <border>
      <left/>
      <right/>
      <top style="thin">
        <color theme="0" tint="-0.14993743705557422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/>
      <top/>
      <bottom style="thin">
        <color auto="1"/>
      </bottom>
      <diagonal/>
    </border>
    <border>
      <left/>
      <right/>
      <top/>
      <bottom style="medium">
        <color rgb="FF2808E6"/>
      </bottom>
      <diagonal/>
    </border>
    <border>
      <left style="medium">
        <color rgb="FF2808E6"/>
      </left>
      <right/>
      <top style="medium">
        <color rgb="FF2808E6"/>
      </top>
      <bottom style="medium">
        <color rgb="FF2808E6"/>
      </bottom>
      <diagonal/>
    </border>
    <border>
      <left/>
      <right/>
      <top style="medium">
        <color rgb="FF2808E6"/>
      </top>
      <bottom style="medium">
        <color rgb="FF2808E6"/>
      </bottom>
      <diagonal/>
    </border>
    <border>
      <left/>
      <right style="thin">
        <color auto="1"/>
      </right>
      <top style="medium">
        <color rgb="FF2808E6"/>
      </top>
      <bottom style="medium">
        <color rgb="FF2808E6"/>
      </bottom>
      <diagonal/>
    </border>
    <border>
      <left/>
      <right style="thin">
        <color rgb="FF2808E6"/>
      </right>
      <top style="medium">
        <color rgb="FF2808E6"/>
      </top>
      <bottom style="medium">
        <color rgb="FF2808E6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14996795556505021"/>
      </top>
      <bottom style="double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double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double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double">
        <color theme="0" tint="-0.1499679555650502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double">
        <color theme="0" tint="-0.14996795556505021"/>
      </bottom>
      <diagonal/>
    </border>
    <border>
      <left/>
      <right style="thin">
        <color theme="0" tint="-0.24994659260841701"/>
      </right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 style="thin">
        <color auto="1"/>
      </left>
      <right/>
      <top/>
      <bottom style="double">
        <color theme="0" tint="-0.14996795556505021"/>
      </bottom>
      <diagonal/>
    </border>
    <border>
      <left/>
      <right style="thin">
        <color auto="1"/>
      </right>
      <top/>
      <bottom style="double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double">
        <color rgb="FFFF0000"/>
      </bottom>
      <diagonal/>
    </border>
    <border>
      <left/>
      <right style="thin">
        <color auto="1"/>
      </right>
      <top/>
      <bottom style="double">
        <color rgb="FFFF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double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6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8" fillId="0" borderId="0" applyNumberForma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22">
    <xf numFmtId="0" fontId="0" fillId="0" borderId="0" xfId="0"/>
    <xf numFmtId="0" fontId="1" fillId="0" borderId="0" xfId="0" applyFont="1"/>
    <xf numFmtId="0" fontId="9" fillId="0" borderId="0" xfId="0" applyFont="1"/>
    <xf numFmtId="44" fontId="0" fillId="0" borderId="0" xfId="1" applyFont="1"/>
    <xf numFmtId="44" fontId="7" fillId="0" borderId="0" xfId="1" applyFont="1"/>
    <xf numFmtId="44" fontId="0" fillId="0" borderId="0" xfId="1" applyFont="1" applyAlignment="1"/>
    <xf numFmtId="170" fontId="0" fillId="0" borderId="0" xfId="0" applyNumberFormat="1" applyAlignment="1">
      <alignment horizontal="left"/>
    </xf>
    <xf numFmtId="44" fontId="7" fillId="3" borderId="3" xfId="1" applyFont="1" applyFill="1" applyBorder="1"/>
    <xf numFmtId="44" fontId="0" fillId="0" borderId="1" xfId="1" applyFont="1" applyBorder="1"/>
    <xf numFmtId="44" fontId="7" fillId="0" borderId="1" xfId="1" applyFont="1" applyBorder="1"/>
    <xf numFmtId="44" fontId="0" fillId="0" borderId="1" xfId="1" applyFont="1" applyBorder="1" applyAlignment="1"/>
    <xf numFmtId="44" fontId="7" fillId="0" borderId="1" xfId="1" applyFont="1" applyBorder="1" applyAlignment="1">
      <alignment horizontal="center"/>
    </xf>
    <xf numFmtId="44" fontId="0" fillId="0" borderId="0" xfId="1" applyFont="1" applyBorder="1"/>
    <xf numFmtId="44" fontId="7" fillId="0" borderId="0" xfId="1" applyFont="1" applyBorder="1"/>
    <xf numFmtId="44" fontId="7" fillId="0" borderId="0" xfId="1" applyFont="1" applyBorder="1" applyAlignment="1">
      <alignment horizontal="right"/>
    </xf>
    <xf numFmtId="44" fontId="0" fillId="0" borderId="8" xfId="1" applyFont="1" applyBorder="1"/>
    <xf numFmtId="0" fontId="0" fillId="0" borderId="7" xfId="0" applyBorder="1"/>
    <xf numFmtId="44" fontId="1" fillId="0" borderId="0" xfId="1" applyFont="1" applyBorder="1"/>
    <xf numFmtId="173" fontId="7" fillId="0" borderId="0" xfId="1" applyNumberFormat="1" applyFont="1" applyBorder="1"/>
    <xf numFmtId="44" fontId="7" fillId="0" borderId="1" xfId="1" applyFont="1" applyBorder="1" applyAlignment="1">
      <alignment horizontal="right"/>
    </xf>
    <xf numFmtId="44" fontId="5" fillId="0" borderId="0" xfId="1" applyFont="1" applyBorder="1"/>
    <xf numFmtId="44" fontId="5" fillId="0" borderId="0" xfId="1" applyFont="1"/>
    <xf numFmtId="44" fontId="10" fillId="0" borderId="0" xfId="1" applyFont="1" applyBorder="1"/>
    <xf numFmtId="0" fontId="10" fillId="0" borderId="0" xfId="0" applyFont="1"/>
    <xf numFmtId="168" fontId="10" fillId="0" borderId="0" xfId="2" applyNumberFormat="1" applyFont="1" applyBorder="1" applyAlignment="1">
      <alignment horizontal="right"/>
    </xf>
    <xf numFmtId="44" fontId="10" fillId="0" borderId="0" xfId="1" applyFont="1"/>
    <xf numFmtId="44" fontId="0" fillId="0" borderId="0" xfId="1" applyFont="1" applyBorder="1" applyAlignment="1">
      <alignment horizontal="right"/>
    </xf>
    <xf numFmtId="44" fontId="7" fillId="0" borderId="10" xfId="1" applyFont="1" applyBorder="1"/>
    <xf numFmtId="0" fontId="10" fillId="3" borderId="2" xfId="0" applyFont="1" applyFill="1" applyBorder="1"/>
    <xf numFmtId="0" fontId="12" fillId="0" borderId="0" xfId="0" applyFont="1"/>
    <xf numFmtId="44" fontId="7" fillId="0" borderId="0" xfId="1" applyFont="1" applyBorder="1" applyAlignment="1"/>
    <xf numFmtId="172" fontId="5" fillId="0" borderId="0" xfId="3" applyNumberFormat="1" applyFont="1" applyBorder="1"/>
    <xf numFmtId="168" fontId="10" fillId="0" borderId="0" xfId="2" applyNumberFormat="1" applyFont="1" applyBorder="1" applyAlignment="1"/>
    <xf numFmtId="44" fontId="12" fillId="0" borderId="0" xfId="1" applyFont="1" applyBorder="1"/>
    <xf numFmtId="0" fontId="13" fillId="3" borderId="2" xfId="0" applyFont="1" applyFill="1" applyBorder="1"/>
    <xf numFmtId="44" fontId="14" fillId="3" borderId="3" xfId="1" applyFont="1" applyFill="1" applyBorder="1"/>
    <xf numFmtId="168" fontId="13" fillId="3" borderId="3" xfId="2" applyNumberFormat="1" applyFont="1" applyFill="1" applyBorder="1" applyAlignment="1"/>
    <xf numFmtId="44" fontId="13" fillId="3" borderId="3" xfId="1" applyFont="1" applyFill="1" applyBorder="1"/>
    <xf numFmtId="44" fontId="13" fillId="3" borderId="4" xfId="1" applyFont="1" applyFill="1" applyBorder="1"/>
    <xf numFmtId="44" fontId="14" fillId="0" borderId="0" xfId="1" applyFont="1"/>
    <xf numFmtId="0" fontId="14" fillId="0" borderId="0" xfId="0" applyFont="1"/>
    <xf numFmtId="44" fontId="0" fillId="3" borderId="3" xfId="1" applyFont="1" applyFill="1" applyBorder="1"/>
    <xf numFmtId="44" fontId="0" fillId="3" borderId="3" xfId="1" applyFont="1" applyFill="1" applyBorder="1" applyAlignment="1"/>
    <xf numFmtId="44" fontId="0" fillId="3" borderId="4" xfId="1" applyFont="1" applyFill="1" applyBorder="1"/>
    <xf numFmtId="171" fontId="1" fillId="0" borderId="0" xfId="1" applyNumberFormat="1" applyFont="1" applyBorder="1" applyProtection="1">
      <protection locked="0"/>
    </xf>
    <xf numFmtId="44" fontId="3" fillId="0" borderId="0" xfId="1" applyFont="1" applyBorder="1"/>
    <xf numFmtId="2" fontId="10" fillId="3" borderId="2" xfId="1" applyNumberFormat="1" applyFont="1" applyFill="1" applyBorder="1" applyAlignment="1">
      <alignment horizontal="left"/>
    </xf>
    <xf numFmtId="44" fontId="0" fillId="0" borderId="0" xfId="1" applyFont="1" applyBorder="1" applyAlignment="1"/>
    <xf numFmtId="44" fontId="0" fillId="0" borderId="11" xfId="1" applyFont="1" applyBorder="1"/>
    <xf numFmtId="171" fontId="5" fillId="0" borderId="0" xfId="1" applyNumberFormat="1" applyFont="1" applyBorder="1"/>
    <xf numFmtId="2" fontId="0" fillId="0" borderId="7" xfId="1" applyNumberFormat="1" applyFont="1" applyBorder="1" applyAlignment="1">
      <alignment horizontal="left"/>
    </xf>
    <xf numFmtId="44" fontId="0" fillId="0" borderId="10" xfId="1" applyFont="1" applyBorder="1" applyAlignment="1"/>
    <xf numFmtId="44" fontId="0" fillId="0" borderId="10" xfId="1" applyFont="1" applyBorder="1"/>
    <xf numFmtId="0" fontId="13" fillId="3" borderId="3" xfId="0" applyFont="1" applyFill="1" applyBorder="1"/>
    <xf numFmtId="0" fontId="14" fillId="5" borderId="0" xfId="0" applyFont="1" applyFill="1"/>
    <xf numFmtId="176" fontId="20" fillId="0" borderId="0" xfId="0" applyNumberFormat="1" applyFont="1" applyAlignment="1">
      <alignment horizontal="center" vertical="center" wrapText="1"/>
    </xf>
    <xf numFmtId="0" fontId="0" fillId="0" borderId="12" xfId="0" applyBorder="1"/>
    <xf numFmtId="178" fontId="20" fillId="0" borderId="12" xfId="0" applyNumberFormat="1" applyFont="1" applyBorder="1"/>
    <xf numFmtId="179" fontId="4" fillId="6" borderId="15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0" fontId="7" fillId="0" borderId="0" xfId="0" applyFont="1"/>
    <xf numFmtId="178" fontId="20" fillId="3" borderId="12" xfId="0" applyNumberFormat="1" applyFont="1" applyFill="1" applyBorder="1"/>
    <xf numFmtId="168" fontId="4" fillId="6" borderId="12" xfId="0" applyNumberFormat="1" applyFont="1" applyFill="1" applyBorder="1" applyAlignment="1" applyProtection="1">
      <alignment horizontal="center"/>
      <protection locked="0"/>
    </xf>
    <xf numFmtId="0" fontId="20" fillId="0" borderId="0" xfId="0" applyFont="1"/>
    <xf numFmtId="0" fontId="25" fillId="0" borderId="0" xfId="0" applyFont="1" applyAlignment="1">
      <alignment horizontal="left"/>
    </xf>
    <xf numFmtId="0" fontId="27" fillId="0" borderId="0" xfId="0" applyFont="1"/>
    <xf numFmtId="0" fontId="0" fillId="0" borderId="12" xfId="0" applyBorder="1" applyAlignment="1">
      <alignment horizontal="center"/>
    </xf>
    <xf numFmtId="181" fontId="4" fillId="0" borderId="27" xfId="6" applyNumberFormat="1" applyFont="1" applyFill="1" applyBorder="1" applyAlignment="1" applyProtection="1">
      <alignment horizontal="right"/>
    </xf>
    <xf numFmtId="181" fontId="4" fillId="0" borderId="0" xfId="6" applyNumberFormat="1" applyFont="1" applyFill="1" applyBorder="1" applyAlignment="1" applyProtection="1">
      <alignment horizontal="right"/>
    </xf>
    <xf numFmtId="181" fontId="4" fillId="8" borderId="0" xfId="6" applyNumberFormat="1" applyFont="1" applyFill="1" applyBorder="1" applyAlignment="1" applyProtection="1">
      <alignment horizontal="right"/>
    </xf>
    <xf numFmtId="0" fontId="33" fillId="0" borderId="0" xfId="0" applyFont="1"/>
    <xf numFmtId="0" fontId="34" fillId="9" borderId="0" xfId="0" applyFont="1" applyFill="1"/>
    <xf numFmtId="0" fontId="34" fillId="9" borderId="0" xfId="0" applyFont="1" applyFill="1" applyAlignment="1">
      <alignment horizontal="left" indent="1"/>
    </xf>
    <xf numFmtId="0" fontId="35" fillId="9" borderId="0" xfId="0" applyFont="1" applyFill="1" applyAlignment="1">
      <alignment horizontal="center"/>
    </xf>
    <xf numFmtId="0" fontId="35" fillId="9" borderId="0" xfId="0" applyFont="1" applyFill="1"/>
    <xf numFmtId="0" fontId="34" fillId="9" borderId="31" xfId="0" applyFont="1" applyFill="1" applyBorder="1"/>
    <xf numFmtId="0" fontId="34" fillId="9" borderId="32" xfId="0" applyFont="1" applyFill="1" applyBorder="1"/>
    <xf numFmtId="0" fontId="34" fillId="9" borderId="32" xfId="0" applyFont="1" applyFill="1" applyBorder="1" applyAlignment="1">
      <alignment horizontal="left" indent="1"/>
    </xf>
    <xf numFmtId="0" fontId="35" fillId="9" borderId="32" xfId="0" applyFont="1" applyFill="1" applyBorder="1" applyAlignment="1">
      <alignment horizontal="center"/>
    </xf>
    <xf numFmtId="0" fontId="35" fillId="9" borderId="32" xfId="0" applyFont="1" applyFill="1" applyBorder="1"/>
    <xf numFmtId="0" fontId="34" fillId="9" borderId="33" xfId="0" applyFont="1" applyFill="1" applyBorder="1"/>
    <xf numFmtId="0" fontId="34" fillId="9" borderId="34" xfId="0" applyFont="1" applyFill="1" applyBorder="1"/>
    <xf numFmtId="0" fontId="36" fillId="9" borderId="0" xfId="0" applyFont="1" applyFill="1" applyAlignment="1">
      <alignment vertical="top"/>
    </xf>
    <xf numFmtId="184" fontId="37" fillId="9" borderId="0" xfId="6" applyNumberFormat="1" applyFont="1" applyFill="1" applyAlignment="1" applyProtection="1">
      <alignment horizontal="center" vertical="center" wrapText="1"/>
    </xf>
    <xf numFmtId="0" fontId="39" fillId="0" borderId="5" xfId="0" applyFont="1" applyBorder="1" applyAlignment="1">
      <alignment horizontal="left" vertical="center" indent="2"/>
    </xf>
    <xf numFmtId="0" fontId="39" fillId="0" borderId="1" xfId="0" applyFont="1" applyBorder="1" applyAlignment="1">
      <alignment vertical="center"/>
    </xf>
    <xf numFmtId="0" fontId="39" fillId="0" borderId="35" xfId="0" applyFont="1" applyBorder="1" applyAlignment="1">
      <alignment horizontal="right" vertical="center" indent="1"/>
    </xf>
    <xf numFmtId="0" fontId="34" fillId="9" borderId="38" xfId="0" applyFont="1" applyFill="1" applyBorder="1"/>
    <xf numFmtId="0" fontId="39" fillId="0" borderId="7" xfId="0" applyFont="1" applyBorder="1" applyAlignment="1">
      <alignment horizontal="left" vertical="center" indent="2"/>
    </xf>
    <xf numFmtId="0" fontId="39" fillId="0" borderId="0" xfId="0" applyFont="1" applyAlignment="1">
      <alignment vertical="center"/>
    </xf>
    <xf numFmtId="0" fontId="39" fillId="0" borderId="39" xfId="0" applyFont="1" applyBorder="1" applyAlignment="1">
      <alignment horizontal="right" vertical="center" indent="1"/>
    </xf>
    <xf numFmtId="0" fontId="43" fillId="9" borderId="0" xfId="0" applyFont="1" applyFill="1" applyAlignment="1">
      <alignment horizontal="center" vertical="center"/>
    </xf>
    <xf numFmtId="0" fontId="39" fillId="0" borderId="1" xfId="0" applyFont="1" applyBorder="1" applyAlignment="1">
      <alignment horizontal="right" vertical="center" indent="1"/>
    </xf>
    <xf numFmtId="0" fontId="46" fillId="9" borderId="0" xfId="0" applyFont="1" applyFill="1" applyAlignment="1">
      <alignment horizontal="center"/>
    </xf>
    <xf numFmtId="0" fontId="34" fillId="9" borderId="34" xfId="0" applyFont="1" applyFill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47" fillId="0" borderId="45" xfId="0" applyFont="1" applyBorder="1" applyAlignment="1">
      <alignment vertical="center"/>
    </xf>
    <xf numFmtId="0" fontId="35" fillId="0" borderId="48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34" fillId="9" borderId="38" xfId="0" applyFont="1" applyFill="1" applyBorder="1" applyAlignment="1">
      <alignment vertical="center"/>
    </xf>
    <xf numFmtId="0" fontId="34" fillId="9" borderId="0" xfId="0" applyFont="1" applyFill="1" applyAlignment="1">
      <alignment vertical="center"/>
    </xf>
    <xf numFmtId="0" fontId="34" fillId="0" borderId="7" xfId="0" applyFont="1" applyBorder="1"/>
    <xf numFmtId="0" fontId="34" fillId="0" borderId="0" xfId="0" applyFont="1"/>
    <xf numFmtId="0" fontId="34" fillId="0" borderId="0" xfId="0" applyFont="1" applyAlignment="1">
      <alignment horizontal="left" indent="1"/>
    </xf>
    <xf numFmtId="0" fontId="35" fillId="0" borderId="8" xfId="0" applyFont="1" applyBorder="1" applyAlignment="1">
      <alignment horizontal="center"/>
    </xf>
    <xf numFmtId="187" fontId="35" fillId="0" borderId="5" xfId="0" applyNumberFormat="1" applyFont="1" applyBorder="1" applyAlignment="1">
      <alignment horizontal="right" indent="1"/>
    </xf>
    <xf numFmtId="187" fontId="35" fillId="0" borderId="6" xfId="0" applyNumberFormat="1" applyFont="1" applyBorder="1"/>
    <xf numFmtId="187" fontId="49" fillId="0" borderId="53" xfId="0" applyNumberFormat="1" applyFont="1" applyBorder="1" applyAlignment="1">
      <alignment horizontal="center"/>
    </xf>
    <xf numFmtId="187" fontId="35" fillId="0" borderId="54" xfId="0" applyNumberFormat="1" applyFont="1" applyBorder="1" applyAlignment="1">
      <alignment horizontal="right" indent="1"/>
    </xf>
    <xf numFmtId="187" fontId="35" fillId="0" borderId="55" xfId="0" applyNumberFormat="1" applyFont="1" applyBorder="1" applyAlignment="1">
      <alignment horizontal="right" indent="1"/>
    </xf>
    <xf numFmtId="187" fontId="35" fillId="0" borderId="56" xfId="0" applyNumberFormat="1" applyFont="1" applyBorder="1" applyAlignment="1">
      <alignment horizontal="right" indent="1"/>
    </xf>
    <xf numFmtId="187" fontId="35" fillId="0" borderId="7" xfId="0" applyNumberFormat="1" applyFont="1" applyBorder="1" applyAlignment="1">
      <alignment horizontal="right" indent="1"/>
    </xf>
    <xf numFmtId="187" fontId="35" fillId="0" borderId="8" xfId="0" applyNumberFormat="1" applyFont="1" applyBorder="1"/>
    <xf numFmtId="0" fontId="34" fillId="0" borderId="2" xfId="0" applyFont="1" applyBorder="1"/>
    <xf numFmtId="0" fontId="34" fillId="0" borderId="3" xfId="0" applyFont="1" applyBorder="1"/>
    <xf numFmtId="0" fontId="34" fillId="0" borderId="3" xfId="0" applyFont="1" applyBorder="1" applyAlignment="1">
      <alignment horizontal="left" indent="1"/>
    </xf>
    <xf numFmtId="0" fontId="35" fillId="0" borderId="4" xfId="0" applyFont="1" applyBorder="1" applyAlignment="1">
      <alignment horizontal="center"/>
    </xf>
    <xf numFmtId="187" fontId="35" fillId="0" borderId="48" xfId="0" applyNumberFormat="1" applyFont="1" applyBorder="1" applyAlignment="1">
      <alignment horizontal="right" indent="1"/>
    </xf>
    <xf numFmtId="187" fontId="35" fillId="0" borderId="49" xfId="0" applyNumberFormat="1" applyFont="1" applyBorder="1" applyAlignment="1">
      <alignment horizontal="right" indent="1"/>
    </xf>
    <xf numFmtId="187" fontId="35" fillId="0" borderId="50" xfId="0" applyNumberFormat="1" applyFont="1" applyBorder="1" applyAlignment="1">
      <alignment horizontal="right" indent="1"/>
    </xf>
    <xf numFmtId="0" fontId="34" fillId="0" borderId="5" xfId="0" applyFont="1" applyBorder="1"/>
    <xf numFmtId="0" fontId="34" fillId="0" borderId="1" xfId="0" applyFont="1" applyBorder="1"/>
    <xf numFmtId="0" fontId="34" fillId="0" borderId="1" xfId="0" applyFont="1" applyBorder="1" applyAlignment="1">
      <alignment horizontal="left" indent="1"/>
    </xf>
    <xf numFmtId="0" fontId="35" fillId="0" borderId="6" xfId="0" applyFont="1" applyBorder="1" applyAlignment="1">
      <alignment horizontal="center"/>
    </xf>
    <xf numFmtId="188" fontId="35" fillId="0" borderId="57" xfId="0" applyNumberFormat="1" applyFont="1" applyBorder="1" applyAlignment="1">
      <alignment horizontal="center"/>
    </xf>
    <xf numFmtId="188" fontId="35" fillId="0" borderId="58" xfId="0" applyNumberFormat="1" applyFont="1" applyBorder="1" applyAlignment="1">
      <alignment horizontal="center"/>
    </xf>
    <xf numFmtId="188" fontId="35" fillId="0" borderId="7" xfId="0" applyNumberFormat="1" applyFont="1" applyBorder="1" applyAlignment="1">
      <alignment horizontal="center"/>
    </xf>
    <xf numFmtId="188" fontId="35" fillId="0" borderId="8" xfId="0" applyNumberFormat="1" applyFont="1" applyBorder="1" applyAlignment="1">
      <alignment horizontal="center"/>
    </xf>
    <xf numFmtId="0" fontId="34" fillId="0" borderId="9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10" xfId="0" applyFont="1" applyBorder="1" applyAlignment="1">
      <alignment horizontal="left" vertical="center" indent="1"/>
    </xf>
    <xf numFmtId="0" fontId="51" fillId="0" borderId="11" xfId="0" applyFont="1" applyBorder="1" applyAlignment="1">
      <alignment horizontal="center" vertical="center"/>
    </xf>
    <xf numFmtId="189" fontId="35" fillId="0" borderId="7" xfId="6" applyNumberFormat="1" applyFont="1" applyBorder="1" applyAlignment="1" applyProtection="1">
      <alignment horizontal="center" vertical="center"/>
    </xf>
    <xf numFmtId="189" fontId="35" fillId="0" borderId="8" xfId="6" applyNumberFormat="1" applyFont="1" applyBorder="1" applyAlignment="1" applyProtection="1">
      <alignment vertical="center"/>
    </xf>
    <xf numFmtId="0" fontId="34" fillId="0" borderId="7" xfId="0" applyFont="1" applyBorder="1" applyAlignment="1">
      <alignment vertical="center"/>
    </xf>
    <xf numFmtId="0" fontId="34" fillId="0" borderId="62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 indent="1"/>
    </xf>
    <xf numFmtId="0" fontId="51" fillId="0" borderId="8" xfId="0" applyFont="1" applyBorder="1" applyAlignment="1">
      <alignment horizontal="center" vertical="center"/>
    </xf>
    <xf numFmtId="189" fontId="52" fillId="0" borderId="39" xfId="6" applyNumberFormat="1" applyFont="1" applyBorder="1" applyAlignment="1" applyProtection="1">
      <alignment vertical="center"/>
    </xf>
    <xf numFmtId="189" fontId="52" fillId="0" borderId="57" xfId="6" applyNumberFormat="1" applyFont="1" applyBorder="1" applyAlignment="1" applyProtection="1">
      <alignment vertical="center"/>
    </xf>
    <xf numFmtId="189" fontId="52" fillId="0" borderId="57" xfId="6" applyNumberFormat="1" applyFont="1" applyBorder="1" applyAlignment="1" applyProtection="1">
      <alignment horizontal="center" vertical="center"/>
    </xf>
    <xf numFmtId="189" fontId="52" fillId="0" borderId="58" xfId="6" applyNumberFormat="1" applyFont="1" applyBorder="1" applyAlignment="1" applyProtection="1">
      <alignment vertical="center"/>
    </xf>
    <xf numFmtId="0" fontId="34" fillId="9" borderId="0" xfId="0" applyFont="1" applyFill="1" applyAlignment="1">
      <alignment horizontal="right" vertical="center"/>
    </xf>
    <xf numFmtId="0" fontId="53" fillId="9" borderId="34" xfId="0" applyFont="1" applyFill="1" applyBorder="1" applyAlignment="1">
      <alignment vertical="center"/>
    </xf>
    <xf numFmtId="0" fontId="53" fillId="0" borderId="7" xfId="0" applyFont="1" applyBorder="1" applyAlignment="1">
      <alignment vertical="center"/>
    </xf>
    <xf numFmtId="0" fontId="54" fillId="0" borderId="63" xfId="0" applyFont="1" applyBorder="1" applyAlignment="1">
      <alignment horizontal="left" vertical="center" indent="1"/>
    </xf>
    <xf numFmtId="0" fontId="54" fillId="0" borderId="64" xfId="0" applyFont="1" applyBorder="1" applyAlignment="1">
      <alignment horizontal="left" vertical="center" indent="1"/>
    </xf>
    <xf numFmtId="0" fontId="54" fillId="0" borderId="64" xfId="0" applyFont="1" applyBorder="1" applyAlignment="1">
      <alignment horizontal="center" vertical="center"/>
    </xf>
    <xf numFmtId="0" fontId="55" fillId="0" borderId="65" xfId="0" quotePrefix="1" applyFont="1" applyBorder="1" applyAlignment="1">
      <alignment horizontal="center" vertical="center"/>
    </xf>
    <xf numFmtId="1" fontId="56" fillId="0" borderId="66" xfId="0" applyNumberFormat="1" applyFont="1" applyBorder="1" applyAlignment="1">
      <alignment horizontal="center" vertical="center"/>
    </xf>
    <xf numFmtId="49" fontId="57" fillId="0" borderId="8" xfId="0" applyNumberFormat="1" applyFont="1" applyBorder="1" applyAlignment="1">
      <alignment horizontal="center" vertical="center"/>
    </xf>
    <xf numFmtId="0" fontId="53" fillId="9" borderId="38" xfId="0" applyFont="1" applyFill="1" applyBorder="1" applyAlignment="1">
      <alignment vertical="center"/>
    </xf>
    <xf numFmtId="0" fontId="53" fillId="9" borderId="0" xfId="0" applyFont="1" applyFill="1" applyAlignment="1">
      <alignment vertical="center"/>
    </xf>
    <xf numFmtId="0" fontId="54" fillId="9" borderId="34" xfId="0" applyFont="1" applyFill="1" applyBorder="1"/>
    <xf numFmtId="0" fontId="54" fillId="0" borderId="7" xfId="0" applyFont="1" applyBorder="1"/>
    <xf numFmtId="0" fontId="54" fillId="0" borderId="0" xfId="0" applyFont="1"/>
    <xf numFmtId="0" fontId="54" fillId="0" borderId="0" xfId="0" applyFont="1" applyAlignment="1">
      <alignment horizontal="left"/>
    </xf>
    <xf numFmtId="189" fontId="49" fillId="10" borderId="8" xfId="6" applyNumberFormat="1" applyFont="1" applyFill="1" applyBorder="1" applyAlignment="1" applyProtection="1">
      <alignment horizontal="center"/>
    </xf>
    <xf numFmtId="0" fontId="58" fillId="0" borderId="39" xfId="6" applyNumberFormat="1" applyFont="1" applyBorder="1" applyAlignment="1" applyProtection="1">
      <alignment horizontal="center"/>
    </xf>
    <xf numFmtId="0" fontId="58" fillId="0" borderId="0" xfId="6" applyNumberFormat="1" applyFont="1" applyAlignment="1" applyProtection="1">
      <alignment horizontal="center"/>
    </xf>
    <xf numFmtId="0" fontId="58" fillId="0" borderId="8" xfId="6" applyNumberFormat="1" applyFont="1" applyBorder="1" applyAlignment="1" applyProtection="1">
      <alignment horizontal="center"/>
    </xf>
    <xf numFmtId="0" fontId="54" fillId="9" borderId="38" xfId="0" applyFont="1" applyFill="1" applyBorder="1"/>
    <xf numFmtId="0" fontId="54" fillId="9" borderId="0" xfId="0" applyFont="1" applyFill="1"/>
    <xf numFmtId="0" fontId="59" fillId="0" borderId="0" xfId="0" applyFont="1"/>
    <xf numFmtId="0" fontId="61" fillId="0" borderId="0" xfId="0" applyFont="1"/>
    <xf numFmtId="0" fontId="61" fillId="0" borderId="0" xfId="0" applyFont="1" applyAlignment="1">
      <alignment horizontal="left"/>
    </xf>
    <xf numFmtId="0" fontId="51" fillId="0" borderId="8" xfId="0" applyFont="1" applyBorder="1" applyAlignment="1">
      <alignment horizontal="center"/>
    </xf>
    <xf numFmtId="190" fontId="49" fillId="0" borderId="7" xfId="6" applyNumberFormat="1" applyFont="1" applyBorder="1" applyAlignment="1" applyProtection="1">
      <alignment horizontal="right"/>
    </xf>
    <xf numFmtId="190" fontId="49" fillId="0" borderId="8" xfId="6" applyNumberFormat="1" applyFont="1" applyBorder="1" applyAlignment="1" applyProtection="1">
      <alignment horizontal="right"/>
    </xf>
    <xf numFmtId="189" fontId="34" fillId="9" borderId="38" xfId="0" applyNumberFormat="1" applyFont="1" applyFill="1" applyBorder="1"/>
    <xf numFmtId="2" fontId="53" fillId="9" borderId="0" xfId="0" applyNumberFormat="1" applyFont="1" applyFill="1" applyAlignment="1">
      <alignment vertical="center"/>
    </xf>
    <xf numFmtId="0" fontId="47" fillId="9" borderId="34" xfId="0" applyFont="1" applyFill="1" applyBorder="1"/>
    <xf numFmtId="0" fontId="47" fillId="0" borderId="7" xfId="0" applyFont="1" applyBorder="1"/>
    <xf numFmtId="0" fontId="47" fillId="0" borderId="0" xfId="0" applyFont="1"/>
    <xf numFmtId="189" fontId="47" fillId="9" borderId="38" xfId="0" applyNumberFormat="1" applyFont="1" applyFill="1" applyBorder="1"/>
    <xf numFmtId="0" fontId="47" fillId="9" borderId="0" xfId="0" applyFont="1" applyFill="1"/>
    <xf numFmtId="0" fontId="61" fillId="0" borderId="0" xfId="0" applyFont="1" applyAlignment="1">
      <alignment horizontal="left" vertical="center" indent="1"/>
    </xf>
    <xf numFmtId="189" fontId="34" fillId="9" borderId="38" xfId="0" applyNumberFormat="1" applyFont="1" applyFill="1" applyBorder="1" applyAlignment="1">
      <alignment vertical="center"/>
    </xf>
    <xf numFmtId="191" fontId="34" fillId="9" borderId="0" xfId="0" applyNumberFormat="1" applyFont="1" applyFill="1" applyAlignment="1">
      <alignment vertical="center"/>
    </xf>
    <xf numFmtId="0" fontId="34" fillId="0" borderId="0" xfId="0" applyFont="1" applyAlignment="1">
      <alignment horizontal="left" vertical="center"/>
    </xf>
    <xf numFmtId="0" fontId="47" fillId="9" borderId="34" xfId="0" applyFont="1" applyFill="1" applyBorder="1" applyAlignment="1">
      <alignment vertical="center"/>
    </xf>
    <xf numFmtId="0" fontId="47" fillId="0" borderId="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190" fontId="51" fillId="10" borderId="8" xfId="6" applyNumberFormat="1" applyFont="1" applyFill="1" applyBorder="1" applyAlignment="1" applyProtection="1">
      <alignment horizontal="center" vertical="center"/>
    </xf>
    <xf numFmtId="0" fontId="47" fillId="9" borderId="38" xfId="0" applyFont="1" applyFill="1" applyBorder="1" applyAlignment="1">
      <alignment vertical="center"/>
    </xf>
    <xf numFmtId="0" fontId="47" fillId="9" borderId="0" xfId="0" applyFont="1" applyFill="1" applyAlignment="1">
      <alignment vertical="center"/>
    </xf>
    <xf numFmtId="0" fontId="47" fillId="0" borderId="0" xfId="0" applyFont="1" applyAlignment="1">
      <alignment horizontal="left"/>
    </xf>
    <xf numFmtId="189" fontId="63" fillId="10" borderId="8" xfId="6" applyNumberFormat="1" applyFont="1" applyFill="1" applyBorder="1" applyAlignment="1" applyProtection="1">
      <alignment horizontal="left"/>
    </xf>
    <xf numFmtId="0" fontId="47" fillId="9" borderId="38" xfId="0" applyFont="1" applyFill="1" applyBorder="1"/>
    <xf numFmtId="0" fontId="59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189" fontId="35" fillId="10" borderId="8" xfId="6" applyNumberFormat="1" applyFont="1" applyFill="1" applyBorder="1" applyAlignment="1" applyProtection="1">
      <alignment horizontal="center"/>
    </xf>
    <xf numFmtId="192" fontId="49" fillId="6" borderId="72" xfId="6" applyNumberFormat="1" applyFont="1" applyFill="1" applyBorder="1" applyAlignment="1" applyProtection="1">
      <alignment horizontal="center" vertical="center"/>
      <protection locked="0"/>
    </xf>
    <xf numFmtId="0" fontId="34" fillId="0" borderId="0" xfId="0" quotePrefix="1" applyFont="1" applyAlignment="1">
      <alignment horizontal="left" vertical="center"/>
    </xf>
    <xf numFmtId="9" fontId="49" fillId="6" borderId="78" xfId="3" applyFont="1" applyFill="1" applyBorder="1" applyAlignment="1" applyProtection="1">
      <alignment horizontal="center" vertical="center"/>
      <protection locked="0"/>
    </xf>
    <xf numFmtId="0" fontId="34" fillId="0" borderId="0" xfId="0" quotePrefix="1" applyFont="1" applyAlignment="1">
      <alignment vertical="center"/>
    </xf>
    <xf numFmtId="190" fontId="35" fillId="0" borderId="79" xfId="6" applyNumberFormat="1" applyFont="1" applyBorder="1" applyAlignment="1" applyProtection="1">
      <alignment horizontal="center" vertical="center"/>
    </xf>
    <xf numFmtId="0" fontId="47" fillId="0" borderId="0" xfId="0" applyFont="1" applyAlignment="1">
      <alignment horizontal="left" vertical="center" indent="1"/>
    </xf>
    <xf numFmtId="0" fontId="47" fillId="0" borderId="8" xfId="0" applyFont="1" applyBorder="1" applyAlignment="1">
      <alignment horizontal="left" vertical="center" indent="1"/>
    </xf>
    <xf numFmtId="0" fontId="34" fillId="0" borderId="8" xfId="0" applyFont="1" applyBorder="1" applyAlignment="1">
      <alignment horizontal="left" vertical="center" indent="1"/>
    </xf>
    <xf numFmtId="0" fontId="34" fillId="0" borderId="82" xfId="0" applyFont="1" applyBorder="1" applyAlignment="1">
      <alignment vertical="center"/>
    </xf>
    <xf numFmtId="189" fontId="34" fillId="9" borderId="0" xfId="0" applyNumberFormat="1" applyFont="1" applyFill="1" applyAlignment="1">
      <alignment vertical="center"/>
    </xf>
    <xf numFmtId="0" fontId="34" fillId="9" borderId="0" xfId="0" applyFont="1" applyFill="1" applyAlignment="1">
      <alignment horizontal="left" vertical="center" indent="1"/>
    </xf>
    <xf numFmtId="0" fontId="51" fillId="9" borderId="0" xfId="0" applyFont="1" applyFill="1" applyAlignment="1">
      <alignment horizontal="center" vertical="center"/>
    </xf>
    <xf numFmtId="189" fontId="35" fillId="9" borderId="0" xfId="6" applyNumberFormat="1" applyFont="1" applyFill="1" applyAlignment="1" applyProtection="1">
      <alignment vertic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horizontal="left" vertical="center"/>
    </xf>
    <xf numFmtId="189" fontId="66" fillId="10" borderId="0" xfId="6" applyNumberFormat="1" applyFont="1" applyFill="1" applyAlignment="1" applyProtection="1">
      <alignment horizontal="center" vertical="center"/>
    </xf>
    <xf numFmtId="0" fontId="66" fillId="10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35" fillId="10" borderId="0" xfId="0" applyFont="1" applyFill="1" applyAlignment="1">
      <alignment vertical="center"/>
    </xf>
    <xf numFmtId="0" fontId="47" fillId="10" borderId="0" xfId="0" applyFont="1" applyFill="1" applyAlignment="1">
      <alignment vertical="center"/>
    </xf>
    <xf numFmtId="0" fontId="67" fillId="10" borderId="0" xfId="0" applyFont="1" applyFill="1" applyAlignment="1">
      <alignment vertical="center"/>
    </xf>
    <xf numFmtId="0" fontId="34" fillId="10" borderId="0" xfId="0" applyFont="1" applyFill="1" applyAlignment="1">
      <alignment horizontal="left" vertical="center"/>
    </xf>
    <xf numFmtId="189" fontId="35" fillId="10" borderId="0" xfId="6" applyNumberFormat="1" applyFont="1" applyFill="1" applyAlignment="1" applyProtection="1">
      <alignment horizontal="center" vertical="center"/>
    </xf>
    <xf numFmtId="0" fontId="51" fillId="10" borderId="0" xfId="0" applyFont="1" applyFill="1" applyAlignment="1">
      <alignment vertical="center"/>
    </xf>
    <xf numFmtId="0" fontId="65" fillId="0" borderId="0" xfId="0" applyFont="1" applyAlignment="1">
      <alignment vertical="center"/>
    </xf>
    <xf numFmtId="0" fontId="65" fillId="10" borderId="0" xfId="0" applyFont="1" applyFill="1"/>
    <xf numFmtId="0" fontId="66" fillId="10" borderId="0" xfId="0" applyFont="1" applyFill="1"/>
    <xf numFmtId="0" fontId="34" fillId="10" borderId="0" xfId="0" applyFont="1" applyFill="1"/>
    <xf numFmtId="0" fontId="34" fillId="10" borderId="0" xfId="0" applyFont="1" applyFill="1" applyAlignment="1">
      <alignment vertical="center"/>
    </xf>
    <xf numFmtId="0" fontId="54" fillId="10" borderId="0" xfId="0" applyFont="1" applyFill="1" applyAlignment="1">
      <alignment vertical="center"/>
    </xf>
    <xf numFmtId="193" fontId="35" fillId="10" borderId="0" xfId="6" applyNumberFormat="1" applyFont="1" applyFill="1" applyAlignment="1" applyProtection="1">
      <alignment horizontal="right" vertical="center" indent="2"/>
    </xf>
    <xf numFmtId="0" fontId="35" fillId="10" borderId="0" xfId="0" applyFont="1" applyFill="1"/>
    <xf numFmtId="0" fontId="65" fillId="0" borderId="0" xfId="0" applyFont="1" applyAlignment="1">
      <alignment horizontal="left" vertical="center" indent="1"/>
    </xf>
    <xf numFmtId="194" fontId="66" fillId="0" borderId="12" xfId="6" applyNumberFormat="1" applyFont="1" applyBorder="1" applyAlignment="1" applyProtection="1">
      <alignment horizontal="center" vertical="center"/>
    </xf>
    <xf numFmtId="0" fontId="54" fillId="10" borderId="0" xfId="0" applyFont="1" applyFill="1"/>
    <xf numFmtId="0" fontId="34" fillId="10" borderId="0" xfId="0" applyFont="1" applyFill="1" applyAlignment="1">
      <alignment horizontal="left" vertical="center" indent="1"/>
    </xf>
    <xf numFmtId="194" fontId="35" fillId="10" borderId="0" xfId="6" applyNumberFormat="1" applyFont="1" applyFill="1" applyAlignment="1" applyProtection="1">
      <alignment horizontal="center" vertical="center"/>
    </xf>
    <xf numFmtId="0" fontId="69" fillId="5" borderId="13" xfId="0" applyFont="1" applyFill="1" applyBorder="1"/>
    <xf numFmtId="0" fontId="34" fillId="5" borderId="27" xfId="0" applyFont="1" applyFill="1" applyBorder="1"/>
    <xf numFmtId="0" fontId="34" fillId="5" borderId="22" xfId="0" applyFont="1" applyFill="1" applyBorder="1"/>
    <xf numFmtId="0" fontId="65" fillId="0" borderId="0" xfId="0" quotePrefix="1" applyFont="1" applyAlignment="1">
      <alignment horizontal="left" vertical="center"/>
    </xf>
    <xf numFmtId="9" fontId="66" fillId="0" borderId="12" xfId="3" applyFont="1" applyBorder="1" applyAlignment="1" applyProtection="1">
      <alignment horizontal="center" vertical="center"/>
    </xf>
    <xf numFmtId="0" fontId="65" fillId="0" borderId="0" xfId="0" quotePrefix="1" applyFont="1" applyAlignment="1">
      <alignment horizontal="center" vertical="center"/>
    </xf>
    <xf numFmtId="0" fontId="3" fillId="0" borderId="0" xfId="5" applyFont="1" applyAlignment="1" applyProtection="1">
      <alignment horizontal="left" vertical="top"/>
    </xf>
    <xf numFmtId="0" fontId="70" fillId="0" borderId="0" xfId="5" applyFont="1" applyAlignment="1" applyProtection="1">
      <alignment horizontal="left" vertical="top"/>
    </xf>
    <xf numFmtId="0" fontId="34" fillId="5" borderId="16" xfId="0" applyFont="1" applyFill="1" applyBorder="1"/>
    <xf numFmtId="0" fontId="34" fillId="5" borderId="0" xfId="0" applyFont="1" applyFill="1"/>
    <xf numFmtId="0" fontId="34" fillId="5" borderId="23" xfId="0" applyFont="1" applyFill="1" applyBorder="1"/>
    <xf numFmtId="0" fontId="34" fillId="5" borderId="0" xfId="0" applyFont="1" applyFill="1" applyAlignment="1">
      <alignment horizontal="left"/>
    </xf>
    <xf numFmtId="0" fontId="71" fillId="5" borderId="16" xfId="0" applyFont="1" applyFill="1" applyBorder="1"/>
    <xf numFmtId="0" fontId="71" fillId="5" borderId="0" xfId="0" applyFont="1" applyFill="1"/>
    <xf numFmtId="0" fontId="71" fillId="5" borderId="0" xfId="0" applyFont="1" applyFill="1" applyAlignment="1">
      <alignment horizontal="left"/>
    </xf>
    <xf numFmtId="0" fontId="35" fillId="0" borderId="0" xfId="0" applyFont="1"/>
    <xf numFmtId="0" fontId="54" fillId="0" borderId="0" xfId="0" applyFont="1" applyAlignment="1">
      <alignment vertical="top"/>
    </xf>
    <xf numFmtId="0" fontId="66" fillId="0" borderId="0" xfId="0" applyFont="1"/>
    <xf numFmtId="0" fontId="49" fillId="10" borderId="0" xfId="0" applyFont="1" applyFill="1"/>
    <xf numFmtId="189" fontId="35" fillId="10" borderId="0" xfId="6" applyNumberFormat="1" applyFont="1" applyFill="1" applyAlignment="1" applyProtection="1">
      <alignment horizontal="right" vertical="center" indent="1"/>
    </xf>
    <xf numFmtId="0" fontId="34" fillId="9" borderId="89" xfId="0" applyFont="1" applyFill="1" applyBorder="1"/>
    <xf numFmtId="0" fontId="34" fillId="9" borderId="90" xfId="0" applyFont="1" applyFill="1" applyBorder="1"/>
    <xf numFmtId="0" fontId="34" fillId="9" borderId="90" xfId="0" applyFont="1" applyFill="1" applyBorder="1" applyAlignment="1">
      <alignment horizontal="left" indent="1"/>
    </xf>
    <xf numFmtId="0" fontId="35" fillId="9" borderId="90" xfId="0" applyFont="1" applyFill="1" applyBorder="1" applyAlignment="1">
      <alignment horizontal="center"/>
    </xf>
    <xf numFmtId="0" fontId="35" fillId="9" borderId="90" xfId="0" applyFont="1" applyFill="1" applyBorder="1"/>
    <xf numFmtId="0" fontId="34" fillId="9" borderId="91" xfId="0" applyFont="1" applyFill="1" applyBorder="1"/>
    <xf numFmtId="0" fontId="72" fillId="9" borderId="0" xfId="0" applyFont="1" applyFill="1"/>
    <xf numFmtId="0" fontId="72" fillId="9" borderId="0" xfId="0" applyFont="1" applyFill="1" applyAlignment="1">
      <alignment horizontal="left" indent="1"/>
    </xf>
    <xf numFmtId="0" fontId="52" fillId="9" borderId="0" xfId="0" applyFont="1" applyFill="1" applyAlignment="1">
      <alignment horizontal="center"/>
    </xf>
    <xf numFmtId="0" fontId="52" fillId="9" borderId="0" xfId="0" applyFont="1" applyFill="1"/>
    <xf numFmtId="0" fontId="47" fillId="5" borderId="16" xfId="0" applyFont="1" applyFill="1" applyBorder="1"/>
    <xf numFmtId="0" fontId="47" fillId="5" borderId="0" xfId="0" applyFont="1" applyFill="1"/>
    <xf numFmtId="0" fontId="47" fillId="5" borderId="0" xfId="0" applyFont="1" applyFill="1" applyAlignment="1">
      <alignment horizontal="left"/>
    </xf>
    <xf numFmtId="0" fontId="73" fillId="9" borderId="0" xfId="0" applyFont="1" applyFill="1"/>
    <xf numFmtId="0" fontId="74" fillId="0" borderId="0" xfId="0" applyFont="1"/>
    <xf numFmtId="0" fontId="51" fillId="0" borderId="12" xfId="0" applyFont="1" applyBorder="1" applyAlignment="1">
      <alignment horizontal="center"/>
    </xf>
    <xf numFmtId="190" fontId="49" fillId="0" borderId="12" xfId="6" applyNumberFormat="1" applyFont="1" applyBorder="1" applyAlignment="1" applyProtection="1">
      <alignment horizontal="right"/>
    </xf>
    <xf numFmtId="0" fontId="34" fillId="5" borderId="18" xfId="0" applyFont="1" applyFill="1" applyBorder="1"/>
    <xf numFmtId="0" fontId="34" fillId="5" borderId="28" xfId="0" applyFont="1" applyFill="1" applyBorder="1"/>
    <xf numFmtId="0" fontId="34" fillId="5" borderId="26" xfId="0" applyFont="1" applyFill="1" applyBorder="1"/>
    <xf numFmtId="190" fontId="75" fillId="0" borderId="12" xfId="6" applyNumberFormat="1" applyFont="1" applyFill="1" applyBorder="1" applyAlignment="1" applyProtection="1">
      <alignment horizontal="right"/>
    </xf>
    <xf numFmtId="0" fontId="35" fillId="0" borderId="0" xfId="0" applyFont="1" applyAlignment="1">
      <alignment horizontal="right"/>
    </xf>
    <xf numFmtId="0" fontId="76" fillId="0" borderId="0" xfId="0" applyFont="1" applyAlignment="1">
      <alignment horizontal="right"/>
    </xf>
    <xf numFmtId="0" fontId="77" fillId="9" borderId="0" xfId="0" applyFont="1" applyFill="1" applyAlignment="1">
      <alignment horizontal="center" vertical="top"/>
    </xf>
    <xf numFmtId="0" fontId="35" fillId="0" borderId="5" xfId="0" applyFont="1" applyBorder="1"/>
    <xf numFmtId="0" fontId="35" fillId="0" borderId="1" xfId="0" applyFont="1" applyBorder="1"/>
    <xf numFmtId="0" fontId="35" fillId="0" borderId="6" xfId="0" applyFont="1" applyBorder="1"/>
    <xf numFmtId="0" fontId="35" fillId="0" borderId="7" xfId="0" applyFont="1" applyBorder="1"/>
    <xf numFmtId="0" fontId="35" fillId="0" borderId="8" xfId="0" applyFont="1" applyBorder="1"/>
    <xf numFmtId="0" fontId="35" fillId="0" borderId="9" xfId="0" applyFont="1" applyBorder="1"/>
    <xf numFmtId="0" fontId="35" fillId="0" borderId="10" xfId="0" applyFont="1" applyBorder="1"/>
    <xf numFmtId="0" fontId="35" fillId="0" borderId="11" xfId="0" applyFont="1" applyBorder="1"/>
    <xf numFmtId="196" fontId="35" fillId="9" borderId="0" xfId="0" applyNumberFormat="1" applyFont="1" applyFill="1"/>
    <xf numFmtId="0" fontId="35" fillId="0" borderId="95" xfId="0" applyFont="1" applyBorder="1" applyAlignment="1">
      <alignment horizontal="right"/>
    </xf>
    <xf numFmtId="0" fontId="35" fillId="0" borderId="96" xfId="0" applyFont="1" applyBorder="1" applyAlignment="1">
      <alignment horizontal="right"/>
    </xf>
    <xf numFmtId="188" fontId="35" fillId="0" borderId="12" xfId="0" applyNumberFormat="1" applyFont="1" applyBorder="1"/>
    <xf numFmtId="188" fontId="35" fillId="0" borderId="98" xfId="0" applyNumberFormat="1" applyFont="1" applyBorder="1"/>
    <xf numFmtId="196" fontId="49" fillId="0" borderId="12" xfId="6" applyNumberFormat="1" applyFont="1" applyFill="1" applyBorder="1" applyAlignment="1" applyProtection="1">
      <alignment horizontal="center"/>
    </xf>
    <xf numFmtId="197" fontId="49" fillId="0" borderId="12" xfId="6" applyNumberFormat="1" applyFont="1" applyFill="1" applyBorder="1" applyAlignment="1" applyProtection="1">
      <alignment horizontal="center"/>
    </xf>
    <xf numFmtId="0" fontId="78" fillId="9" borderId="0" xfId="0" applyFont="1" applyFill="1" applyAlignment="1">
      <alignment horizontal="right"/>
    </xf>
    <xf numFmtId="180" fontId="48" fillId="0" borderId="12" xfId="6" applyNumberFormat="1" applyFont="1" applyFill="1" applyBorder="1" applyAlignment="1" applyProtection="1">
      <alignment horizontal="center"/>
    </xf>
    <xf numFmtId="180" fontId="48" fillId="0" borderId="98" xfId="6" applyNumberFormat="1" applyFont="1" applyFill="1" applyBorder="1" applyAlignment="1" applyProtection="1">
      <alignment horizontal="center"/>
    </xf>
    <xf numFmtId="0" fontId="34" fillId="0" borderId="99" xfId="0" applyFont="1" applyBorder="1" applyAlignment="1">
      <alignment vertical="top"/>
    </xf>
    <xf numFmtId="0" fontId="34" fillId="0" borderId="100" xfId="0" applyFont="1" applyBorder="1" applyAlignment="1">
      <alignment vertical="top"/>
    </xf>
    <xf numFmtId="0" fontId="34" fillId="0" borderId="101" xfId="0" applyFont="1" applyBorder="1" applyAlignment="1">
      <alignment vertical="top"/>
    </xf>
    <xf numFmtId="0" fontId="35" fillId="0" borderId="25" xfId="0" applyFont="1" applyBorder="1"/>
    <xf numFmtId="0" fontId="35" fillId="0" borderId="102" xfId="0" applyFont="1" applyBorder="1"/>
    <xf numFmtId="0" fontId="35" fillId="0" borderId="95" xfId="0" applyFont="1" applyBorder="1"/>
    <xf numFmtId="0" fontId="35" fillId="0" borderId="96" xfId="0" applyFont="1" applyBorder="1"/>
    <xf numFmtId="0" fontId="34" fillId="0" borderId="12" xfId="0" applyFont="1" applyBorder="1" applyAlignment="1">
      <alignment vertical="top"/>
    </xf>
    <xf numFmtId="182" fontId="49" fillId="0" borderId="12" xfId="6" applyNumberFormat="1" applyFont="1" applyFill="1" applyBorder="1" applyAlignment="1" applyProtection="1">
      <alignment horizontal="center"/>
    </xf>
    <xf numFmtId="182" fontId="49" fillId="0" borderId="98" xfId="6" applyNumberFormat="1" applyFont="1" applyFill="1" applyBorder="1" applyAlignment="1" applyProtection="1">
      <alignment horizontal="center"/>
    </xf>
    <xf numFmtId="0" fontId="47" fillId="0" borderId="12" xfId="0" applyFont="1" applyBorder="1" applyAlignment="1">
      <alignment vertical="top"/>
    </xf>
    <xf numFmtId="182" fontId="48" fillId="0" borderId="12" xfId="6" applyNumberFormat="1" applyFont="1" applyFill="1" applyBorder="1" applyAlignment="1" applyProtection="1">
      <alignment horizontal="center"/>
    </xf>
    <xf numFmtId="182" fontId="48" fillId="0" borderId="98" xfId="6" applyNumberFormat="1" applyFont="1" applyFill="1" applyBorder="1" applyAlignment="1" applyProtection="1">
      <alignment horizontal="center"/>
    </xf>
    <xf numFmtId="0" fontId="47" fillId="0" borderId="103" xfId="0" applyFont="1" applyBorder="1" applyAlignment="1">
      <alignment horizontal="left" vertical="top"/>
    </xf>
    <xf numFmtId="0" fontId="47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vertical="top"/>
    </xf>
    <xf numFmtId="182" fontId="48" fillId="0" borderId="1" xfId="6" applyNumberFormat="1" applyFont="1" applyFill="1" applyBorder="1" applyAlignment="1" applyProtection="1">
      <alignment horizontal="left"/>
    </xf>
    <xf numFmtId="182" fontId="48" fillId="0" borderId="6" xfId="6" applyNumberFormat="1" applyFont="1" applyFill="1" applyBorder="1" applyAlignment="1" applyProtection="1">
      <alignment horizontal="left"/>
    </xf>
    <xf numFmtId="182" fontId="48" fillId="0" borderId="87" xfId="6" applyNumberFormat="1" applyFont="1" applyFill="1" applyBorder="1" applyAlignment="1" applyProtection="1">
      <alignment horizontal="center"/>
    </xf>
    <xf numFmtId="182" fontId="48" fillId="0" borderId="104" xfId="6" applyNumberFormat="1" applyFont="1" applyFill="1" applyBorder="1" applyAlignment="1" applyProtection="1">
      <alignment horizontal="center"/>
    </xf>
    <xf numFmtId="0" fontId="35" fillId="0" borderId="13" xfId="0" applyFont="1" applyBorder="1" applyAlignment="1">
      <alignment horizontal="left"/>
    </xf>
    <xf numFmtId="0" fontId="35" fillId="0" borderId="27" xfId="0" applyFont="1" applyBorder="1" applyAlignment="1">
      <alignment horizontal="left"/>
    </xf>
    <xf numFmtId="0" fontId="35" fillId="0" borderId="27" xfId="0" applyFont="1" applyBorder="1"/>
    <xf numFmtId="182" fontId="49" fillId="0" borderId="27" xfId="6" applyNumberFormat="1" applyFont="1" applyFill="1" applyBorder="1" applyAlignment="1" applyProtection="1">
      <alignment horizontal="left"/>
    </xf>
    <xf numFmtId="182" fontId="49" fillId="0" borderId="22" xfId="6" applyNumberFormat="1" applyFont="1" applyFill="1" applyBorder="1" applyAlignment="1" applyProtection="1">
      <alignment horizontal="left"/>
    </xf>
    <xf numFmtId="182" fontId="49" fillId="0" borderId="6" xfId="6" applyNumberFormat="1" applyFont="1" applyFill="1" applyBorder="1" applyAlignment="1" applyProtection="1">
      <alignment horizontal="center"/>
    </xf>
    <xf numFmtId="0" fontId="35" fillId="0" borderId="103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182" fontId="49" fillId="0" borderId="1" xfId="6" applyNumberFormat="1" applyFont="1" applyFill="1" applyBorder="1" applyAlignment="1" applyProtection="1">
      <alignment horizontal="left"/>
    </xf>
    <xf numFmtId="182" fontId="49" fillId="0" borderId="105" xfId="6" applyNumberFormat="1" applyFont="1" applyFill="1" applyBorder="1" applyAlignment="1" applyProtection="1">
      <alignment horizontal="left"/>
    </xf>
    <xf numFmtId="0" fontId="35" fillId="0" borderId="97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/>
    </xf>
    <xf numFmtId="0" fontId="35" fillId="0" borderId="12" xfId="0" applyFont="1" applyBorder="1" applyAlignment="1">
      <alignment vertical="top"/>
    </xf>
    <xf numFmtId="182" fontId="48" fillId="0" borderId="6" xfId="6" applyNumberFormat="1" applyFont="1" applyFill="1" applyBorder="1" applyAlignment="1" applyProtection="1">
      <alignment horizontal="center"/>
    </xf>
    <xf numFmtId="0" fontId="51" fillId="0" borderId="25" xfId="0" applyFont="1" applyBorder="1" applyAlignment="1">
      <alignment vertical="top"/>
    </xf>
    <xf numFmtId="0" fontId="35" fillId="0" borderId="18" xfId="0" applyFont="1" applyBorder="1"/>
    <xf numFmtId="0" fontId="35" fillId="0" borderId="28" xfId="0" applyFont="1" applyBorder="1"/>
    <xf numFmtId="0" fontId="35" fillId="0" borderId="109" xfId="0" applyFont="1" applyBorder="1"/>
    <xf numFmtId="0" fontId="78" fillId="9" borderId="0" xfId="0" applyFont="1" applyFill="1"/>
    <xf numFmtId="0" fontId="34" fillId="9" borderId="0" xfId="0" applyFont="1" applyFill="1" applyAlignment="1">
      <alignment horizontal="left"/>
    </xf>
    <xf numFmtId="0" fontId="61" fillId="9" borderId="0" xfId="0" applyFont="1" applyFill="1"/>
    <xf numFmtId="200" fontId="35" fillId="9" borderId="0" xfId="0" applyNumberFormat="1" applyFont="1" applyFill="1"/>
    <xf numFmtId="0" fontId="71" fillId="9" borderId="0" xfId="0" applyFont="1" applyFill="1"/>
    <xf numFmtId="0" fontId="71" fillId="9" borderId="0" xfId="0" applyFont="1" applyFill="1" applyAlignment="1">
      <alignment horizontal="left"/>
    </xf>
    <xf numFmtId="201" fontId="35" fillId="9" borderId="0" xfId="2" applyNumberFormat="1" applyFont="1" applyFill="1" applyProtection="1"/>
    <xf numFmtId="202" fontId="34" fillId="9" borderId="0" xfId="0" applyNumberFormat="1" applyFont="1" applyFill="1"/>
    <xf numFmtId="0" fontId="72" fillId="9" borderId="0" xfId="0" applyFont="1" applyFill="1" applyAlignment="1">
      <alignment horizontal="left"/>
    </xf>
    <xf numFmtId="172" fontId="3" fillId="0" borderId="0" xfId="3" applyNumberFormat="1" applyFont="1" applyBorder="1" applyProtection="1">
      <protection locked="0"/>
    </xf>
    <xf numFmtId="170" fontId="10" fillId="0" borderId="0" xfId="0" applyNumberFormat="1" applyFont="1" applyAlignment="1">
      <alignment horizontal="left"/>
    </xf>
    <xf numFmtId="171" fontId="1" fillId="0" borderId="0" xfId="1" applyNumberFormat="1" applyFont="1" applyBorder="1"/>
    <xf numFmtId="44" fontId="5" fillId="0" borderId="0" xfId="1" applyFont="1" applyFill="1" applyBorder="1"/>
    <xf numFmtId="0" fontId="7" fillId="0" borderId="9" xfId="0" applyFont="1" applyBorder="1"/>
    <xf numFmtId="44" fontId="4" fillId="0" borderId="10" xfId="1" applyFont="1" applyFill="1" applyBorder="1" applyProtection="1">
      <protection locked="0"/>
    </xf>
    <xf numFmtId="0" fontId="0" fillId="0" borderId="1" xfId="0" applyBorder="1"/>
    <xf numFmtId="0" fontId="10" fillId="3" borderId="3" xfId="0" applyFont="1" applyFill="1" applyBorder="1"/>
    <xf numFmtId="2" fontId="10" fillId="3" borderId="3" xfId="1" applyNumberFormat="1" applyFont="1" applyFill="1" applyBorder="1" applyAlignment="1">
      <alignment horizontal="left"/>
    </xf>
    <xf numFmtId="2" fontId="0" fillId="0" borderId="0" xfId="1" applyNumberFormat="1" applyFont="1" applyBorder="1" applyAlignment="1">
      <alignment horizontal="left"/>
    </xf>
    <xf numFmtId="0" fontId="7" fillId="0" borderId="10" xfId="0" applyFont="1" applyBorder="1"/>
    <xf numFmtId="0" fontId="0" fillId="0" borderId="10" xfId="0" applyBorder="1"/>
    <xf numFmtId="165" fontId="3" fillId="0" borderId="0" xfId="0" applyNumberFormat="1" applyFont="1"/>
    <xf numFmtId="167" fontId="3" fillId="0" borderId="0" xfId="0" applyNumberFormat="1" applyFont="1"/>
    <xf numFmtId="168" fontId="3" fillId="0" borderId="0" xfId="0" applyNumberFormat="1" applyFont="1"/>
    <xf numFmtId="169" fontId="3" fillId="0" borderId="0" xfId="0" applyNumberFormat="1" applyFont="1"/>
    <xf numFmtId="0" fontId="3" fillId="0" borderId="0" xfId="0" applyFont="1"/>
    <xf numFmtId="207" fontId="5" fillId="4" borderId="0" xfId="1" applyNumberFormat="1" applyFont="1" applyFill="1" applyBorder="1" applyAlignment="1">
      <alignment horizontal="right"/>
    </xf>
    <xf numFmtId="168" fontId="1" fillId="0" borderId="0" xfId="0" applyNumberFormat="1" applyFont="1"/>
    <xf numFmtId="206" fontId="1" fillId="0" borderId="0" xfId="0" applyNumberFormat="1" applyFont="1"/>
    <xf numFmtId="165" fontId="1" fillId="0" borderId="0" xfId="0" applyNumberFormat="1" applyFont="1"/>
    <xf numFmtId="169" fontId="1" fillId="0" borderId="0" xfId="0" applyNumberFormat="1" applyFont="1"/>
    <xf numFmtId="0" fontId="10" fillId="3" borderId="92" xfId="0" applyFont="1" applyFill="1" applyBorder="1"/>
    <xf numFmtId="0" fontId="7" fillId="3" borderId="93" xfId="0" applyFont="1" applyFill="1" applyBorder="1"/>
    <xf numFmtId="44" fontId="7" fillId="3" borderId="93" xfId="1" applyFont="1" applyFill="1" applyBorder="1"/>
    <xf numFmtId="44" fontId="7" fillId="3" borderId="93" xfId="1" applyFont="1" applyFill="1" applyBorder="1" applyAlignment="1"/>
    <xf numFmtId="44" fontId="7" fillId="3" borderId="112" xfId="1" applyFont="1" applyFill="1" applyBorder="1"/>
    <xf numFmtId="44" fontId="0" fillId="0" borderId="105" xfId="1" applyFont="1" applyBorder="1"/>
    <xf numFmtId="0" fontId="10" fillId="0" borderId="16" xfId="0" applyFont="1" applyBorder="1"/>
    <xf numFmtId="44" fontId="0" fillId="0" borderId="23" xfId="1" applyFont="1" applyBorder="1"/>
    <xf numFmtId="44" fontId="7" fillId="0" borderId="105" xfId="1" applyFont="1" applyBorder="1"/>
    <xf numFmtId="0" fontId="3" fillId="0" borderId="16" xfId="0" applyFont="1" applyBorder="1"/>
    <xf numFmtId="44" fontId="4" fillId="0" borderId="105" xfId="1" applyFont="1" applyBorder="1"/>
    <xf numFmtId="0" fontId="0" fillId="4" borderId="16" xfId="0" applyFill="1" applyBorder="1"/>
    <xf numFmtId="168" fontId="30" fillId="0" borderId="23" xfId="0" applyNumberFormat="1" applyFont="1" applyBorder="1" applyAlignment="1">
      <alignment horizontal="left" indent="3"/>
    </xf>
    <xf numFmtId="44" fontId="7" fillId="0" borderId="23" xfId="1" applyFont="1" applyBorder="1"/>
    <xf numFmtId="0" fontId="7" fillId="0" borderId="16" xfId="0" applyFont="1" applyBorder="1"/>
    <xf numFmtId="44" fontId="10" fillId="0" borderId="23" xfId="1" applyFont="1" applyBorder="1"/>
    <xf numFmtId="0" fontId="10" fillId="0" borderId="18" xfId="0" applyFont="1" applyBorder="1"/>
    <xf numFmtId="0" fontId="10" fillId="0" borderId="28" xfId="0" applyFont="1" applyBorder="1"/>
    <xf numFmtId="44" fontId="7" fillId="0" borderId="28" xfId="1" applyFont="1" applyBorder="1"/>
    <xf numFmtId="44" fontId="10" fillId="0" borderId="28" xfId="1" applyFont="1" applyBorder="1"/>
    <xf numFmtId="169" fontId="3" fillId="0" borderId="28" xfId="0" applyNumberFormat="1" applyFont="1" applyBorder="1"/>
    <xf numFmtId="169" fontId="3" fillId="0" borderId="23" xfId="0" applyNumberFormat="1" applyFont="1" applyBorder="1"/>
    <xf numFmtId="207" fontId="5" fillId="4" borderId="23" xfId="1" applyNumberFormat="1" applyFont="1" applyFill="1" applyBorder="1" applyAlignment="1">
      <alignment horizontal="right"/>
    </xf>
    <xf numFmtId="207" fontId="7" fillId="0" borderId="105" xfId="1" applyNumberFormat="1" applyFont="1" applyFill="1" applyBorder="1" applyAlignment="1">
      <alignment horizontal="right"/>
    </xf>
    <xf numFmtId="168" fontId="10" fillId="0" borderId="23" xfId="2" applyNumberFormat="1" applyFont="1" applyBorder="1" applyAlignment="1">
      <alignment horizontal="right"/>
    </xf>
    <xf numFmtId="168" fontId="10" fillId="0" borderId="26" xfId="2" applyNumberFormat="1" applyFont="1" applyBorder="1" applyAlignment="1">
      <alignment horizontal="right"/>
    </xf>
    <xf numFmtId="168" fontId="30" fillId="0" borderId="26" xfId="0" applyNumberFormat="1" applyFont="1" applyBorder="1" applyAlignment="1">
      <alignment horizontal="left" indent="3"/>
    </xf>
    <xf numFmtId="0" fontId="82" fillId="0" borderId="103" xfId="0" applyFont="1" applyBorder="1"/>
    <xf numFmtId="0" fontId="82" fillId="0" borderId="16" xfId="0" applyFont="1" applyBorder="1"/>
    <xf numFmtId="0" fontId="10" fillId="3" borderId="93" xfId="0" applyFont="1" applyFill="1" applyBorder="1"/>
    <xf numFmtId="44" fontId="12" fillId="3" borderId="93" xfId="1" applyFont="1" applyFill="1" applyBorder="1"/>
    <xf numFmtId="168" fontId="10" fillId="3" borderId="93" xfId="2" applyNumberFormat="1" applyFont="1" applyFill="1" applyBorder="1" applyAlignment="1">
      <alignment horizontal="right"/>
    </xf>
    <xf numFmtId="44" fontId="10" fillId="3" borderId="93" xfId="1" applyFont="1" applyFill="1" applyBorder="1"/>
    <xf numFmtId="44" fontId="10" fillId="3" borderId="112" xfId="1" applyFont="1" applyFill="1" applyBorder="1"/>
    <xf numFmtId="44" fontId="5" fillId="0" borderId="23" xfId="1" applyFont="1" applyBorder="1" applyAlignment="1"/>
    <xf numFmtId="44" fontId="7" fillId="0" borderId="105" xfId="1" applyFont="1" applyBorder="1" applyAlignment="1"/>
    <xf numFmtId="168" fontId="10" fillId="0" borderId="23" xfId="2" applyNumberFormat="1" applyFont="1" applyBorder="1" applyAlignment="1"/>
    <xf numFmtId="44" fontId="12" fillId="0" borderId="23" xfId="1" applyFont="1" applyBorder="1" applyAlignment="1"/>
    <xf numFmtId="168" fontId="10" fillId="0" borderId="26" xfId="2" applyNumberFormat="1" applyFont="1" applyBorder="1" applyAlignment="1"/>
    <xf numFmtId="44" fontId="0" fillId="3" borderId="93" xfId="1" applyFont="1" applyFill="1" applyBorder="1"/>
    <xf numFmtId="44" fontId="0" fillId="3" borderId="93" xfId="1" applyFont="1" applyFill="1" applyBorder="1" applyAlignment="1"/>
    <xf numFmtId="44" fontId="0" fillId="3" borderId="112" xfId="1" applyFont="1" applyFill="1" applyBorder="1"/>
    <xf numFmtId="44" fontId="12" fillId="0" borderId="23" xfId="1" applyFont="1" applyBorder="1" applyAlignment="1">
      <alignment horizontal="right"/>
    </xf>
    <xf numFmtId="207" fontId="7" fillId="0" borderId="117" xfId="1" applyNumberFormat="1" applyFont="1" applyFill="1" applyBorder="1" applyAlignment="1">
      <alignment horizontal="right"/>
    </xf>
    <xf numFmtId="44" fontId="7" fillId="0" borderId="117" xfId="1" applyFont="1" applyBorder="1" applyAlignment="1">
      <alignment horizontal="right"/>
    </xf>
    <xf numFmtId="44" fontId="8" fillId="0" borderId="0" xfId="5" applyNumberFormat="1"/>
    <xf numFmtId="166" fontId="1" fillId="0" borderId="0" xfId="0" applyNumberFormat="1" applyFont="1"/>
    <xf numFmtId="44" fontId="7" fillId="0" borderId="0" xfId="1" applyFont="1" applyAlignment="1">
      <alignment horizontal="right"/>
    </xf>
    <xf numFmtId="173" fontId="7" fillId="0" borderId="0" xfId="1" applyNumberFormat="1" applyFont="1"/>
    <xf numFmtId="201" fontId="0" fillId="0" borderId="0" xfId="2" applyNumberFormat="1" applyFont="1"/>
    <xf numFmtId="209" fontId="3" fillId="0" borderId="0" xfId="0" applyNumberFormat="1" applyFont="1"/>
    <xf numFmtId="210" fontId="3" fillId="0" borderId="0" xfId="0" applyNumberFormat="1" applyFont="1"/>
    <xf numFmtId="0" fontId="24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left" inden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left"/>
    </xf>
    <xf numFmtId="0" fontId="8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0" fillId="0" borderId="0" xfId="0" applyFont="1" applyAlignment="1">
      <alignment horizontal="center" vertical="center" wrapText="1"/>
    </xf>
    <xf numFmtId="9" fontId="24" fillId="0" borderId="0" xfId="3" applyFont="1" applyAlignment="1" applyProtection="1">
      <alignment horizontal="center"/>
      <protection locked="0"/>
    </xf>
    <xf numFmtId="0" fontId="30" fillId="0" borderId="12" xfId="0" applyFont="1" applyBorder="1" applyAlignment="1">
      <alignment horizontal="left"/>
    </xf>
    <xf numFmtId="211" fontId="24" fillId="0" borderId="0" xfId="0" applyNumberFormat="1" applyFont="1"/>
    <xf numFmtId="0" fontId="30" fillId="0" borderId="0" xfId="0" applyFont="1" applyAlignment="1">
      <alignment horizontal="center"/>
    </xf>
    <xf numFmtId="0" fontId="24" fillId="0" borderId="12" xfId="0" applyFont="1" applyBorder="1" applyAlignment="1">
      <alignment horizontal="left"/>
    </xf>
    <xf numFmtId="211" fontId="24" fillId="0" borderId="0" xfId="0" applyNumberFormat="1" applyFont="1" applyAlignment="1">
      <alignment horizontal="right"/>
    </xf>
    <xf numFmtId="0" fontId="85" fillId="0" borderId="0" xfId="0" applyFont="1" applyAlignment="1">
      <alignment horizontal="left" indent="1"/>
    </xf>
    <xf numFmtId="0" fontId="84" fillId="0" borderId="0" xfId="0" applyFont="1" applyAlignment="1">
      <alignment horizontal="left" indent="1"/>
    </xf>
    <xf numFmtId="0" fontId="30" fillId="0" borderId="0" xfId="0" applyFont="1" applyAlignment="1" applyProtection="1">
      <alignment vertical="center" wrapText="1"/>
      <protection locked="0"/>
    </xf>
    <xf numFmtId="0" fontId="30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 wrapText="1"/>
    </xf>
    <xf numFmtId="212" fontId="24" fillId="0" borderId="4" xfId="0" applyNumberFormat="1" applyFont="1" applyBorder="1" applyAlignment="1">
      <alignment horizontal="left"/>
    </xf>
    <xf numFmtId="211" fontId="24" fillId="0" borderId="12" xfId="0" applyNumberFormat="1" applyFont="1" applyBorder="1"/>
    <xf numFmtId="212" fontId="84" fillId="0" borderId="0" xfId="0" applyNumberFormat="1" applyFont="1" applyAlignment="1">
      <alignment horizontal="left" indent="1"/>
    </xf>
    <xf numFmtId="211" fontId="24" fillId="0" borderId="0" xfId="0" applyNumberFormat="1" applyFont="1" applyAlignment="1">
      <alignment horizontal="left" indent="2"/>
    </xf>
    <xf numFmtId="0" fontId="24" fillId="0" borderId="2" xfId="0" applyFont="1" applyBorder="1"/>
    <xf numFmtId="0" fontId="30" fillId="0" borderId="0" xfId="0" applyFont="1" applyAlignment="1">
      <alignment vertical="center" wrapText="1"/>
    </xf>
    <xf numFmtId="0" fontId="30" fillId="0" borderId="0" xfId="0" applyFont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212" fontId="24" fillId="0" borderId="97" xfId="0" applyNumberFormat="1" applyFont="1" applyBorder="1" applyAlignment="1">
      <alignment horizontal="left"/>
    </xf>
    <xf numFmtId="9" fontId="30" fillId="4" borderId="98" xfId="3" applyFont="1" applyFill="1" applyBorder="1" applyAlignment="1" applyProtection="1">
      <alignment horizontal="center"/>
      <protection locked="0"/>
    </xf>
    <xf numFmtId="212" fontId="85" fillId="0" borderId="16" xfId="0" applyNumberFormat="1" applyFont="1" applyBorder="1" applyAlignment="1">
      <alignment horizontal="left"/>
    </xf>
    <xf numFmtId="0" fontId="24" fillId="0" borderId="23" xfId="0" applyFont="1" applyBorder="1" applyAlignment="1">
      <alignment horizontal="center"/>
    </xf>
    <xf numFmtId="0" fontId="84" fillId="0" borderId="18" xfId="0" applyFont="1" applyBorder="1" applyAlignment="1">
      <alignment horizontal="left" indent="1"/>
    </xf>
    <xf numFmtId="0" fontId="84" fillId="0" borderId="28" xfId="0" applyFont="1" applyBorder="1" applyAlignment="1">
      <alignment horizontal="left" indent="1"/>
    </xf>
    <xf numFmtId="0" fontId="30" fillId="0" borderId="28" xfId="0" applyFont="1" applyBorder="1" applyAlignment="1">
      <alignment vertical="center" wrapText="1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horizontal="left" vertical="center" indent="1"/>
    </xf>
    <xf numFmtId="0" fontId="24" fillId="0" borderId="3" xfId="0" applyFont="1" applyBorder="1"/>
    <xf numFmtId="0" fontId="24" fillId="0" borderId="4" xfId="0" applyFont="1" applyBorder="1"/>
    <xf numFmtId="0" fontId="24" fillId="0" borderId="97" xfId="0" applyFont="1" applyBorder="1" applyAlignment="1">
      <alignment horizontal="left" vertical="center" indent="1"/>
    </xf>
    <xf numFmtId="0" fontId="24" fillId="0" borderId="3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30" fillId="4" borderId="1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left"/>
    </xf>
    <xf numFmtId="9" fontId="30" fillId="0" borderId="98" xfId="3" applyFont="1" applyBorder="1" applyAlignment="1" applyProtection="1">
      <alignment horizontal="center"/>
      <protection locked="0"/>
    </xf>
    <xf numFmtId="212" fontId="85" fillId="0" borderId="18" xfId="0" applyNumberFormat="1" applyFont="1" applyBorder="1" applyAlignment="1">
      <alignment horizontal="left"/>
    </xf>
    <xf numFmtId="212" fontId="84" fillId="0" borderId="28" xfId="0" applyNumberFormat="1" applyFont="1" applyBorder="1" applyAlignment="1">
      <alignment horizontal="left" indent="1"/>
    </xf>
    <xf numFmtId="211" fontId="24" fillId="0" borderId="28" xfId="0" applyNumberFormat="1" applyFont="1" applyBorder="1" applyAlignment="1">
      <alignment horizontal="left" indent="2"/>
    </xf>
    <xf numFmtId="0" fontId="24" fillId="0" borderId="26" xfId="0" applyFont="1" applyBorder="1" applyAlignment="1">
      <alignment horizontal="center"/>
    </xf>
    <xf numFmtId="215" fontId="24" fillId="4" borderId="12" xfId="12" applyNumberFormat="1" applyFont="1" applyFill="1" applyBorder="1" applyAlignment="1">
      <alignment horizontal="right" vertical="center"/>
    </xf>
    <xf numFmtId="44" fontId="30" fillId="0" borderId="12" xfId="1" applyFont="1" applyBorder="1"/>
    <xf numFmtId="44" fontId="30" fillId="0" borderId="12" xfId="1" applyFont="1" applyBorder="1" applyAlignment="1">
      <alignment horizontal="left" indent="1"/>
    </xf>
    <xf numFmtId="0" fontId="80" fillId="0" borderId="0" xfId="0" applyFont="1"/>
    <xf numFmtId="0" fontId="79" fillId="0" borderId="0" xfId="0" applyFont="1"/>
    <xf numFmtId="0" fontId="87" fillId="0" borderId="0" xfId="0" applyFont="1"/>
    <xf numFmtId="217" fontId="1" fillId="0" borderId="0" xfId="0" applyNumberFormat="1" applyFont="1" applyAlignment="1">
      <alignment horizontal="center" vertical="center"/>
    </xf>
    <xf numFmtId="218" fontId="1" fillId="0" borderId="0" xfId="0" applyNumberFormat="1" applyFont="1" applyAlignment="1">
      <alignment horizontal="center" vertical="center"/>
    </xf>
    <xf numFmtId="219" fontId="0" fillId="0" borderId="0" xfId="0" applyNumberFormat="1"/>
    <xf numFmtId="222" fontId="0" fillId="0" borderId="0" xfId="0" applyNumberFormat="1"/>
    <xf numFmtId="0" fontId="7" fillId="0" borderId="1" xfId="0" applyFont="1" applyBorder="1" applyAlignment="1">
      <alignment horizontal="center"/>
    </xf>
    <xf numFmtId="9" fontId="0" fillId="0" borderId="0" xfId="3" applyFont="1" applyAlignment="1">
      <alignment horizontal="center"/>
    </xf>
    <xf numFmtId="218" fontId="0" fillId="0" borderId="0" xfId="0" applyNumberFormat="1"/>
    <xf numFmtId="168" fontId="0" fillId="0" borderId="0" xfId="0" applyNumberFormat="1" applyAlignment="1">
      <alignment horizontal="right"/>
    </xf>
    <xf numFmtId="217" fontId="0" fillId="0" borderId="0" xfId="0" applyNumberForma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218" fontId="0" fillId="0" borderId="10" xfId="0" applyNumberFormat="1" applyBorder="1"/>
    <xf numFmtId="168" fontId="0" fillId="0" borderId="10" xfId="0" applyNumberFormat="1" applyBorder="1" applyAlignment="1">
      <alignment horizontal="right"/>
    </xf>
    <xf numFmtId="217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18" fontId="7" fillId="0" borderId="10" xfId="0" applyNumberFormat="1" applyFont="1" applyBorder="1"/>
    <xf numFmtId="168" fontId="7" fillId="0" borderId="10" xfId="0" applyNumberFormat="1" applyFont="1" applyBorder="1" applyAlignment="1">
      <alignment horizontal="right"/>
    </xf>
    <xf numFmtId="217" fontId="7" fillId="0" borderId="10" xfId="0" applyNumberFormat="1" applyFont="1" applyBorder="1"/>
    <xf numFmtId="225" fontId="0" fillId="0" borderId="17" xfId="0" applyNumberFormat="1" applyBorder="1" applyAlignment="1">
      <alignment horizontal="left"/>
    </xf>
    <xf numFmtId="226" fontId="0" fillId="0" borderId="15" xfId="0" applyNumberFormat="1" applyBorder="1" applyAlignment="1">
      <alignment horizontal="left"/>
    </xf>
    <xf numFmtId="227" fontId="0" fillId="0" borderId="0" xfId="0" applyNumberFormat="1" applyAlignment="1">
      <alignment horizontal="right"/>
    </xf>
    <xf numFmtId="228" fontId="0" fillId="0" borderId="0" xfId="0" applyNumberFormat="1"/>
    <xf numFmtId="218" fontId="7" fillId="0" borderId="3" xfId="0" applyNumberFormat="1" applyFont="1" applyBorder="1"/>
    <xf numFmtId="227" fontId="7" fillId="0" borderId="3" xfId="0" applyNumberFormat="1" applyFont="1" applyBorder="1" applyAlignment="1">
      <alignment horizontal="right"/>
    </xf>
    <xf numFmtId="228" fontId="7" fillId="0" borderId="3" xfId="0" applyNumberFormat="1" applyFont="1" applyBorder="1"/>
    <xf numFmtId="0" fontId="30" fillId="3" borderId="12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indent="1"/>
    </xf>
    <xf numFmtId="0" fontId="0" fillId="0" borderId="12" xfId="0" applyBorder="1" applyAlignment="1">
      <alignment wrapText="1"/>
    </xf>
    <xf numFmtId="184" fontId="48" fillId="3" borderId="47" xfId="6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9" fontId="24" fillId="0" borderId="0" xfId="3" applyFont="1" applyFill="1" applyAlignment="1" applyProtection="1">
      <alignment horizontal="center"/>
      <protection locked="0"/>
    </xf>
    <xf numFmtId="0" fontId="30" fillId="4" borderId="12" xfId="0" applyFont="1" applyFill="1" applyBorder="1" applyAlignment="1">
      <alignment vertical="center"/>
    </xf>
    <xf numFmtId="0" fontId="90" fillId="0" borderId="0" xfId="0" applyFont="1" applyAlignment="1">
      <alignment horizontal="left"/>
    </xf>
    <xf numFmtId="211" fontId="24" fillId="4" borderId="12" xfId="0" applyNumberFormat="1" applyFont="1" applyFill="1" applyBorder="1"/>
    <xf numFmtId="9" fontId="30" fillId="4" borderId="12" xfId="3" applyFont="1" applyFill="1" applyBorder="1"/>
    <xf numFmtId="229" fontId="24" fillId="0" borderId="0" xfId="0" applyNumberFormat="1" applyFont="1" applyAlignment="1">
      <alignment horizontal="left"/>
    </xf>
    <xf numFmtId="0" fontId="30" fillId="3" borderId="2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24" fillId="0" borderId="4" xfId="0" applyFont="1" applyBorder="1" applyAlignment="1" applyProtection="1">
      <alignment horizontal="center" vertical="center"/>
      <protection locked="0"/>
    </xf>
    <xf numFmtId="212" fontId="93" fillId="0" borderId="118" xfId="0" applyNumberFormat="1" applyFont="1" applyBorder="1" applyAlignment="1">
      <alignment horizontal="left"/>
    </xf>
    <xf numFmtId="212" fontId="93" fillId="0" borderId="11" xfId="0" applyNumberFormat="1" applyFont="1" applyBorder="1" applyAlignment="1">
      <alignment horizontal="left"/>
    </xf>
    <xf numFmtId="211" fontId="93" fillId="0" borderId="15" xfId="0" applyNumberFormat="1" applyFont="1" applyBorder="1"/>
    <xf numFmtId="9" fontId="4" fillId="4" borderId="119" xfId="3" applyFont="1" applyFill="1" applyBorder="1" applyAlignment="1" applyProtection="1">
      <alignment horizontal="center"/>
      <protection locked="0"/>
    </xf>
    <xf numFmtId="0" fontId="81" fillId="0" borderId="23" xfId="0" applyFont="1" applyBorder="1" applyAlignment="1" applyProtection="1">
      <alignment horizontal="center" vertical="center"/>
      <protection locked="0"/>
    </xf>
    <xf numFmtId="0" fontId="81" fillId="0" borderId="0" xfId="0" applyFont="1" applyAlignment="1" applyProtection="1">
      <alignment horizontal="center" vertical="center"/>
      <protection locked="0"/>
    </xf>
    <xf numFmtId="212" fontId="93" fillId="0" borderId="97" xfId="0" applyNumberFormat="1" applyFont="1" applyBorder="1" applyAlignment="1">
      <alignment horizontal="left"/>
    </xf>
    <xf numFmtId="212" fontId="93" fillId="0" borderId="4" xfId="0" applyNumberFormat="1" applyFont="1" applyBorder="1" applyAlignment="1">
      <alignment horizontal="left"/>
    </xf>
    <xf numFmtId="211" fontId="93" fillId="0" borderId="12" xfId="0" applyNumberFormat="1" applyFont="1" applyBorder="1"/>
    <xf numFmtId="9" fontId="4" fillId="4" borderId="98" xfId="3" applyFont="1" applyFill="1" applyBorder="1" applyAlignment="1" applyProtection="1">
      <alignment horizontal="center"/>
      <protection locked="0"/>
    </xf>
    <xf numFmtId="212" fontId="24" fillId="0" borderId="2" xfId="0" applyNumberFormat="1" applyFont="1" applyBorder="1" applyAlignment="1">
      <alignment horizontal="left"/>
    </xf>
    <xf numFmtId="0" fontId="24" fillId="0" borderId="6" xfId="0" applyFont="1" applyBorder="1" applyAlignment="1" applyProtection="1">
      <alignment horizontal="center" vertical="center"/>
      <protection locked="0"/>
    </xf>
    <xf numFmtId="211" fontId="30" fillId="0" borderId="12" xfId="0" applyNumberFormat="1" applyFont="1" applyBorder="1"/>
    <xf numFmtId="9" fontId="30" fillId="4" borderId="12" xfId="3" applyFont="1" applyFill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211" fontId="94" fillId="0" borderId="15" xfId="0" applyNumberFormat="1" applyFont="1" applyBorder="1"/>
    <xf numFmtId="211" fontId="94" fillId="0" borderId="12" xfId="0" applyNumberFormat="1" applyFont="1" applyBorder="1"/>
    <xf numFmtId="212" fontId="85" fillId="0" borderId="5" xfId="0" applyNumberFormat="1" applyFont="1" applyBorder="1" applyAlignment="1">
      <alignment horizontal="left"/>
    </xf>
    <xf numFmtId="212" fontId="84" fillId="0" borderId="1" xfId="0" applyNumberFormat="1" applyFont="1" applyBorder="1" applyAlignment="1">
      <alignment horizontal="left" indent="1"/>
    </xf>
    <xf numFmtId="211" fontId="24" fillId="0" borderId="1" xfId="0" applyNumberFormat="1" applyFont="1" applyBorder="1" applyAlignment="1">
      <alignment horizontal="left" indent="2"/>
    </xf>
    <xf numFmtId="0" fontId="24" fillId="0" borderId="6" xfId="0" applyFont="1" applyBorder="1" applyAlignment="1">
      <alignment horizontal="center"/>
    </xf>
    <xf numFmtId="212" fontId="85" fillId="0" borderId="7" xfId="0" applyNumberFormat="1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230" fontId="24" fillId="4" borderId="12" xfId="0" applyNumberFormat="1" applyFont="1" applyFill="1" applyBorder="1" applyAlignment="1" applyProtection="1">
      <alignment horizontal="right"/>
      <protection locked="0"/>
    </xf>
    <xf numFmtId="0" fontId="84" fillId="0" borderId="0" xfId="0" applyFont="1"/>
    <xf numFmtId="0" fontId="24" fillId="0" borderId="0" xfId="0" applyFont="1" applyAlignment="1">
      <alignment horizontal="left" indent="2"/>
    </xf>
    <xf numFmtId="9" fontId="24" fillId="0" borderId="8" xfId="3" applyFont="1" applyFill="1" applyBorder="1" applyAlignment="1" applyProtection="1">
      <alignment horizontal="center"/>
      <protection locked="0"/>
    </xf>
    <xf numFmtId="0" fontId="84" fillId="0" borderId="9" xfId="0" applyFont="1" applyBorder="1" applyAlignment="1">
      <alignment horizontal="left" indent="1"/>
    </xf>
    <xf numFmtId="0" fontId="84" fillId="0" borderId="10" xfId="0" applyFont="1" applyBorder="1" applyAlignment="1">
      <alignment horizontal="left" indent="1"/>
    </xf>
    <xf numFmtId="0" fontId="30" fillId="0" borderId="10" xfId="0" applyFont="1" applyBorder="1" applyAlignment="1">
      <alignment vertical="center" wrapText="1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81" fillId="0" borderId="26" xfId="0" applyFont="1" applyBorder="1" applyAlignment="1" applyProtection="1">
      <alignment horizontal="center" vertical="center"/>
      <protection locked="0"/>
    </xf>
    <xf numFmtId="211" fontId="24" fillId="0" borderId="2" xfId="0" applyNumberFormat="1" applyFont="1" applyBorder="1"/>
    <xf numFmtId="0" fontId="24" fillId="0" borderId="87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/>
    </xf>
    <xf numFmtId="0" fontId="84" fillId="0" borderId="10" xfId="0" applyFont="1" applyBorder="1"/>
    <xf numFmtId="0" fontId="24" fillId="0" borderId="10" xfId="0" applyFont="1" applyBorder="1" applyAlignment="1">
      <alignment horizontal="left" indent="2"/>
    </xf>
    <xf numFmtId="9" fontId="24" fillId="0" borderId="10" xfId="3" applyFont="1" applyFill="1" applyBorder="1" applyAlignment="1" applyProtection="1">
      <alignment horizontal="center"/>
      <protection locked="0"/>
    </xf>
    <xf numFmtId="212" fontId="93" fillId="0" borderId="103" xfId="0" applyNumberFormat="1" applyFont="1" applyBorder="1" applyAlignment="1">
      <alignment horizontal="left"/>
    </xf>
    <xf numFmtId="212" fontId="93" fillId="0" borderId="6" xfId="0" applyNumberFormat="1" applyFont="1" applyBorder="1" applyAlignment="1">
      <alignment horizontal="left"/>
    </xf>
    <xf numFmtId="211" fontId="93" fillId="0" borderId="87" xfId="0" applyNumberFormat="1" applyFont="1" applyBorder="1"/>
    <xf numFmtId="211" fontId="24" fillId="0" borderId="4" xfId="0" applyNumberFormat="1" applyFont="1" applyBorder="1"/>
    <xf numFmtId="9" fontId="4" fillId="0" borderId="104" xfId="3" applyFont="1" applyFill="1" applyBorder="1" applyAlignment="1" applyProtection="1">
      <alignment horizontal="center"/>
      <protection locked="0"/>
    </xf>
    <xf numFmtId="9" fontId="24" fillId="0" borderId="0" xfId="3" applyFont="1" applyFill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97" fillId="0" borderId="0" xfId="0" applyFont="1" applyAlignment="1">
      <alignment horizontal="left" indent="1"/>
    </xf>
    <xf numFmtId="0" fontId="94" fillId="0" borderId="0" xfId="0" applyFont="1" applyAlignment="1">
      <alignment vertical="center" wrapText="1"/>
    </xf>
    <xf numFmtId="0" fontId="98" fillId="0" borderId="0" xfId="0" applyFont="1" applyAlignment="1" applyProtection="1">
      <alignment horizontal="center" vertical="center" wrapText="1"/>
      <protection locked="0"/>
    </xf>
    <xf numFmtId="2" fontId="30" fillId="0" borderId="0" xfId="0" applyNumberFormat="1" applyFont="1" applyAlignment="1">
      <alignment horizontal="left" vertical="top"/>
    </xf>
    <xf numFmtId="0" fontId="24" fillId="0" borderId="1" xfId="0" applyFont="1" applyBorder="1" applyAlignment="1">
      <alignment horizontal="left"/>
    </xf>
    <xf numFmtId="212" fontId="13" fillId="0" borderId="97" xfId="0" applyNumberFormat="1" applyFont="1" applyBorder="1" applyAlignment="1">
      <alignment horizontal="left"/>
    </xf>
    <xf numFmtId="0" fontId="24" fillId="0" borderId="0" xfId="0" applyFont="1" applyAlignment="1" applyProtection="1">
      <alignment horizontal="left" vertical="center"/>
      <protection locked="0"/>
    </xf>
    <xf numFmtId="9" fontId="4" fillId="0" borderId="98" xfId="3" applyFont="1" applyFill="1" applyBorder="1" applyAlignment="1" applyProtection="1">
      <alignment horizontal="center"/>
      <protection locked="0"/>
    </xf>
    <xf numFmtId="0" fontId="24" fillId="0" borderId="97" xfId="0" applyFont="1" applyBorder="1"/>
    <xf numFmtId="9" fontId="24" fillId="0" borderId="23" xfId="3" applyFont="1" applyFill="1" applyBorder="1" applyAlignment="1" applyProtection="1">
      <alignment horizontal="center"/>
      <protection locked="0"/>
    </xf>
    <xf numFmtId="231" fontId="24" fillId="4" borderId="12" xfId="12" applyNumberFormat="1" applyFont="1" applyFill="1" applyBorder="1" applyAlignment="1">
      <alignment horizontal="right" vertical="center"/>
    </xf>
    <xf numFmtId="0" fontId="30" fillId="3" borderId="4" xfId="0" applyFont="1" applyFill="1" applyBorder="1" applyAlignment="1" applyProtection="1">
      <alignment horizontal="center" vertical="center"/>
      <protection locked="0"/>
    </xf>
    <xf numFmtId="0" fontId="30" fillId="3" borderId="12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232" fontId="24" fillId="4" borderId="12" xfId="12" applyNumberFormat="1" applyFont="1" applyFill="1" applyBorder="1" applyAlignment="1">
      <alignment horizontal="right" vertical="center"/>
    </xf>
    <xf numFmtId="4" fontId="24" fillId="0" borderId="4" xfId="0" applyNumberFormat="1" applyFont="1" applyBorder="1" applyAlignment="1" applyProtection="1">
      <alignment horizontal="center" vertical="center"/>
      <protection locked="0"/>
    </xf>
    <xf numFmtId="44" fontId="30" fillId="0" borderId="12" xfId="0" applyNumberFormat="1" applyFont="1" applyBorder="1"/>
    <xf numFmtId="44" fontId="30" fillId="3" borderId="12" xfId="1" applyFont="1" applyFill="1" applyBorder="1" applyAlignment="1" applyProtection="1">
      <alignment horizontal="center" vertical="center"/>
      <protection locked="0"/>
    </xf>
    <xf numFmtId="233" fontId="24" fillId="4" borderId="12" xfId="12" applyNumberFormat="1" applyFont="1" applyFill="1" applyBorder="1" applyAlignment="1">
      <alignment horizontal="right" vertical="center"/>
    </xf>
    <xf numFmtId="44" fontId="24" fillId="0" borderId="0" xfId="1" applyFont="1" applyFill="1"/>
    <xf numFmtId="0" fontId="30" fillId="0" borderId="0" xfId="0" applyFont="1"/>
    <xf numFmtId="44" fontId="24" fillId="0" borderId="0" xfId="1" applyFont="1" applyFill="1" applyAlignment="1" applyProtection="1">
      <alignment horizontal="center" vertical="center"/>
      <protection locked="0"/>
    </xf>
    <xf numFmtId="234" fontId="24" fillId="4" borderId="12" xfId="12" applyNumberFormat="1" applyFont="1" applyFill="1" applyBorder="1" applyAlignment="1">
      <alignment horizontal="right" vertical="center"/>
    </xf>
    <xf numFmtId="0" fontId="30" fillId="3" borderId="11" xfId="0" applyFont="1" applyFill="1" applyBorder="1" applyAlignment="1" applyProtection="1">
      <alignment horizontal="center" vertical="center"/>
      <protection locked="0"/>
    </xf>
    <xf numFmtId="0" fontId="30" fillId="3" borderId="12" xfId="0" applyFont="1" applyFill="1" applyBorder="1" applyAlignment="1" applyProtection="1">
      <alignment horizontal="center" vertical="center" wrapText="1"/>
      <protection locked="0"/>
    </xf>
    <xf numFmtId="213" fontId="12" fillId="4" borderId="98" xfId="12" applyNumberFormat="1" applyFont="1" applyFill="1" applyBorder="1" applyAlignment="1">
      <alignment horizontal="right" vertical="center"/>
    </xf>
    <xf numFmtId="213" fontId="24" fillId="4" borderId="98" xfId="12" applyNumberFormat="1" applyFont="1" applyFill="1" applyBorder="1" applyAlignment="1">
      <alignment horizontal="right" vertical="center"/>
    </xf>
    <xf numFmtId="214" fontId="24" fillId="4" borderId="98" xfId="12" applyNumberFormat="1" applyFont="1" applyFill="1" applyBorder="1" applyAlignment="1">
      <alignment horizontal="right" vertical="center"/>
    </xf>
    <xf numFmtId="43" fontId="24" fillId="0" borderId="0" xfId="2" applyFont="1" applyAlignment="1" applyProtection="1">
      <alignment horizontal="center" vertical="center"/>
      <protection locked="0"/>
    </xf>
    <xf numFmtId="164" fontId="24" fillId="0" borderId="0" xfId="0" applyNumberFormat="1" applyFont="1" applyAlignment="1" applyProtection="1">
      <alignment horizontal="center" vertical="center"/>
      <protection locked="0"/>
    </xf>
    <xf numFmtId="44" fontId="24" fillId="4" borderId="12" xfId="1" applyFont="1" applyFill="1" applyBorder="1"/>
    <xf numFmtId="0" fontId="30" fillId="0" borderId="2" xfId="0" applyFont="1" applyBorder="1" applyAlignment="1">
      <alignment horizontal="center" vertical="center" wrapText="1"/>
    </xf>
    <xf numFmtId="9" fontId="30" fillId="0" borderId="2" xfId="3" applyFont="1" applyBorder="1" applyAlignment="1" applyProtection="1">
      <alignment horizontal="center"/>
      <protection locked="0"/>
    </xf>
    <xf numFmtId="212" fontId="24" fillId="0" borderId="118" xfId="0" applyNumberFormat="1" applyFont="1" applyBorder="1" applyAlignment="1">
      <alignment horizontal="left"/>
    </xf>
    <xf numFmtId="212" fontId="24" fillId="0" borderId="11" xfId="0" applyNumberFormat="1" applyFont="1" applyBorder="1" applyAlignment="1">
      <alignment horizontal="left"/>
    </xf>
    <xf numFmtId="211" fontId="24" fillId="0" borderId="15" xfId="0" applyNumberFormat="1" applyFont="1" applyBorder="1"/>
    <xf numFmtId="211" fontId="24" fillId="0" borderId="119" xfId="0" applyNumberFormat="1" applyFont="1" applyBorder="1"/>
    <xf numFmtId="9" fontId="30" fillId="4" borderId="119" xfId="3" applyFont="1" applyFill="1" applyBorder="1" applyAlignment="1" applyProtection="1">
      <alignment horizontal="center"/>
      <protection locked="0"/>
    </xf>
    <xf numFmtId="0" fontId="84" fillId="0" borderId="2" xfId="0" applyFont="1" applyBorder="1" applyAlignment="1">
      <alignment horizontal="left" indent="1"/>
    </xf>
    <xf numFmtId="0" fontId="84" fillId="0" borderId="3" xfId="0" applyFont="1" applyBorder="1" applyAlignment="1">
      <alignment horizontal="left" indent="1"/>
    </xf>
    <xf numFmtId="0" fontId="30" fillId="0" borderId="3" xfId="0" applyFont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216" fontId="24" fillId="4" borderId="12" xfId="12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indent="1"/>
    </xf>
    <xf numFmtId="0" fontId="24" fillId="0" borderId="10" xfId="0" applyFont="1" applyBorder="1" applyAlignment="1">
      <alignment horizontal="left" indent="1"/>
    </xf>
    <xf numFmtId="0" fontId="24" fillId="0" borderId="11" xfId="0" applyFont="1" applyBorder="1" applyAlignment="1">
      <alignment horizontal="center"/>
    </xf>
    <xf numFmtId="213" fontId="24" fillId="0" borderId="12" xfId="12" applyNumberFormat="1" applyFont="1" applyBorder="1" applyAlignment="1">
      <alignment horizontal="right" vertical="center"/>
    </xf>
    <xf numFmtId="214" fontId="24" fillId="0" borderId="12" xfId="12" applyNumberFormat="1" applyFont="1" applyBorder="1" applyAlignment="1">
      <alignment horizontal="right" vertical="center"/>
    </xf>
    <xf numFmtId="0" fontId="30" fillId="0" borderId="3" xfId="0" applyFont="1" applyBorder="1" applyAlignment="1" applyProtection="1">
      <alignment horizontal="center" vertical="center" wrapText="1"/>
      <protection locked="0"/>
    </xf>
    <xf numFmtId="9" fontId="4" fillId="0" borderId="119" xfId="3" applyFont="1" applyFill="1" applyBorder="1" applyAlignment="1" applyProtection="1">
      <alignment horizontal="center"/>
      <protection locked="0"/>
    </xf>
    <xf numFmtId="9" fontId="30" fillId="0" borderId="12" xfId="3" applyFont="1" applyFill="1" applyBorder="1" applyAlignment="1" applyProtection="1">
      <alignment horizontal="center"/>
      <protection locked="0"/>
    </xf>
    <xf numFmtId="9" fontId="30" fillId="0" borderId="2" xfId="3" applyFont="1" applyFill="1" applyBorder="1" applyAlignment="1" applyProtection="1">
      <alignment horizontal="center"/>
      <protection locked="0"/>
    </xf>
    <xf numFmtId="9" fontId="30" fillId="0" borderId="98" xfId="3" applyFont="1" applyFill="1" applyBorder="1" applyAlignment="1" applyProtection="1">
      <alignment horizontal="center"/>
      <protection locked="0"/>
    </xf>
    <xf numFmtId="211" fontId="24" fillId="0" borderId="0" xfId="0" applyNumberFormat="1" applyFont="1" applyAlignment="1">
      <alignment horizontal="center"/>
    </xf>
    <xf numFmtId="0" fontId="18" fillId="11" borderId="5" xfId="0" applyFont="1" applyFill="1" applyBorder="1"/>
    <xf numFmtId="0" fontId="14" fillId="11" borderId="1" xfId="0" applyFont="1" applyFill="1" applyBorder="1"/>
    <xf numFmtId="0" fontId="14" fillId="11" borderId="6" xfId="0" applyFont="1" applyFill="1" applyBorder="1"/>
    <xf numFmtId="0" fontId="0" fillId="0" borderId="8" xfId="0" applyBorder="1"/>
    <xf numFmtId="0" fontId="21" fillId="0" borderId="7" xfId="0" applyFont="1" applyBorder="1"/>
    <xf numFmtId="175" fontId="23" fillId="0" borderId="8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7" fillId="0" borderId="7" xfId="0" applyFont="1" applyBorder="1"/>
    <xf numFmtId="0" fontId="12" fillId="0" borderId="8" xfId="0" applyFont="1" applyBorder="1"/>
    <xf numFmtId="0" fontId="12" fillId="0" borderId="113" xfId="0" applyFont="1" applyBorder="1"/>
    <xf numFmtId="0" fontId="12" fillId="0" borderId="109" xfId="0" applyFont="1" applyBorder="1"/>
    <xf numFmtId="182" fontId="29" fillId="0" borderId="113" xfId="6" applyNumberFormat="1" applyFont="1" applyFill="1" applyBorder="1" applyAlignment="1" applyProtection="1">
      <alignment horizontal="right"/>
    </xf>
    <xf numFmtId="182" fontId="29" fillId="0" borderId="8" xfId="6" applyNumberFormat="1" applyFont="1" applyFill="1" applyBorder="1" applyAlignment="1" applyProtection="1">
      <alignment horizontal="right"/>
    </xf>
    <xf numFmtId="182" fontId="29" fillId="0" borderId="109" xfId="6" applyNumberFormat="1" applyFont="1" applyFill="1" applyBorder="1" applyAlignment="1" applyProtection="1">
      <alignment horizontal="right"/>
    </xf>
    <xf numFmtId="0" fontId="32" fillId="0" borderId="0" xfId="0" applyFont="1"/>
    <xf numFmtId="0" fontId="0" fillId="0" borderId="11" xfId="0" applyBorder="1"/>
    <xf numFmtId="0" fontId="22" fillId="0" borderId="7" xfId="0" applyFont="1" applyBorder="1"/>
    <xf numFmtId="0" fontId="11" fillId="0" borderId="0" xfId="0" applyFont="1" applyAlignment="1">
      <alignment horizontal="center"/>
    </xf>
    <xf numFmtId="0" fontId="0" fillId="0" borderId="114" xfId="0" applyBorder="1"/>
    <xf numFmtId="0" fontId="0" fillId="0" borderId="115" xfId="0" applyBorder="1"/>
    <xf numFmtId="0" fontId="0" fillId="0" borderId="25" xfId="0" applyBorder="1"/>
    <xf numFmtId="0" fontId="27" fillId="0" borderId="9" xfId="0" applyFont="1" applyBorder="1"/>
    <xf numFmtId="0" fontId="12" fillId="0" borderId="11" xfId="0" applyFont="1" applyBorder="1"/>
    <xf numFmtId="0" fontId="7" fillId="0" borderId="114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15" xfId="0" applyFont="1" applyBorder="1" applyAlignment="1">
      <alignment horizontal="left" vertical="top"/>
    </xf>
    <xf numFmtId="0" fontId="32" fillId="0" borderId="9" xfId="0" applyFont="1" applyBorder="1"/>
    <xf numFmtId="0" fontId="7" fillId="0" borderId="5" xfId="0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95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8" fillId="0" borderId="0" xfId="5"/>
    <xf numFmtId="0" fontId="22" fillId="0" borderId="16" xfId="0" applyFont="1" applyBorder="1"/>
    <xf numFmtId="9" fontId="1" fillId="0" borderId="0" xfId="1" applyNumberFormat="1" applyFont="1" applyBorder="1" applyAlignment="1">
      <alignment horizontal="center"/>
    </xf>
    <xf numFmtId="0" fontId="100" fillId="0" borderId="121" xfId="0" applyFont="1" applyBorder="1" applyAlignment="1">
      <alignment horizontal="left" vertical="center" indent="1"/>
    </xf>
    <xf numFmtId="0" fontId="100" fillId="0" borderId="15" xfId="0" applyFont="1" applyBorder="1" applyAlignment="1">
      <alignment horizontal="left" vertical="center" indent="1"/>
    </xf>
    <xf numFmtId="0" fontId="100" fillId="0" borderId="15" xfId="0" applyFont="1" applyBorder="1" applyAlignment="1">
      <alignment horizontal="center" vertical="center"/>
    </xf>
    <xf numFmtId="0" fontId="100" fillId="0" borderId="29" xfId="0" applyFont="1" applyBorder="1" applyAlignment="1">
      <alignment horizontal="left" vertical="center" indent="1"/>
    </xf>
    <xf numFmtId="0" fontId="100" fillId="0" borderId="12" xfId="0" applyFont="1" applyBorder="1" applyAlignment="1">
      <alignment horizontal="left" vertical="center" indent="1"/>
    </xf>
    <xf numFmtId="0" fontId="100" fillId="0" borderId="12" xfId="0" applyFont="1" applyBorder="1" applyAlignment="1">
      <alignment horizontal="center" vertical="center"/>
    </xf>
    <xf numFmtId="0" fontId="103" fillId="0" borderId="29" xfId="0" applyFont="1" applyBorder="1" applyAlignment="1">
      <alignment horizontal="left" vertical="center" indent="1"/>
    </xf>
    <xf numFmtId="0" fontId="101" fillId="0" borderId="24" xfId="0" applyFont="1" applyBorder="1" applyAlignment="1">
      <alignment vertical="center"/>
    </xf>
    <xf numFmtId="0" fontId="100" fillId="0" borderId="25" xfId="0" applyFont="1" applyBorder="1"/>
    <xf numFmtId="0" fontId="100" fillId="0" borderId="25" xfId="0" applyFont="1" applyBorder="1" applyAlignment="1">
      <alignment horizontal="left" vertical="center" indent="1"/>
    </xf>
    <xf numFmtId="0" fontId="104" fillId="7" borderId="122" xfId="0" applyFont="1" applyFill="1" applyBorder="1" applyAlignment="1">
      <alignment horizontal="center" vertical="center" wrapText="1"/>
    </xf>
    <xf numFmtId="0" fontId="100" fillId="3" borderId="15" xfId="0" applyFont="1" applyFill="1" applyBorder="1" applyAlignment="1">
      <alignment horizontal="center" vertical="center"/>
    </xf>
    <xf numFmtId="0" fontId="100" fillId="3" borderId="119" xfId="0" applyFont="1" applyFill="1" applyBorder="1" applyAlignment="1">
      <alignment horizontal="center" vertical="center"/>
    </xf>
    <xf numFmtId="0" fontId="102" fillId="10" borderId="15" xfId="0" applyFont="1" applyFill="1" applyBorder="1" applyAlignment="1" applyProtection="1">
      <alignment vertical="center"/>
      <protection locked="0"/>
    </xf>
    <xf numFmtId="0" fontId="103" fillId="10" borderId="9" xfId="0" applyFont="1" applyFill="1" applyBorder="1" applyAlignment="1" applyProtection="1">
      <alignment horizontal="center" vertical="center"/>
      <protection locked="0"/>
    </xf>
    <xf numFmtId="0" fontId="102" fillId="0" borderId="122" xfId="0" applyFont="1" applyBorder="1" applyAlignment="1" applyProtection="1">
      <alignment horizontal="left" wrapText="1" indent="1"/>
      <protection locked="0"/>
    </xf>
    <xf numFmtId="0" fontId="102" fillId="0" borderId="12" xfId="0" applyFont="1" applyBorder="1" applyAlignment="1" applyProtection="1">
      <alignment horizontal="center"/>
      <protection locked="0"/>
    </xf>
    <xf numFmtId="0" fontId="102" fillId="0" borderId="98" xfId="0" applyFont="1" applyBorder="1" applyAlignment="1" applyProtection="1">
      <alignment horizontal="left" indent="1"/>
      <protection locked="0"/>
    </xf>
    <xf numFmtId="235" fontId="102" fillId="0" borderId="12" xfId="0" applyNumberFormat="1" applyFont="1" applyBorder="1" applyAlignment="1" applyProtection="1">
      <alignment vertical="center"/>
      <protection locked="0"/>
    </xf>
    <xf numFmtId="0" fontId="102" fillId="10" borderId="2" xfId="0" applyFont="1" applyFill="1" applyBorder="1" applyAlignment="1" applyProtection="1">
      <alignment vertical="center"/>
      <protection locked="0"/>
    </xf>
    <xf numFmtId="0" fontId="102" fillId="0" borderId="123" xfId="0" applyFont="1" applyBorder="1" applyAlignment="1" applyProtection="1">
      <alignment horizontal="left" wrapText="1" indent="1"/>
      <protection locked="0"/>
    </xf>
    <xf numFmtId="179" fontId="102" fillId="0" borderId="12" xfId="0" applyNumberFormat="1" applyFont="1" applyBorder="1" applyAlignment="1" applyProtection="1">
      <alignment vertical="center"/>
      <protection locked="0"/>
    </xf>
    <xf numFmtId="168" fontId="102" fillId="0" borderId="2" xfId="0" applyNumberFormat="1" applyFont="1" applyBorder="1" applyAlignment="1" applyProtection="1">
      <alignment horizontal="center" vertical="center"/>
      <protection locked="0"/>
    </xf>
    <xf numFmtId="236" fontId="102" fillId="0" borderId="12" xfId="0" applyNumberFormat="1" applyFont="1" applyBorder="1" applyAlignment="1" applyProtection="1">
      <alignment vertical="center"/>
      <protection locked="0"/>
    </xf>
    <xf numFmtId="0" fontId="100" fillId="0" borderId="12" xfId="0" applyFont="1" applyBorder="1"/>
    <xf numFmtId="235" fontId="102" fillId="0" borderId="2" xfId="0" applyNumberFormat="1" applyFont="1" applyBorder="1" applyAlignment="1" applyProtection="1">
      <alignment horizontal="center" vertical="center"/>
      <protection locked="0"/>
    </xf>
    <xf numFmtId="0" fontId="103" fillId="3" borderId="12" xfId="0" applyFont="1" applyFill="1" applyBorder="1" applyAlignment="1" applyProtection="1">
      <alignment horizontal="center" vertical="center"/>
      <protection locked="0"/>
    </xf>
    <xf numFmtId="0" fontId="103" fillId="3" borderId="98" xfId="0" applyFont="1" applyFill="1" applyBorder="1" applyAlignment="1" applyProtection="1">
      <alignment horizontal="center" vertical="center"/>
      <protection locked="0"/>
    </xf>
    <xf numFmtId="236" fontId="103" fillId="0" borderId="12" xfId="0" applyNumberFormat="1" applyFont="1" applyBorder="1" applyAlignment="1" applyProtection="1">
      <alignment horizontal="center" vertical="center"/>
      <protection locked="0"/>
    </xf>
    <xf numFmtId="0" fontId="102" fillId="0" borderId="98" xfId="0" applyFont="1" applyBorder="1" applyProtection="1">
      <protection locked="0"/>
    </xf>
    <xf numFmtId="0" fontId="100" fillId="0" borderId="29" xfId="0" applyFont="1" applyBorder="1" applyAlignment="1">
      <alignment horizontal="center" vertical="center"/>
    </xf>
    <xf numFmtId="0" fontId="102" fillId="0" borderId="29" xfId="0" applyFont="1" applyBorder="1" applyAlignment="1" applyProtection="1">
      <alignment horizontal="left" indent="1"/>
      <protection locked="0"/>
    </xf>
    <xf numFmtId="237" fontId="102" fillId="0" borderId="12" xfId="0" applyNumberFormat="1" applyFont="1" applyBorder="1" applyAlignment="1" applyProtection="1">
      <alignment horizontal="left" indent="1"/>
      <protection locked="0"/>
    </xf>
    <xf numFmtId="0" fontId="100" fillId="3" borderId="12" xfId="0" applyFont="1" applyFill="1" applyBorder="1" applyAlignment="1">
      <alignment horizontal="center" vertical="center"/>
    </xf>
    <xf numFmtId="0" fontId="100" fillId="3" borderId="98" xfId="0" applyFont="1" applyFill="1" applyBorder="1" applyAlignment="1">
      <alignment horizontal="center" vertical="center"/>
    </xf>
    <xf numFmtId="0" fontId="102" fillId="10" borderId="29" xfId="0" applyFont="1" applyFill="1" applyBorder="1" applyAlignment="1" applyProtection="1">
      <alignment horizontal="left" indent="1"/>
      <protection locked="0"/>
    </xf>
    <xf numFmtId="237" fontId="100" fillId="0" borderId="12" xfId="0" applyNumberFormat="1" applyFont="1" applyBorder="1" applyAlignment="1">
      <alignment horizontal="center" vertical="center"/>
    </xf>
    <xf numFmtId="0" fontId="105" fillId="0" borderId="12" xfId="0" applyFont="1" applyBorder="1" applyAlignment="1">
      <alignment horizontal="center" vertical="center"/>
    </xf>
    <xf numFmtId="0" fontId="105" fillId="0" borderId="98" xfId="0" applyFont="1" applyBorder="1" applyAlignment="1">
      <alignment horizontal="center" vertical="center"/>
    </xf>
    <xf numFmtId="2" fontId="102" fillId="0" borderId="12" xfId="0" applyNumberFormat="1" applyFont="1" applyBorder="1" applyAlignment="1" applyProtection="1">
      <alignment horizontal="left" indent="1"/>
      <protection locked="0"/>
    </xf>
    <xf numFmtId="0" fontId="100" fillId="0" borderId="98" xfId="0" applyFont="1" applyBorder="1" applyAlignment="1">
      <alignment horizontal="center" vertical="center"/>
    </xf>
    <xf numFmtId="0" fontId="102" fillId="0" borderId="12" xfId="0" applyFont="1" applyBorder="1" applyAlignment="1" applyProtection="1">
      <alignment horizontal="left" indent="1"/>
      <protection locked="0"/>
    </xf>
    <xf numFmtId="0" fontId="100" fillId="0" borderId="98" xfId="0" applyFont="1" applyBorder="1"/>
    <xf numFmtId="0" fontId="103" fillId="0" borderId="12" xfId="0" applyFont="1" applyBorder="1" applyAlignment="1" applyProtection="1">
      <alignment horizontal="center" vertical="center"/>
      <protection locked="0"/>
    </xf>
    <xf numFmtId="0" fontId="103" fillId="0" borderId="2" xfId="0" applyFont="1" applyBorder="1" applyAlignment="1" applyProtection="1">
      <alignment horizontal="center" vertical="center"/>
      <protection locked="0"/>
    </xf>
    <xf numFmtId="0" fontId="103" fillId="0" borderId="12" xfId="0" applyFont="1" applyBorder="1" applyAlignment="1" applyProtection="1">
      <alignment vertical="center"/>
      <protection locked="0"/>
    </xf>
    <xf numFmtId="0" fontId="102" fillId="0" borderId="2" xfId="0" applyFont="1" applyBorder="1" applyAlignment="1" applyProtection="1">
      <alignment horizontal="left" indent="1"/>
      <protection locked="0"/>
    </xf>
    <xf numFmtId="0" fontId="102" fillId="0" borderId="12" xfId="0" applyFont="1" applyBorder="1" applyProtection="1">
      <protection locked="0"/>
    </xf>
    <xf numFmtId="0" fontId="102" fillId="0" borderId="2" xfId="0" applyFont="1" applyBorder="1" applyProtection="1">
      <protection locked="0"/>
    </xf>
    <xf numFmtId="0" fontId="102" fillId="0" borderId="124" xfId="0" applyFont="1" applyBorder="1" applyAlignment="1" applyProtection="1">
      <alignment horizontal="left" wrapText="1" indent="1"/>
      <protection locked="0"/>
    </xf>
    <xf numFmtId="0" fontId="0" fillId="0" borderId="0" xfId="0" applyAlignment="1">
      <alignment horizontal="left" wrapText="1" indent="1"/>
    </xf>
    <xf numFmtId="183" fontId="0" fillId="0" borderId="0" xfId="2" applyNumberFormat="1" applyFont="1" applyAlignment="1">
      <alignment horizontal="left" indent="3"/>
    </xf>
    <xf numFmtId="0" fontId="35" fillId="9" borderId="0" xfId="0" applyFont="1" applyFill="1" applyAlignment="1">
      <alignment vertical="center"/>
    </xf>
    <xf numFmtId="238" fontId="3" fillId="0" borderId="17" xfId="6" applyNumberFormat="1" applyFont="1" applyFill="1" applyBorder="1" applyAlignment="1" applyProtection="1">
      <alignment horizontal="right"/>
    </xf>
    <xf numFmtId="238" fontId="3" fillId="0" borderId="14" xfId="6" applyNumberFormat="1" applyFont="1" applyFill="1" applyBorder="1" applyAlignment="1" applyProtection="1">
      <alignment horizontal="right"/>
    </xf>
    <xf numFmtId="239" fontId="3" fillId="0" borderId="19" xfId="6" applyNumberFormat="1" applyFont="1" applyFill="1" applyBorder="1" applyAlignment="1" applyProtection="1">
      <alignment horizontal="right"/>
    </xf>
    <xf numFmtId="240" fontId="3" fillId="0" borderId="19" xfId="6" applyNumberFormat="1" applyFont="1" applyFill="1" applyBorder="1" applyAlignment="1" applyProtection="1">
      <alignment horizontal="right"/>
    </xf>
    <xf numFmtId="241" fontId="3" fillId="0" borderId="21" xfId="6" applyNumberFormat="1" applyFont="1" applyFill="1" applyBorder="1" applyAlignment="1" applyProtection="1">
      <alignment horizontal="right"/>
    </xf>
    <xf numFmtId="238" fontId="4" fillId="6" borderId="12" xfId="1" applyNumberFormat="1" applyFont="1" applyFill="1" applyBorder="1" applyAlignment="1" applyProtection="1">
      <alignment horizontal="center"/>
      <protection locked="0"/>
    </xf>
    <xf numFmtId="239" fontId="3" fillId="0" borderId="14" xfId="6" applyNumberFormat="1" applyFont="1" applyFill="1" applyBorder="1" applyAlignment="1" applyProtection="1">
      <alignment horizontal="right"/>
    </xf>
    <xf numFmtId="239" fontId="3" fillId="0" borderId="17" xfId="6" applyNumberFormat="1" applyFont="1" applyFill="1" applyBorder="1" applyAlignment="1" applyProtection="1">
      <alignment horizontal="right"/>
    </xf>
    <xf numFmtId="188" fontId="35" fillId="0" borderId="39" xfId="0" applyNumberFormat="1" applyFont="1" applyBorder="1" applyAlignment="1">
      <alignment horizontal="right"/>
    </xf>
    <xf numFmtId="188" fontId="35" fillId="0" borderId="57" xfId="0" applyNumberFormat="1" applyFont="1" applyBorder="1" applyAlignment="1">
      <alignment horizontal="right"/>
    </xf>
    <xf numFmtId="242" fontId="49" fillId="0" borderId="72" xfId="6" applyNumberFormat="1" applyFont="1" applyFill="1" applyBorder="1" applyAlignment="1" applyProtection="1">
      <alignment horizontal="center" vertical="center"/>
    </xf>
    <xf numFmtId="242" fontId="49" fillId="0" borderId="8" xfId="6" applyNumberFormat="1" applyFont="1" applyBorder="1" applyAlignment="1" applyProtection="1">
      <alignment horizontal="right"/>
    </xf>
    <xf numFmtId="238" fontId="66" fillId="0" borderId="4" xfId="6" applyNumberFormat="1" applyFont="1" applyBorder="1" applyAlignment="1" applyProtection="1">
      <alignment horizontal="right" vertical="center" indent="1"/>
    </xf>
    <xf numFmtId="238" fontId="66" fillId="0" borderId="88" xfId="6" applyNumberFormat="1" applyFont="1" applyBorder="1" applyAlignment="1" applyProtection="1">
      <alignment horizontal="right" vertical="center" indent="1"/>
    </xf>
    <xf numFmtId="238" fontId="66" fillId="0" borderId="12" xfId="6" applyNumberFormat="1" applyFont="1" applyBorder="1" applyAlignment="1" applyProtection="1">
      <alignment horizontal="center" vertical="center"/>
    </xf>
    <xf numFmtId="238" fontId="66" fillId="0" borderId="12" xfId="3" applyNumberFormat="1" applyFont="1" applyBorder="1" applyAlignment="1" applyProtection="1">
      <alignment horizontal="center" vertical="center"/>
    </xf>
    <xf numFmtId="242" fontId="49" fillId="0" borderId="12" xfId="6" applyNumberFormat="1" applyFont="1" applyBorder="1" applyAlignment="1" applyProtection="1">
      <alignment horizontal="right"/>
    </xf>
    <xf numFmtId="242" fontId="75" fillId="0" borderId="12" xfId="6" applyNumberFormat="1" applyFont="1" applyFill="1" applyBorder="1" applyAlignment="1" applyProtection="1">
      <alignment horizontal="right"/>
    </xf>
    <xf numFmtId="242" fontId="35" fillId="9" borderId="0" xfId="0" applyNumberFormat="1" applyFont="1" applyFill="1"/>
    <xf numFmtId="242" fontId="49" fillId="0" borderId="12" xfId="6" applyNumberFormat="1" applyFont="1" applyFill="1" applyBorder="1" applyAlignment="1" applyProtection="1">
      <alignment horizontal="right"/>
    </xf>
    <xf numFmtId="242" fontId="35" fillId="0" borderId="12" xfId="6" applyNumberFormat="1" applyFont="1" applyFill="1" applyBorder="1" applyAlignment="1" applyProtection="1">
      <alignment horizontal="right"/>
    </xf>
    <xf numFmtId="242" fontId="35" fillId="0" borderId="1" xfId="0" applyNumberFormat="1" applyFont="1" applyBorder="1"/>
    <xf numFmtId="235" fontId="4" fillId="3" borderId="12" xfId="1" applyNumberFormat="1" applyFont="1" applyFill="1" applyBorder="1" applyAlignment="1" applyProtection="1">
      <alignment horizontal="center"/>
      <protection locked="0"/>
    </xf>
    <xf numFmtId="244" fontId="24" fillId="0" borderId="14" xfId="6" applyNumberFormat="1" applyFont="1" applyFill="1" applyBorder="1" applyAlignment="1" applyProtection="1">
      <alignment horizontal="right"/>
    </xf>
    <xf numFmtId="244" fontId="24" fillId="0" borderId="17" xfId="6" applyNumberFormat="1" applyFont="1" applyFill="1" applyBorder="1" applyAlignment="1" applyProtection="1">
      <alignment horizontal="right"/>
    </xf>
    <xf numFmtId="244" fontId="24" fillId="0" borderId="19" xfId="6" applyNumberFormat="1" applyFont="1" applyFill="1" applyBorder="1" applyAlignment="1" applyProtection="1">
      <alignment horizontal="right"/>
    </xf>
    <xf numFmtId="245" fontId="114" fillId="0" borderId="0" xfId="0" applyNumberFormat="1" applyFont="1"/>
    <xf numFmtId="246" fontId="114" fillId="0" borderId="0" xfId="0" applyNumberFormat="1" applyFont="1"/>
    <xf numFmtId="246" fontId="49" fillId="0" borderId="39" xfId="6" applyNumberFormat="1" applyFont="1" applyBorder="1" applyAlignment="1" applyProtection="1">
      <alignment horizontal="right"/>
    </xf>
    <xf numFmtId="246" fontId="49" fillId="0" borderId="58" xfId="6" applyNumberFormat="1" applyFont="1" applyBorder="1" applyAlignment="1" applyProtection="1">
      <alignment horizontal="right"/>
    </xf>
    <xf numFmtId="246" fontId="49" fillId="0" borderId="0" xfId="6" applyNumberFormat="1" applyFont="1" applyAlignment="1" applyProtection="1">
      <alignment horizontal="right"/>
    </xf>
    <xf numFmtId="246" fontId="35" fillId="0" borderId="59" xfId="6" applyNumberFormat="1" applyFont="1" applyBorder="1" applyAlignment="1" applyProtection="1">
      <alignment horizontal="right" vertical="center"/>
    </xf>
    <xf numFmtId="246" fontId="35" fillId="0" borderId="60" xfId="6" applyNumberFormat="1" applyFont="1" applyBorder="1" applyAlignment="1" applyProtection="1">
      <alignment horizontal="right" vertical="center"/>
    </xf>
    <xf numFmtId="246" fontId="35" fillId="0" borderId="61" xfId="6" applyNumberFormat="1" applyFont="1" applyBorder="1" applyAlignment="1" applyProtection="1">
      <alignment horizontal="right" vertical="center"/>
    </xf>
    <xf numFmtId="247" fontId="49" fillId="6" borderId="78" xfId="6" applyNumberFormat="1" applyFont="1" applyFill="1" applyBorder="1" applyAlignment="1" applyProtection="1">
      <alignment horizontal="center" vertical="center"/>
      <protection locked="0"/>
    </xf>
    <xf numFmtId="238" fontId="49" fillId="6" borderId="72" xfId="6" applyNumberFormat="1" applyFont="1" applyFill="1" applyBorder="1" applyAlignment="1" applyProtection="1">
      <alignment horizontal="right" vertical="center"/>
      <protection locked="0"/>
    </xf>
    <xf numFmtId="0" fontId="115" fillId="0" borderId="0" xfId="0" applyFont="1"/>
    <xf numFmtId="0" fontId="115" fillId="0" borderId="0" xfId="0" applyFont="1" applyAlignment="1">
      <alignment horizontal="center"/>
    </xf>
    <xf numFmtId="248" fontId="3" fillId="0" borderId="0" xfId="0" applyNumberFormat="1" applyFont="1"/>
    <xf numFmtId="248" fontId="3" fillId="0" borderId="30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117" fillId="0" borderId="0" xfId="0" applyFont="1" applyAlignment="1">
      <alignment horizontal="left"/>
    </xf>
    <xf numFmtId="248" fontId="118" fillId="0" borderId="0" xfId="0" applyNumberFormat="1" applyFont="1"/>
    <xf numFmtId="0" fontId="117" fillId="0" borderId="10" xfId="0" applyFont="1" applyBorder="1" applyAlignment="1">
      <alignment horizontal="left"/>
    </xf>
    <xf numFmtId="248" fontId="118" fillId="0" borderId="10" xfId="0" applyNumberFormat="1" applyFont="1" applyBorder="1"/>
    <xf numFmtId="243" fontId="3" fillId="0" borderId="0" xfId="0" applyNumberFormat="1" applyFont="1"/>
    <xf numFmtId="181" fontId="4" fillId="0" borderId="28" xfId="6" applyNumberFormat="1" applyFont="1" applyFill="1" applyBorder="1" applyAlignment="1" applyProtection="1">
      <alignment horizontal="right"/>
    </xf>
    <xf numFmtId="187" fontId="49" fillId="11" borderId="35" xfId="0" applyNumberFormat="1" applyFont="1" applyFill="1" applyBorder="1" applyAlignment="1">
      <alignment horizontal="right" indent="1"/>
    </xf>
    <xf numFmtId="187" fontId="49" fillId="11" borderId="51" xfId="0" applyNumberFormat="1" applyFont="1" applyFill="1" applyBorder="1" applyAlignment="1">
      <alignment horizontal="right" indent="1"/>
    </xf>
    <xf numFmtId="187" fontId="49" fillId="11" borderId="52" xfId="0" applyNumberFormat="1" applyFont="1" applyFill="1" applyBorder="1" applyAlignment="1">
      <alignment horizontal="right" indent="1"/>
    </xf>
    <xf numFmtId="249" fontId="4" fillId="6" borderId="15" xfId="0" applyNumberFormat="1" applyFont="1" applyFill="1" applyBorder="1" applyAlignment="1" applyProtection="1">
      <alignment horizontal="right"/>
      <protection locked="0"/>
    </xf>
    <xf numFmtId="249" fontId="3" fillId="0" borderId="15" xfId="0" applyNumberFormat="1" applyFont="1" applyBorder="1" applyAlignment="1" applyProtection="1">
      <alignment horizontal="right"/>
      <protection locked="0"/>
    </xf>
    <xf numFmtId="250" fontId="62" fillId="0" borderId="67" xfId="6" applyNumberFormat="1" applyFont="1" applyBorder="1" applyAlignment="1" applyProtection="1">
      <alignment horizontal="right" vertical="center"/>
    </xf>
    <xf numFmtId="250" fontId="62" fillId="0" borderId="68" xfId="6" applyNumberFormat="1" applyFont="1" applyBorder="1" applyAlignment="1" applyProtection="1">
      <alignment horizontal="right" vertical="center"/>
    </xf>
    <xf numFmtId="250" fontId="35" fillId="0" borderId="39" xfId="6" applyNumberFormat="1" applyFont="1" applyBorder="1" applyAlignment="1" applyProtection="1">
      <alignment horizontal="right" vertical="center"/>
    </xf>
    <xf numFmtId="250" fontId="48" fillId="0" borderId="68" xfId="6" applyNumberFormat="1" applyFont="1" applyBorder="1" applyAlignment="1" applyProtection="1">
      <alignment horizontal="right" vertical="center"/>
    </xf>
    <xf numFmtId="250" fontId="48" fillId="0" borderId="73" xfId="6" applyNumberFormat="1" applyFont="1" applyBorder="1" applyAlignment="1" applyProtection="1">
      <alignment horizontal="right"/>
    </xf>
    <xf numFmtId="250" fontId="48" fillId="0" borderId="74" xfId="6" applyNumberFormat="1" applyFont="1" applyBorder="1" applyAlignment="1" applyProtection="1">
      <alignment horizontal="right"/>
    </xf>
    <xf numFmtId="250" fontId="62" fillId="0" borderId="69" xfId="6" applyNumberFormat="1" applyFont="1" applyBorder="1" applyAlignment="1" applyProtection="1">
      <alignment horizontal="right" vertical="center"/>
    </xf>
    <xf numFmtId="250" fontId="62" fillId="0" borderId="70" xfId="6" applyNumberFormat="1" applyFont="1" applyBorder="1" applyAlignment="1" applyProtection="1">
      <alignment horizontal="right" indent="1"/>
    </xf>
    <xf numFmtId="250" fontId="62" fillId="0" borderId="71" xfId="6" applyNumberFormat="1" applyFont="1" applyBorder="1" applyAlignment="1" applyProtection="1">
      <alignment horizontal="right" vertical="center"/>
    </xf>
    <xf numFmtId="250" fontId="35" fillId="0" borderId="57" xfId="6" applyNumberFormat="1" applyFont="1" applyBorder="1" applyAlignment="1" applyProtection="1">
      <alignment horizontal="right" vertical="center"/>
    </xf>
    <xf numFmtId="250" fontId="35" fillId="0" borderId="58" xfId="6" applyNumberFormat="1" applyFont="1" applyBorder="1" applyAlignment="1" applyProtection="1">
      <alignment horizontal="right" vertical="center"/>
    </xf>
    <xf numFmtId="250" fontId="35" fillId="0" borderId="7" xfId="6" applyNumberFormat="1" applyFont="1" applyBorder="1" applyAlignment="1" applyProtection="1">
      <alignment horizontal="right" vertical="center"/>
    </xf>
    <xf numFmtId="250" fontId="35" fillId="0" borderId="8" xfId="6" applyNumberFormat="1" applyFont="1" applyBorder="1" applyAlignment="1" applyProtection="1">
      <alignment horizontal="right" vertical="center"/>
    </xf>
    <xf numFmtId="250" fontId="35" fillId="0" borderId="0" xfId="6" applyNumberFormat="1" applyFont="1" applyAlignment="1" applyProtection="1">
      <alignment horizontal="right" vertical="center"/>
    </xf>
    <xf numFmtId="250" fontId="48" fillId="0" borderId="69" xfId="6" applyNumberFormat="1" applyFont="1" applyBorder="1" applyAlignment="1" applyProtection="1">
      <alignment horizontal="right" vertical="center"/>
    </xf>
    <xf numFmtId="250" fontId="48" fillId="0" borderId="70" xfId="6" applyNumberFormat="1" applyFont="1" applyBorder="1" applyAlignment="1" applyProtection="1">
      <alignment horizontal="right" indent="1"/>
    </xf>
    <xf numFmtId="250" fontId="48" fillId="0" borderId="71" xfId="6" applyNumberFormat="1" applyFont="1" applyBorder="1" applyAlignment="1" applyProtection="1">
      <alignment horizontal="right" vertical="center"/>
    </xf>
    <xf numFmtId="250" fontId="48" fillId="0" borderId="75" xfId="6" applyNumberFormat="1" applyFont="1" applyBorder="1" applyAlignment="1" applyProtection="1">
      <alignment horizontal="right"/>
    </xf>
    <xf numFmtId="250" fontId="48" fillId="0" borderId="76" xfId="6" applyNumberFormat="1" applyFont="1" applyBorder="1" applyAlignment="1" applyProtection="1">
      <alignment horizontal="right"/>
    </xf>
    <xf numFmtId="250" fontId="48" fillId="0" borderId="77" xfId="6" applyNumberFormat="1" applyFont="1" applyBorder="1" applyAlignment="1" applyProtection="1">
      <alignment horizontal="right"/>
    </xf>
    <xf numFmtId="250" fontId="58" fillId="0" borderId="39" xfId="6" applyNumberFormat="1" applyFont="1" applyBorder="1" applyAlignment="1" applyProtection="1">
      <alignment horizontal="right"/>
    </xf>
    <xf numFmtId="250" fontId="58" fillId="0" borderId="0" xfId="6" applyNumberFormat="1" applyFont="1" applyAlignment="1" applyProtection="1">
      <alignment horizontal="right"/>
    </xf>
    <xf numFmtId="250" fontId="58" fillId="0" borderId="7" xfId="6" applyNumberFormat="1" applyFont="1" applyBorder="1" applyAlignment="1" applyProtection="1">
      <alignment horizontal="right"/>
    </xf>
    <xf numFmtId="250" fontId="58" fillId="0" borderId="8" xfId="6" applyNumberFormat="1" applyFont="1" applyBorder="1" applyAlignment="1" applyProtection="1">
      <alignment horizontal="right"/>
    </xf>
    <xf numFmtId="250" fontId="48" fillId="0" borderId="67" xfId="6" applyNumberFormat="1" applyFont="1" applyBorder="1" applyAlignment="1" applyProtection="1">
      <alignment horizontal="right"/>
    </xf>
    <xf numFmtId="250" fontId="48" fillId="0" borderId="68" xfId="6" applyNumberFormat="1" applyFont="1" applyBorder="1" applyAlignment="1" applyProtection="1">
      <alignment horizontal="right"/>
    </xf>
    <xf numFmtId="250" fontId="48" fillId="0" borderId="69" xfId="6" applyNumberFormat="1" applyFont="1" applyBorder="1" applyAlignment="1" applyProtection="1">
      <alignment horizontal="right"/>
    </xf>
    <xf numFmtId="250" fontId="48" fillId="0" borderId="70" xfId="6" applyNumberFormat="1" applyFont="1" applyBorder="1" applyAlignment="1" applyProtection="1">
      <alignment horizontal="right"/>
    </xf>
    <xf numFmtId="250" fontId="48" fillId="0" borderId="71" xfId="6" applyNumberFormat="1" applyFont="1" applyBorder="1" applyAlignment="1" applyProtection="1">
      <alignment horizontal="right"/>
    </xf>
    <xf numFmtId="250" fontId="35" fillId="0" borderId="80" xfId="6" applyNumberFormat="1" applyFont="1" applyBorder="1" applyAlignment="1" applyProtection="1">
      <alignment horizontal="right" vertical="center"/>
    </xf>
    <xf numFmtId="250" fontId="49" fillId="0" borderId="81" xfId="6" applyNumberFormat="1" applyFont="1" applyBorder="1" applyAlignment="1" applyProtection="1">
      <alignment horizontal="right" vertical="top"/>
    </xf>
    <xf numFmtId="250" fontId="51" fillId="0" borderId="84" xfId="6" applyNumberFormat="1" applyFont="1" applyBorder="1" applyAlignment="1" applyProtection="1">
      <alignment horizontal="right" vertical="center"/>
    </xf>
    <xf numFmtId="250" fontId="51" fillId="0" borderId="85" xfId="6" applyNumberFormat="1" applyFont="1" applyBorder="1" applyAlignment="1" applyProtection="1">
      <alignment horizontal="right" vertical="center" indent="1"/>
    </xf>
    <xf numFmtId="250" fontId="51" fillId="0" borderId="86" xfId="6" applyNumberFormat="1" applyFont="1" applyBorder="1" applyAlignment="1" applyProtection="1">
      <alignment horizontal="right" vertical="center"/>
    </xf>
    <xf numFmtId="0" fontId="118" fillId="0" borderId="1" xfId="0" applyFont="1" applyBorder="1" applyAlignment="1">
      <alignment horizontal="left"/>
    </xf>
    <xf numFmtId="246" fontId="117" fillId="0" borderId="13" xfId="0" applyNumberFormat="1" applyFont="1" applyBorder="1"/>
    <xf numFmtId="0" fontId="117" fillId="0" borderId="27" xfId="0" applyFont="1" applyBorder="1" applyAlignment="1">
      <alignment horizontal="left"/>
    </xf>
    <xf numFmtId="0" fontId="0" fillId="0" borderId="22" xfId="0" applyBorder="1"/>
    <xf numFmtId="246" fontId="117" fillId="0" borderId="16" xfId="0" applyNumberFormat="1" applyFont="1" applyBorder="1"/>
    <xf numFmtId="0" fontId="0" fillId="0" borderId="23" xfId="0" applyBorder="1"/>
    <xf numFmtId="246" fontId="118" fillId="0" borderId="103" xfId="0" applyNumberFormat="1" applyFont="1" applyBorder="1"/>
    <xf numFmtId="0" fontId="7" fillId="0" borderId="23" xfId="0" applyFont="1" applyBorder="1"/>
    <xf numFmtId="246" fontId="118" fillId="0" borderId="18" xfId="0" applyNumberFormat="1" applyFont="1" applyBorder="1"/>
    <xf numFmtId="0" fontId="118" fillId="0" borderId="28" xfId="0" applyFont="1" applyBorder="1" applyAlignment="1">
      <alignment horizontal="left"/>
    </xf>
    <xf numFmtId="0" fontId="7" fillId="0" borderId="26" xfId="0" applyFont="1" applyBorder="1"/>
    <xf numFmtId="2" fontId="119" fillId="0" borderId="0" xfId="0" applyNumberFormat="1" applyFont="1"/>
    <xf numFmtId="0" fontId="10" fillId="3" borderId="20" xfId="0" applyFont="1" applyFill="1" applyBorder="1" applyAlignment="1">
      <alignment vertical="top" wrapText="1"/>
    </xf>
    <xf numFmtId="239" fontId="4" fillId="3" borderId="20" xfId="6" applyNumberFormat="1" applyFont="1" applyFill="1" applyBorder="1" applyAlignment="1" applyProtection="1">
      <alignment horizontal="right"/>
    </xf>
    <xf numFmtId="244" fontId="10" fillId="3" borderId="20" xfId="0" applyNumberFormat="1" applyFont="1" applyFill="1" applyBorder="1"/>
    <xf numFmtId="0" fontId="10" fillId="3" borderId="20" xfId="0" applyFont="1" applyFill="1" applyBorder="1"/>
    <xf numFmtId="240" fontId="4" fillId="3" borderId="20" xfId="6" applyNumberFormat="1" applyFont="1" applyFill="1" applyBorder="1" applyAlignment="1" applyProtection="1">
      <alignment horizontal="right"/>
    </xf>
    <xf numFmtId="0" fontId="10" fillId="3" borderId="110" xfId="0" applyFont="1" applyFill="1" applyBorder="1"/>
    <xf numFmtId="0" fontId="7" fillId="3" borderId="110" xfId="0" applyFont="1" applyFill="1" applyBorder="1"/>
    <xf numFmtId="244" fontId="10" fillId="3" borderId="12" xfId="0" applyNumberFormat="1" applyFont="1" applyFill="1" applyBorder="1"/>
    <xf numFmtId="0" fontId="10" fillId="3" borderId="115" xfId="0" applyFont="1" applyFill="1" applyBorder="1" applyAlignment="1">
      <alignment horizontal="left" vertical="top"/>
    </xf>
    <xf numFmtId="181" fontId="30" fillId="3" borderId="28" xfId="6" applyNumberFormat="1" applyFont="1" applyFill="1" applyBorder="1" applyAlignment="1" applyProtection="1">
      <alignment horizontal="right"/>
    </xf>
    <xf numFmtId="182" fontId="31" fillId="3" borderId="109" xfId="6" applyNumberFormat="1" applyFont="1" applyFill="1" applyBorder="1" applyAlignment="1" applyProtection="1">
      <alignment horizontal="right"/>
    </xf>
    <xf numFmtId="180" fontId="58" fillId="9" borderId="0" xfId="0" applyNumberFormat="1" applyFont="1" applyFill="1"/>
    <xf numFmtId="0" fontId="32" fillId="0" borderId="111" xfId="0" applyFont="1" applyBorder="1"/>
    <xf numFmtId="251" fontId="4" fillId="6" borderId="12" xfId="0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208" fontId="10" fillId="0" borderId="0" xfId="0" applyNumberFormat="1" applyFont="1" applyAlignment="1">
      <alignment horizontal="center"/>
    </xf>
    <xf numFmtId="168" fontId="4" fillId="6" borderId="2" xfId="0" applyNumberFormat="1" applyFont="1" applyFill="1" applyBorder="1" applyAlignment="1" applyProtection="1">
      <alignment horizontal="center"/>
      <protection locked="0"/>
    </xf>
    <xf numFmtId="168" fontId="4" fillId="6" borderId="4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80" fontId="3" fillId="0" borderId="14" xfId="6" applyNumberFormat="1" applyFont="1" applyFill="1" applyBorder="1" applyAlignment="1" applyProtection="1">
      <alignment horizontal="right" vertical="center"/>
    </xf>
    <xf numFmtId="180" fontId="3" fillId="0" borderId="15" xfId="6" applyNumberFormat="1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left" vertical="center" wrapText="1"/>
    </xf>
    <xf numFmtId="175" fontId="20" fillId="0" borderId="10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174" fontId="22" fillId="3" borderId="2" xfId="0" applyNumberFormat="1" applyFont="1" applyFill="1" applyBorder="1" applyAlignment="1">
      <alignment horizontal="center" vertical="center" wrapText="1"/>
    </xf>
    <xf numFmtId="174" fontId="22" fillId="3" borderId="4" xfId="0" applyNumberFormat="1" applyFont="1" applyFill="1" applyBorder="1" applyAlignment="1">
      <alignment horizontal="center" vertical="center" wrapText="1"/>
    </xf>
    <xf numFmtId="199" fontId="71" fillId="9" borderId="0" xfId="0" applyNumberFormat="1" applyFont="1" applyFill="1" applyAlignment="1">
      <alignment horizontal="center"/>
    </xf>
    <xf numFmtId="182" fontId="49" fillId="0" borderId="2" xfId="6" applyNumberFormat="1" applyFont="1" applyFill="1" applyBorder="1" applyAlignment="1" applyProtection="1">
      <alignment horizontal="left"/>
    </xf>
    <xf numFmtId="182" fontId="49" fillId="0" borderId="106" xfId="6" applyNumberFormat="1" applyFont="1" applyFill="1" applyBorder="1" applyAlignment="1" applyProtection="1">
      <alignment horizontal="left"/>
    </xf>
    <xf numFmtId="199" fontId="34" fillId="9" borderId="0" xfId="0" applyNumberFormat="1" applyFont="1" applyFill="1" applyAlignment="1">
      <alignment horizontal="center"/>
    </xf>
    <xf numFmtId="0" fontId="51" fillId="0" borderId="99" xfId="0" applyFont="1" applyBorder="1" applyAlignment="1">
      <alignment horizontal="left" vertical="top"/>
    </xf>
    <xf numFmtId="0" fontId="51" fillId="0" borderId="100" xfId="0" applyFont="1" applyBorder="1" applyAlignment="1">
      <alignment horizontal="left" vertical="top"/>
    </xf>
    <xf numFmtId="182" fontId="48" fillId="0" borderId="107" xfId="6" applyNumberFormat="1" applyFont="1" applyFill="1" applyBorder="1" applyAlignment="1" applyProtection="1">
      <alignment horizontal="left"/>
    </xf>
    <xf numFmtId="182" fontId="48" fillId="0" borderId="108" xfId="6" applyNumberFormat="1" applyFont="1" applyFill="1" applyBorder="1" applyAlignment="1" applyProtection="1">
      <alignment horizontal="left"/>
    </xf>
    <xf numFmtId="0" fontId="34" fillId="0" borderId="97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/>
    </xf>
    <xf numFmtId="182" fontId="49" fillId="0" borderId="4" xfId="6" applyNumberFormat="1" applyFont="1" applyFill="1" applyBorder="1" applyAlignment="1" applyProtection="1">
      <alignment horizontal="left"/>
    </xf>
    <xf numFmtId="0" fontId="47" fillId="0" borderId="97" xfId="0" applyFont="1" applyBorder="1" applyAlignment="1">
      <alignment horizontal="left" vertical="top"/>
    </xf>
    <xf numFmtId="0" fontId="47" fillId="0" borderId="3" xfId="0" applyFont="1" applyBorder="1" applyAlignment="1">
      <alignment horizontal="left" vertical="top"/>
    </xf>
    <xf numFmtId="182" fontId="48" fillId="0" borderId="2" xfId="6" applyNumberFormat="1" applyFont="1" applyFill="1" applyBorder="1" applyAlignment="1" applyProtection="1">
      <alignment horizontal="left"/>
    </xf>
    <xf numFmtId="182" fontId="48" fillId="0" borderId="4" xfId="6" applyNumberFormat="1" applyFont="1" applyFill="1" applyBorder="1" applyAlignment="1" applyProtection="1">
      <alignment horizontal="left"/>
    </xf>
    <xf numFmtId="0" fontId="34" fillId="0" borderId="12" xfId="0" applyFont="1" applyBorder="1" applyAlignment="1">
      <alignment horizontal="center" vertical="center" wrapText="1"/>
    </xf>
    <xf numFmtId="0" fontId="34" fillId="0" borderId="92" xfId="0" applyFont="1" applyBorder="1" applyAlignment="1">
      <alignment horizontal="left" vertical="top"/>
    </xf>
    <xf numFmtId="0" fontId="34" fillId="0" borderId="93" xfId="0" applyFont="1" applyBorder="1" applyAlignment="1">
      <alignment horizontal="left" vertical="top"/>
    </xf>
    <xf numFmtId="0" fontId="34" fillId="0" borderId="94" xfId="0" applyFont="1" applyBorder="1" applyAlignment="1">
      <alignment horizontal="left" vertical="top"/>
    </xf>
    <xf numFmtId="0" fontId="34" fillId="0" borderId="4" xfId="0" applyFont="1" applyBorder="1" applyAlignment="1">
      <alignment horizontal="left" vertical="top"/>
    </xf>
    <xf numFmtId="198" fontId="47" fillId="0" borderId="97" xfId="0" applyNumberFormat="1" applyFont="1" applyBorder="1" applyAlignment="1">
      <alignment horizontal="left" vertical="top"/>
    </xf>
    <xf numFmtId="198" fontId="47" fillId="0" borderId="3" xfId="0" applyNumberFormat="1" applyFont="1" applyBorder="1" applyAlignment="1">
      <alignment horizontal="left" vertical="top"/>
    </xf>
    <xf numFmtId="198" fontId="47" fillId="0" borderId="4" xfId="0" applyNumberFormat="1" applyFont="1" applyBorder="1" applyAlignment="1">
      <alignment horizontal="left" vertical="top"/>
    </xf>
    <xf numFmtId="0" fontId="47" fillId="0" borderId="92" xfId="0" applyFont="1" applyBorder="1" applyAlignment="1">
      <alignment horizontal="left" vertical="top" wrapText="1"/>
    </xf>
    <xf numFmtId="0" fontId="47" fillId="0" borderId="93" xfId="0" applyFont="1" applyBorder="1" applyAlignment="1">
      <alignment horizontal="left" vertical="top" wrapText="1"/>
    </xf>
    <xf numFmtId="0" fontId="47" fillId="0" borderId="94" xfId="0" applyFont="1" applyBorder="1" applyAlignment="1">
      <alignment horizontal="left" vertical="top" wrapText="1"/>
    </xf>
    <xf numFmtId="0" fontId="42" fillId="6" borderId="42" xfId="0" applyFont="1" applyFill="1" applyBorder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185" fontId="44" fillId="0" borderId="43" xfId="4" applyNumberFormat="1" applyFont="1" applyFill="1" applyBorder="1" applyAlignment="1" applyProtection="1">
      <alignment horizontal="center" vertical="center"/>
    </xf>
    <xf numFmtId="185" fontId="44" fillId="0" borderId="44" xfId="4" applyNumberFormat="1" applyFont="1" applyFill="1" applyBorder="1" applyAlignment="1" applyProtection="1">
      <alignment horizontal="center" vertical="center"/>
    </xf>
    <xf numFmtId="0" fontId="38" fillId="0" borderId="2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0" fontId="8" fillId="0" borderId="0" xfId="5" applyAlignment="1" applyProtection="1">
      <alignment horizontal="left" vertical="top"/>
    </xf>
    <xf numFmtId="184" fontId="37" fillId="9" borderId="0" xfId="6" applyNumberFormat="1" applyFont="1" applyFill="1" applyAlignment="1" applyProtection="1">
      <alignment horizontal="center" vertical="center" wrapText="1"/>
    </xf>
    <xf numFmtId="184" fontId="37" fillId="9" borderId="8" xfId="6" applyNumberFormat="1" applyFont="1" applyFill="1" applyBorder="1" applyAlignment="1" applyProtection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185" fontId="41" fillId="6" borderId="36" xfId="0" applyNumberFormat="1" applyFont="1" applyFill="1" applyBorder="1" applyAlignment="1" applyProtection="1">
      <alignment horizontal="center" vertical="center"/>
      <protection locked="0"/>
    </xf>
    <xf numFmtId="185" fontId="41" fillId="6" borderId="37" xfId="0" applyNumberFormat="1" applyFont="1" applyFill="1" applyBorder="1" applyAlignment="1" applyProtection="1">
      <alignment horizontal="center" vertical="center"/>
      <protection locked="0"/>
    </xf>
    <xf numFmtId="186" fontId="39" fillId="0" borderId="40" xfId="0" applyNumberFormat="1" applyFont="1" applyBorder="1" applyAlignment="1">
      <alignment horizontal="center" vertical="center"/>
    </xf>
    <xf numFmtId="186" fontId="39" fillId="0" borderId="41" xfId="0" applyNumberFormat="1" applyFont="1" applyBorder="1" applyAlignment="1">
      <alignment horizontal="center" vertical="center"/>
    </xf>
    <xf numFmtId="0" fontId="35" fillId="0" borderId="46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47" fillId="0" borderId="30" xfId="0" applyFont="1" applyBorder="1" applyAlignment="1">
      <alignment horizontal="left" vertical="center"/>
    </xf>
    <xf numFmtId="0" fontId="47" fillId="0" borderId="83" xfId="0" applyFont="1" applyBorder="1" applyAlignment="1">
      <alignment horizontal="left" vertical="center"/>
    </xf>
    <xf numFmtId="195" fontId="48" fillId="0" borderId="87" xfId="6" applyNumberFormat="1" applyFont="1" applyFill="1" applyBorder="1" applyAlignment="1" applyProtection="1">
      <alignment horizontal="center" vertical="center"/>
    </xf>
    <xf numFmtId="195" fontId="48" fillId="0" borderId="17" xfId="6" applyNumberFormat="1" applyFont="1" applyFill="1" applyBorder="1" applyAlignment="1" applyProtection="1">
      <alignment horizontal="center" vertical="center"/>
    </xf>
    <xf numFmtId="195" fontId="48" fillId="0" borderId="15" xfId="6" applyNumberFormat="1" applyFont="1" applyFill="1" applyBorder="1" applyAlignment="1" applyProtection="1">
      <alignment horizontal="center" vertical="center"/>
    </xf>
    <xf numFmtId="0" fontId="12" fillId="0" borderId="97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24" fillId="0" borderId="2" xfId="0" applyFont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4" fillId="0" borderId="4" xfId="0" applyFont="1" applyBorder="1" applyAlignment="1">
      <alignment horizontal="left" vertical="center" indent="1"/>
    </xf>
    <xf numFmtId="0" fontId="30" fillId="4" borderId="5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94" fillId="3" borderId="5" xfId="0" applyFont="1" applyFill="1" applyBorder="1" applyAlignment="1">
      <alignment horizontal="center" vertical="center" wrapText="1"/>
    </xf>
    <xf numFmtId="0" fontId="94" fillId="3" borderId="1" xfId="0" applyFont="1" applyFill="1" applyBorder="1" applyAlignment="1">
      <alignment horizontal="center" vertical="center" wrapText="1"/>
    </xf>
    <xf numFmtId="0" fontId="94" fillId="3" borderId="6" xfId="0" applyFont="1" applyFill="1" applyBorder="1" applyAlignment="1">
      <alignment horizontal="center" vertical="center" wrapText="1"/>
    </xf>
    <xf numFmtId="0" fontId="94" fillId="13" borderId="7" xfId="0" applyFont="1" applyFill="1" applyBorder="1" applyAlignment="1">
      <alignment horizontal="center" vertical="center" wrapText="1"/>
    </xf>
    <xf numFmtId="0" fontId="94" fillId="13" borderId="0" xfId="0" applyFont="1" applyFill="1" applyAlignment="1">
      <alignment horizontal="center" vertical="center" wrapText="1"/>
    </xf>
    <xf numFmtId="0" fontId="94" fillId="13" borderId="8" xfId="0" applyFont="1" applyFill="1" applyBorder="1" applyAlignment="1">
      <alignment horizontal="center" vertical="center" wrapText="1"/>
    </xf>
    <xf numFmtId="0" fontId="94" fillId="13" borderId="9" xfId="0" applyFont="1" applyFill="1" applyBorder="1" applyAlignment="1">
      <alignment horizontal="center" vertical="center" wrapText="1"/>
    </xf>
    <xf numFmtId="0" fontId="94" fillId="13" borderId="10" xfId="0" applyFont="1" applyFill="1" applyBorder="1" applyAlignment="1">
      <alignment horizontal="center" vertical="center" wrapText="1"/>
    </xf>
    <xf numFmtId="0" fontId="94" fillId="13" borderId="11" xfId="0" applyFont="1" applyFill="1" applyBorder="1" applyAlignment="1">
      <alignment horizontal="center" vertical="center" wrapText="1"/>
    </xf>
    <xf numFmtId="0" fontId="98" fillId="3" borderId="12" xfId="0" applyFont="1" applyFill="1" applyBorder="1" applyAlignment="1" applyProtection="1">
      <alignment horizontal="center" vertical="center" wrapText="1"/>
      <protection locked="0"/>
    </xf>
    <xf numFmtId="0" fontId="98" fillId="3" borderId="2" xfId="0" applyFont="1" applyFill="1" applyBorder="1" applyAlignment="1" applyProtection="1">
      <alignment horizontal="center" vertical="center" wrapText="1"/>
      <protection locked="0"/>
    </xf>
    <xf numFmtId="0" fontId="98" fillId="3" borderId="87" xfId="0" applyFont="1" applyFill="1" applyBorder="1" applyAlignment="1" applyProtection="1">
      <alignment horizontal="center" vertical="center" wrapText="1"/>
      <protection locked="0"/>
    </xf>
    <xf numFmtId="0" fontId="98" fillId="3" borderId="17" xfId="0" applyFont="1" applyFill="1" applyBorder="1" applyAlignment="1" applyProtection="1">
      <alignment horizontal="center" vertical="center" wrapText="1"/>
      <protection locked="0"/>
    </xf>
    <xf numFmtId="0" fontId="98" fillId="3" borderId="15" xfId="0" applyFont="1" applyFill="1" applyBorder="1" applyAlignment="1" applyProtection="1">
      <alignment horizontal="center" vertical="center" wrapText="1"/>
      <protection locked="0"/>
    </xf>
    <xf numFmtId="212" fontId="24" fillId="0" borderId="97" xfId="0" applyNumberFormat="1" applyFont="1" applyBorder="1" applyAlignment="1">
      <alignment horizontal="left"/>
    </xf>
    <xf numFmtId="212" fontId="24" fillId="0" borderId="4" xfId="0" applyNumberFormat="1" applyFont="1" applyBorder="1" applyAlignment="1">
      <alignment horizontal="left"/>
    </xf>
    <xf numFmtId="212" fontId="93" fillId="0" borderId="97" xfId="0" applyNumberFormat="1" applyFont="1" applyBorder="1" applyAlignment="1">
      <alignment horizontal="left"/>
    </xf>
    <xf numFmtId="212" fontId="93" fillId="0" borderId="4" xfId="0" applyNumberFormat="1" applyFont="1" applyBorder="1" applyAlignment="1">
      <alignment horizontal="left"/>
    </xf>
    <xf numFmtId="0" fontId="13" fillId="3" borderId="5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13" borderId="7" xfId="0" applyFont="1" applyFill="1" applyBorder="1" applyAlignment="1">
      <alignment horizontal="center" vertical="top" wrapText="1"/>
    </xf>
    <xf numFmtId="0" fontId="13" fillId="13" borderId="0" xfId="0" applyFont="1" applyFill="1" applyAlignment="1">
      <alignment horizontal="center" vertical="top" wrapText="1"/>
    </xf>
    <xf numFmtId="0" fontId="13" fillId="13" borderId="8" xfId="0" applyFont="1" applyFill="1" applyBorder="1" applyAlignment="1">
      <alignment horizontal="center" vertical="top" wrapText="1"/>
    </xf>
    <xf numFmtId="0" fontId="13" fillId="13" borderId="9" xfId="0" applyFont="1" applyFill="1" applyBorder="1" applyAlignment="1">
      <alignment horizontal="center" vertical="top" wrapText="1"/>
    </xf>
    <xf numFmtId="0" fontId="13" fillId="13" borderId="10" xfId="0" applyFont="1" applyFill="1" applyBorder="1" applyAlignment="1">
      <alignment horizontal="center" vertical="top" wrapText="1"/>
    </xf>
    <xf numFmtId="0" fontId="13" fillId="13" borderId="11" xfId="0" applyFont="1" applyFill="1" applyBorder="1" applyAlignment="1">
      <alignment horizontal="center" vertical="top" wrapText="1"/>
    </xf>
    <xf numFmtId="0" fontId="30" fillId="3" borderId="5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30" fillId="3" borderId="6" xfId="0" applyFont="1" applyFill="1" applyBorder="1" applyAlignment="1" applyProtection="1">
      <alignment horizontal="center" vertical="center" wrapText="1"/>
      <protection locked="0"/>
    </xf>
    <xf numFmtId="0" fontId="30" fillId="3" borderId="7" xfId="0" applyFont="1" applyFill="1" applyBorder="1" applyAlignment="1" applyProtection="1">
      <alignment horizontal="center" vertical="center" wrapText="1"/>
      <protection locked="0"/>
    </xf>
    <xf numFmtId="0" fontId="30" fillId="3" borderId="0" xfId="0" applyFont="1" applyFill="1" applyAlignment="1" applyProtection="1">
      <alignment horizontal="center" vertical="center" wrapText="1"/>
      <protection locked="0"/>
    </xf>
    <xf numFmtId="0" fontId="30" fillId="3" borderId="8" xfId="0" applyFont="1" applyFill="1" applyBorder="1" applyAlignment="1" applyProtection="1">
      <alignment horizontal="center" vertical="center" wrapText="1"/>
      <protection locked="0"/>
    </xf>
    <xf numFmtId="0" fontId="30" fillId="3" borderId="9" xfId="0" applyFont="1" applyFill="1" applyBorder="1" applyAlignment="1" applyProtection="1">
      <alignment horizontal="center" vertical="center" wrapText="1"/>
      <protection locked="0"/>
    </xf>
    <xf numFmtId="0" fontId="30" fillId="3" borderId="10" xfId="0" applyFont="1" applyFill="1" applyBorder="1" applyAlignment="1" applyProtection="1">
      <alignment horizontal="center" vertical="center" wrapText="1"/>
      <protection locked="0"/>
    </xf>
    <xf numFmtId="0" fontId="30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87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30" fillId="3" borderId="2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212" fontId="24" fillId="0" borderId="2" xfId="0" applyNumberFormat="1" applyFont="1" applyBorder="1" applyAlignment="1">
      <alignment horizontal="left"/>
    </xf>
    <xf numFmtId="212" fontId="93" fillId="0" borderId="103" xfId="0" applyNumberFormat="1" applyFont="1" applyBorder="1" applyAlignment="1">
      <alignment horizontal="left"/>
    </xf>
    <xf numFmtId="212" fontId="93" fillId="0" borderId="6" xfId="0" applyNumberFormat="1" applyFont="1" applyBorder="1" applyAlignment="1">
      <alignment horizontal="left"/>
    </xf>
    <xf numFmtId="0" fontId="30" fillId="12" borderId="12" xfId="0" applyFont="1" applyFill="1" applyBorder="1" applyAlignment="1">
      <alignment horizontal="left" vertical="center" wrapText="1"/>
    </xf>
    <xf numFmtId="211" fontId="24" fillId="0" borderId="0" xfId="0" applyNumberFormat="1" applyFont="1" applyAlignment="1">
      <alignment horizontal="left"/>
    </xf>
    <xf numFmtId="0" fontId="24" fillId="0" borderId="7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83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91" fillId="0" borderId="0" xfId="0" applyFont="1" applyAlignment="1">
      <alignment horizontal="center"/>
    </xf>
    <xf numFmtId="0" fontId="30" fillId="3" borderId="12" xfId="0" applyFont="1" applyFill="1" applyBorder="1" applyAlignment="1">
      <alignment horizontal="left" vertical="center" wrapText="1"/>
    </xf>
    <xf numFmtId="9" fontId="30" fillId="0" borderId="12" xfId="3" applyFont="1" applyBorder="1" applyAlignment="1">
      <alignment horizontal="center" vertical="center"/>
    </xf>
    <xf numFmtId="0" fontId="30" fillId="3" borderId="87" xfId="0" applyFont="1" applyFill="1" applyBorder="1" applyAlignment="1" applyProtection="1">
      <alignment horizontal="center" vertical="center" wrapText="1"/>
      <protection locked="0"/>
    </xf>
    <xf numFmtId="0" fontId="30" fillId="3" borderId="17" xfId="0" applyFont="1" applyFill="1" applyBorder="1" applyAlignment="1" applyProtection="1">
      <alignment horizontal="center" vertical="center"/>
      <protection locked="0"/>
    </xf>
    <xf numFmtId="0" fontId="30" fillId="3" borderId="15" xfId="0" applyFont="1" applyFill="1" applyBorder="1" applyAlignment="1" applyProtection="1">
      <alignment horizontal="center" vertical="center"/>
      <protection locked="0"/>
    </xf>
    <xf numFmtId="0" fontId="30" fillId="3" borderId="5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/>
    </xf>
    <xf numFmtId="0" fontId="30" fillId="3" borderId="6" xfId="0" applyFont="1" applyFill="1" applyBorder="1" applyAlignment="1">
      <alignment horizontal="left" vertical="center"/>
    </xf>
    <xf numFmtId="0" fontId="30" fillId="3" borderId="9" xfId="0" applyFont="1" applyFill="1" applyBorder="1" applyAlignment="1">
      <alignment horizontal="left" vertical="center"/>
    </xf>
    <xf numFmtId="0" fontId="30" fillId="3" borderId="10" xfId="0" applyFont="1" applyFill="1" applyBorder="1" applyAlignment="1">
      <alignment horizontal="left" vertical="center"/>
    </xf>
    <xf numFmtId="0" fontId="30" fillId="3" borderId="11" xfId="0" applyFont="1" applyFill="1" applyBorder="1" applyAlignment="1">
      <alignment horizontal="left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217" fontId="1" fillId="0" borderId="5" xfId="0" applyNumberFormat="1" applyFont="1" applyBorder="1" applyAlignment="1">
      <alignment horizontal="center" vertical="center"/>
    </xf>
    <xf numFmtId="217" fontId="1" fillId="0" borderId="1" xfId="0" applyNumberFormat="1" applyFont="1" applyBorder="1" applyAlignment="1">
      <alignment horizontal="center" vertical="center"/>
    </xf>
    <xf numFmtId="217" fontId="1" fillId="0" borderId="6" xfId="0" applyNumberFormat="1" applyFont="1" applyBorder="1" applyAlignment="1">
      <alignment horizontal="center" vertical="center"/>
    </xf>
    <xf numFmtId="217" fontId="1" fillId="0" borderId="7" xfId="0" applyNumberFormat="1" applyFont="1" applyBorder="1" applyAlignment="1">
      <alignment horizontal="center" vertical="center"/>
    </xf>
    <xf numFmtId="217" fontId="1" fillId="0" borderId="0" xfId="0" applyNumberFormat="1" applyFont="1" applyAlignment="1">
      <alignment horizontal="center" vertical="center"/>
    </xf>
    <xf numFmtId="217" fontId="1" fillId="0" borderId="8" xfId="0" applyNumberFormat="1" applyFont="1" applyBorder="1" applyAlignment="1">
      <alignment horizontal="center" vertical="center"/>
    </xf>
    <xf numFmtId="217" fontId="1" fillId="0" borderId="9" xfId="0" applyNumberFormat="1" applyFont="1" applyBorder="1" applyAlignment="1">
      <alignment horizontal="center" vertical="center"/>
    </xf>
    <xf numFmtId="217" fontId="1" fillId="0" borderId="10" xfId="0" applyNumberFormat="1" applyFont="1" applyBorder="1" applyAlignment="1">
      <alignment horizontal="center" vertical="center"/>
    </xf>
    <xf numFmtId="217" fontId="1" fillId="0" borderId="11" xfId="0" applyNumberFormat="1" applyFont="1" applyBorder="1" applyAlignment="1">
      <alignment horizontal="center" vertical="center"/>
    </xf>
    <xf numFmtId="217" fontId="1" fillId="0" borderId="1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218" fontId="1" fillId="0" borderId="5" xfId="0" applyNumberFormat="1" applyFont="1" applyBorder="1" applyAlignment="1">
      <alignment horizontal="center" vertical="center"/>
    </xf>
    <xf numFmtId="218" fontId="1" fillId="0" borderId="1" xfId="0" applyNumberFormat="1" applyFont="1" applyBorder="1" applyAlignment="1">
      <alignment horizontal="center" vertical="center"/>
    </xf>
    <xf numFmtId="218" fontId="1" fillId="0" borderId="6" xfId="0" applyNumberFormat="1" applyFont="1" applyBorder="1" applyAlignment="1">
      <alignment horizontal="center" vertical="center"/>
    </xf>
    <xf numFmtId="218" fontId="1" fillId="0" borderId="7" xfId="0" applyNumberFormat="1" applyFont="1" applyBorder="1" applyAlignment="1">
      <alignment horizontal="center" vertical="center"/>
    </xf>
    <xf numFmtId="218" fontId="1" fillId="0" borderId="0" xfId="0" applyNumberFormat="1" applyFont="1" applyAlignment="1">
      <alignment horizontal="center" vertical="center"/>
    </xf>
    <xf numFmtId="218" fontId="1" fillId="0" borderId="8" xfId="0" applyNumberFormat="1" applyFont="1" applyBorder="1" applyAlignment="1">
      <alignment horizontal="center" vertical="center"/>
    </xf>
    <xf numFmtId="218" fontId="1" fillId="0" borderId="9" xfId="0" applyNumberFormat="1" applyFont="1" applyBorder="1" applyAlignment="1">
      <alignment horizontal="center" vertical="center"/>
    </xf>
    <xf numFmtId="218" fontId="1" fillId="0" borderId="10" xfId="0" applyNumberFormat="1" applyFont="1" applyBorder="1" applyAlignment="1">
      <alignment horizontal="center" vertical="center"/>
    </xf>
    <xf numFmtId="218" fontId="1" fillId="0" borderId="11" xfId="0" applyNumberFormat="1" applyFont="1" applyBorder="1" applyAlignment="1">
      <alignment horizontal="center" vertical="center"/>
    </xf>
    <xf numFmtId="218" fontId="1" fillId="0" borderId="12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220" fontId="7" fillId="0" borderId="7" xfId="0" applyNumberFormat="1" applyFont="1" applyBorder="1" applyAlignment="1">
      <alignment horizontal="left"/>
    </xf>
    <xf numFmtId="220" fontId="7" fillId="0" borderId="8" xfId="0" applyNumberFormat="1" applyFont="1" applyBorder="1" applyAlignment="1">
      <alignment horizontal="left"/>
    </xf>
    <xf numFmtId="221" fontId="0" fillId="0" borderId="9" xfId="0" applyNumberFormat="1" applyBorder="1" applyAlignment="1">
      <alignment horizontal="left"/>
    </xf>
    <xf numFmtId="221" fontId="0" fillId="0" borderId="11" xfId="0" applyNumberForma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22" fontId="7" fillId="4" borderId="2" xfId="0" applyNumberFormat="1" applyFont="1" applyFill="1" applyBorder="1" applyAlignment="1">
      <alignment horizontal="left"/>
    </xf>
    <xf numFmtId="222" fontId="7" fillId="4" borderId="4" xfId="0" applyNumberFormat="1" applyFont="1" applyFill="1" applyBorder="1" applyAlignment="1">
      <alignment horizontal="left"/>
    </xf>
    <xf numFmtId="223" fontId="7" fillId="4" borderId="10" xfId="0" applyNumberFormat="1" applyFont="1" applyFill="1" applyBorder="1" applyAlignment="1">
      <alignment horizontal="center"/>
    </xf>
    <xf numFmtId="223" fontId="7" fillId="4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24" fontId="1" fillId="0" borderId="5" xfId="0" applyNumberFormat="1" applyFont="1" applyBorder="1" applyAlignment="1">
      <alignment horizontal="center" vertical="center"/>
    </xf>
    <xf numFmtId="224" fontId="1" fillId="0" borderId="1" xfId="0" applyNumberFormat="1" applyFont="1" applyBorder="1" applyAlignment="1">
      <alignment horizontal="center" vertical="center"/>
    </xf>
    <xf numFmtId="224" fontId="1" fillId="0" borderId="6" xfId="0" applyNumberFormat="1" applyFont="1" applyBorder="1" applyAlignment="1">
      <alignment horizontal="center" vertical="center"/>
    </xf>
    <xf numFmtId="224" fontId="1" fillId="0" borderId="7" xfId="0" applyNumberFormat="1" applyFont="1" applyBorder="1" applyAlignment="1">
      <alignment horizontal="center" vertical="center"/>
    </xf>
    <xf numFmtId="224" fontId="1" fillId="0" borderId="0" xfId="0" applyNumberFormat="1" applyFont="1" applyAlignment="1">
      <alignment horizontal="center" vertical="center"/>
    </xf>
    <xf numFmtId="224" fontId="1" fillId="0" borderId="8" xfId="0" applyNumberFormat="1" applyFont="1" applyBorder="1" applyAlignment="1">
      <alignment horizontal="center" vertical="center"/>
    </xf>
    <xf numFmtId="224" fontId="1" fillId="0" borderId="9" xfId="0" applyNumberFormat="1" applyFont="1" applyBorder="1" applyAlignment="1">
      <alignment horizontal="center" vertical="center"/>
    </xf>
    <xf numFmtId="224" fontId="1" fillId="0" borderId="10" xfId="0" applyNumberFormat="1" applyFont="1" applyBorder="1" applyAlignment="1">
      <alignment horizontal="center" vertical="center"/>
    </xf>
    <xf numFmtId="224" fontId="1" fillId="0" borderId="11" xfId="0" applyNumberFormat="1" applyFont="1" applyBorder="1" applyAlignment="1">
      <alignment horizontal="center" vertical="center"/>
    </xf>
    <xf numFmtId="0" fontId="7" fillId="3" borderId="8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225" fontId="7" fillId="4" borderId="2" xfId="0" applyNumberFormat="1" applyFont="1" applyFill="1" applyBorder="1" applyAlignment="1">
      <alignment horizontal="left"/>
    </xf>
    <xf numFmtId="225" fontId="7" fillId="4" borderId="4" xfId="0" applyNumberFormat="1" applyFont="1" applyFill="1" applyBorder="1" applyAlignment="1">
      <alignment horizontal="left"/>
    </xf>
    <xf numFmtId="223" fontId="7" fillId="4" borderId="3" xfId="0" applyNumberFormat="1" applyFont="1" applyFill="1" applyBorder="1" applyAlignment="1">
      <alignment horizontal="center"/>
    </xf>
    <xf numFmtId="223" fontId="7" fillId="4" borderId="4" xfId="0" applyNumberFormat="1" applyFont="1" applyFill="1" applyBorder="1" applyAlignment="1">
      <alignment horizontal="center"/>
    </xf>
    <xf numFmtId="0" fontId="101" fillId="0" borderId="2" xfId="0" applyFont="1" applyBorder="1" applyAlignment="1">
      <alignment horizontal="center" vertical="center"/>
    </xf>
    <xf numFmtId="0" fontId="101" fillId="0" borderId="3" xfId="0" applyFont="1" applyBorder="1" applyAlignment="1">
      <alignment horizontal="center" vertical="center"/>
    </xf>
    <xf numFmtId="0" fontId="101" fillId="0" borderId="4" xfId="0" applyFont="1" applyBorder="1" applyAlignment="1">
      <alignment horizontal="center" vertical="center"/>
    </xf>
    <xf numFmtId="0" fontId="100" fillId="0" borderId="12" xfId="0" applyFont="1" applyBorder="1" applyAlignment="1">
      <alignment horizontal="center" vertical="center"/>
    </xf>
    <xf numFmtId="0" fontId="102" fillId="0" borderId="12" xfId="0" applyFont="1" applyBorder="1" applyAlignment="1" applyProtection="1">
      <alignment horizontal="center" vertical="center"/>
      <protection locked="0"/>
    </xf>
    <xf numFmtId="0" fontId="102" fillId="0" borderId="98" xfId="0" applyFont="1" applyBorder="1" applyAlignment="1" applyProtection="1">
      <alignment horizontal="center" vertical="center"/>
      <protection locked="0"/>
    </xf>
    <xf numFmtId="0" fontId="100" fillId="0" borderId="25" xfId="0" applyFont="1" applyBorder="1" applyAlignment="1">
      <alignment horizontal="center" vertical="center"/>
    </xf>
    <xf numFmtId="0" fontId="102" fillId="0" borderId="25" xfId="0" applyFont="1" applyBorder="1" applyAlignment="1" applyProtection="1">
      <alignment horizontal="center" vertical="center"/>
      <protection locked="0"/>
    </xf>
    <xf numFmtId="0" fontId="102" fillId="0" borderId="102" xfId="0" applyFont="1" applyBorder="1" applyAlignment="1" applyProtection="1">
      <alignment horizontal="center" vertical="center"/>
      <protection locked="0"/>
    </xf>
    <xf numFmtId="0" fontId="99" fillId="7" borderId="120" xfId="0" applyFont="1" applyFill="1" applyBorder="1" applyAlignment="1">
      <alignment horizontal="left" vertical="center" indent="1"/>
    </xf>
    <xf numFmtId="0" fontId="99" fillId="7" borderId="20" xfId="0" applyFont="1" applyFill="1" applyBorder="1" applyAlignment="1">
      <alignment horizontal="left" vertical="center" indent="1"/>
    </xf>
    <xf numFmtId="0" fontId="99" fillId="7" borderId="21" xfId="0" applyFont="1" applyFill="1" applyBorder="1" applyAlignment="1">
      <alignment horizontal="left" vertical="center" indent="1"/>
    </xf>
    <xf numFmtId="0" fontId="101" fillId="0" borderId="111" xfId="0" applyFont="1" applyBorder="1" applyAlignment="1">
      <alignment horizontal="center" vertical="center"/>
    </xf>
    <xf numFmtId="0" fontId="101" fillId="0" borderId="93" xfId="0" applyFont="1" applyBorder="1" applyAlignment="1">
      <alignment horizontal="center" vertical="center"/>
    </xf>
    <xf numFmtId="0" fontId="101" fillId="0" borderId="94" xfId="0" applyFont="1" applyBorder="1" applyAlignment="1">
      <alignment horizontal="center" vertical="center"/>
    </xf>
    <xf numFmtId="0" fontId="100" fillId="0" borderId="15" xfId="0" applyFont="1" applyBorder="1" applyAlignment="1">
      <alignment horizontal="center" vertical="center"/>
    </xf>
    <xf numFmtId="0" fontId="100" fillId="0" borderId="119" xfId="0" applyFont="1" applyBorder="1" applyAlignment="1">
      <alignment horizontal="center" vertical="center"/>
    </xf>
    <xf numFmtId="0" fontId="100" fillId="0" borderId="29" xfId="0" applyFont="1" applyBorder="1" applyAlignment="1">
      <alignment horizontal="left" vertical="center" indent="1"/>
    </xf>
    <xf numFmtId="0" fontId="100" fillId="0" borderId="12" xfId="0" applyFont="1" applyBorder="1" applyAlignment="1">
      <alignment horizontal="left" vertical="center" indent="1"/>
    </xf>
    <xf numFmtId="0" fontId="103" fillId="0" borderId="29" xfId="0" applyFont="1" applyBorder="1" applyAlignment="1">
      <alignment horizontal="left" vertical="center" indent="1"/>
    </xf>
    <xf numFmtId="0" fontId="103" fillId="0" borderId="12" xfId="0" applyFont="1" applyBorder="1" applyAlignment="1">
      <alignment horizontal="left" vertical="center" indent="1"/>
    </xf>
    <xf numFmtId="0" fontId="107" fillId="3" borderId="29" xfId="0" applyFont="1" applyFill="1" applyBorder="1" applyAlignment="1">
      <alignment horizontal="center" vertical="center"/>
    </xf>
    <xf numFmtId="0" fontId="107" fillId="3" borderId="12" xfId="0" applyFont="1" applyFill="1" applyBorder="1" applyAlignment="1">
      <alignment horizontal="center" vertical="center"/>
    </xf>
    <xf numFmtId="0" fontId="107" fillId="3" borderId="2" xfId="0" applyFont="1" applyFill="1" applyBorder="1" applyAlignment="1">
      <alignment horizontal="center" vertical="center"/>
    </xf>
    <xf numFmtId="0" fontId="104" fillId="7" borderId="120" xfId="0" applyFont="1" applyFill="1" applyBorder="1" applyAlignment="1">
      <alignment horizontal="left" vertical="center" indent="1"/>
    </xf>
    <xf numFmtId="0" fontId="104" fillId="7" borderId="20" xfId="0" applyFont="1" applyFill="1" applyBorder="1" applyAlignment="1">
      <alignment horizontal="left" vertical="center" indent="1"/>
    </xf>
    <xf numFmtId="0" fontId="104" fillId="7" borderId="21" xfId="0" applyFont="1" applyFill="1" applyBorder="1" applyAlignment="1">
      <alignment horizontal="left" vertical="center" indent="1"/>
    </xf>
    <xf numFmtId="0" fontId="105" fillId="3" borderId="121" xfId="0" applyFont="1" applyFill="1" applyBorder="1" applyAlignment="1">
      <alignment horizontal="center" vertical="center"/>
    </xf>
    <xf numFmtId="0" fontId="105" fillId="3" borderId="15" xfId="0" applyFont="1" applyFill="1" applyBorder="1" applyAlignment="1">
      <alignment horizontal="center" vertical="center"/>
    </xf>
    <xf numFmtId="0" fontId="100" fillId="10" borderId="121" xfId="0" applyFont="1" applyFill="1" applyBorder="1" applyAlignment="1">
      <alignment horizontal="center" vertical="center"/>
    </xf>
    <xf numFmtId="0" fontId="100" fillId="10" borderId="15" xfId="0" applyFont="1" applyFill="1" applyBorder="1" applyAlignment="1">
      <alignment horizontal="center" vertical="center"/>
    </xf>
    <xf numFmtId="236" fontId="102" fillId="0" borderId="12" xfId="0" applyNumberFormat="1" applyFont="1" applyBorder="1" applyAlignment="1" applyProtection="1">
      <alignment horizontal="center" vertical="center"/>
      <protection locked="0"/>
    </xf>
    <xf numFmtId="236" fontId="102" fillId="0" borderId="2" xfId="0" applyNumberFormat="1" applyFont="1" applyBorder="1" applyAlignment="1" applyProtection="1">
      <alignment horizontal="center" vertical="center"/>
      <protection locked="0"/>
    </xf>
    <xf numFmtId="0" fontId="105" fillId="3" borderId="29" xfId="0" applyFont="1" applyFill="1" applyBorder="1" applyAlignment="1">
      <alignment horizontal="center" vertical="center"/>
    </xf>
    <xf numFmtId="0" fontId="105" fillId="3" borderId="12" xfId="0" applyFont="1" applyFill="1" applyBorder="1" applyAlignment="1">
      <alignment horizontal="center" vertical="center"/>
    </xf>
    <xf numFmtId="0" fontId="102" fillId="0" borderId="29" xfId="0" applyFont="1" applyBorder="1" applyAlignment="1">
      <alignment horizontal="center" vertical="center"/>
    </xf>
    <xf numFmtId="0" fontId="102" fillId="0" borderId="12" xfId="0" applyFont="1" applyBorder="1" applyAlignment="1">
      <alignment horizontal="center" vertical="center"/>
    </xf>
    <xf numFmtId="0" fontId="100" fillId="0" borderId="2" xfId="0" applyFont="1" applyBorder="1" applyAlignment="1">
      <alignment horizontal="center" vertical="center"/>
    </xf>
    <xf numFmtId="237" fontId="102" fillId="0" borderId="12" xfId="0" applyNumberFormat="1" applyFont="1" applyBorder="1" applyAlignment="1" applyProtection="1">
      <alignment horizontal="center"/>
      <protection locked="0"/>
    </xf>
    <xf numFmtId="0" fontId="102" fillId="0" borderId="12" xfId="0" applyFont="1" applyBorder="1" applyAlignment="1" applyProtection="1">
      <alignment horizontal="center"/>
      <protection locked="0"/>
    </xf>
    <xf numFmtId="0" fontId="102" fillId="0" borderId="2" xfId="0" applyFont="1" applyBorder="1" applyAlignment="1" applyProtection="1">
      <alignment horizontal="center"/>
      <protection locked="0"/>
    </xf>
    <xf numFmtId="0" fontId="105" fillId="3" borderId="2" xfId="0" applyFont="1" applyFill="1" applyBorder="1" applyAlignment="1">
      <alignment horizontal="center" vertical="center"/>
    </xf>
    <xf numFmtId="237" fontId="100" fillId="0" borderId="12" xfId="0" applyNumberFormat="1" applyFont="1" applyBorder="1" applyAlignment="1">
      <alignment horizontal="center" vertical="center"/>
    </xf>
    <xf numFmtId="2" fontId="102" fillId="0" borderId="12" xfId="0" applyNumberFormat="1" applyFont="1" applyBorder="1" applyAlignment="1" applyProtection="1">
      <alignment horizontal="left" vertical="center" indent="1"/>
      <protection locked="0"/>
    </xf>
    <xf numFmtId="2" fontId="102" fillId="0" borderId="12" xfId="0" applyNumberFormat="1" applyFont="1" applyBorder="1" applyAlignment="1" applyProtection="1">
      <alignment horizontal="left" indent="1"/>
      <protection locked="0"/>
    </xf>
    <xf numFmtId="2" fontId="102" fillId="0" borderId="2" xfId="0" applyNumberFormat="1" applyFont="1" applyBorder="1" applyAlignment="1" applyProtection="1">
      <alignment horizontal="left" indent="1"/>
      <protection locked="0"/>
    </xf>
    <xf numFmtId="0" fontId="108" fillId="0" borderId="29" xfId="0" applyFont="1" applyBorder="1" applyAlignment="1" applyProtection="1">
      <alignment horizontal="left" vertical="center" indent="1"/>
      <protection locked="0"/>
    </xf>
    <xf numFmtId="0" fontId="108" fillId="0" borderId="12" xfId="0" applyFont="1" applyBorder="1" applyAlignment="1" applyProtection="1">
      <alignment horizontal="left" vertical="center" indent="1"/>
      <protection locked="0"/>
    </xf>
    <xf numFmtId="0" fontId="108" fillId="0" borderId="2" xfId="0" applyFont="1" applyBorder="1" applyAlignment="1" applyProtection="1">
      <alignment horizontal="left" vertical="center" indent="1"/>
      <protection locked="0"/>
    </xf>
    <xf numFmtId="0" fontId="100" fillId="0" borderId="29" xfId="0" applyFont="1" applyBorder="1" applyAlignment="1">
      <alignment horizontal="center"/>
    </xf>
    <xf numFmtId="0" fontId="100" fillId="0" borderId="12" xfId="0" applyFont="1" applyBorder="1" applyAlignment="1">
      <alignment horizontal="center"/>
    </xf>
    <xf numFmtId="0" fontId="105" fillId="3" borderId="116" xfId="0" applyFont="1" applyFill="1" applyBorder="1" applyAlignment="1">
      <alignment horizontal="center" vertical="center" wrapText="1"/>
    </xf>
    <xf numFmtId="0" fontId="105" fillId="3" borderId="87" xfId="0" applyFont="1" applyFill="1" applyBorder="1" applyAlignment="1">
      <alignment horizontal="center" vertical="center" wrapText="1"/>
    </xf>
    <xf numFmtId="0" fontId="105" fillId="3" borderId="104" xfId="0" applyFont="1" applyFill="1" applyBorder="1" applyAlignment="1">
      <alignment horizontal="center" vertical="center" wrapText="1"/>
    </xf>
    <xf numFmtId="0" fontId="100" fillId="0" borderId="13" xfId="0" applyFont="1" applyBorder="1" applyAlignment="1">
      <alignment horizontal="center"/>
    </xf>
    <xf numFmtId="0" fontId="100" fillId="0" borderId="27" xfId="0" applyFont="1" applyBorder="1" applyAlignment="1">
      <alignment horizontal="center"/>
    </xf>
    <xf numFmtId="0" fontId="100" fillId="0" borderId="22" xfId="0" applyFont="1" applyBorder="1" applyAlignment="1">
      <alignment horizontal="center"/>
    </xf>
    <xf numFmtId="0" fontId="102" fillId="0" borderId="97" xfId="0" applyFont="1" applyBorder="1" applyAlignment="1" applyProtection="1">
      <alignment horizontal="center"/>
      <protection locked="0"/>
    </xf>
    <xf numFmtId="0" fontId="102" fillId="0" borderId="3" xfId="0" applyFont="1" applyBorder="1" applyAlignment="1" applyProtection="1">
      <alignment horizontal="center"/>
      <protection locked="0"/>
    </xf>
    <xf numFmtId="0" fontId="102" fillId="0" borderId="4" xfId="0" applyFont="1" applyBorder="1" applyAlignment="1" applyProtection="1">
      <alignment horizontal="center"/>
      <protection locked="0"/>
    </xf>
    <xf numFmtId="0" fontId="100" fillId="0" borderId="16" xfId="0" applyFont="1" applyBorder="1" applyAlignment="1">
      <alignment horizontal="center"/>
    </xf>
    <xf numFmtId="0" fontId="100" fillId="0" borderId="0" xfId="0" applyFont="1" applyAlignment="1">
      <alignment horizontal="center"/>
    </xf>
    <xf numFmtId="0" fontId="100" fillId="0" borderId="23" xfId="0" applyFont="1" applyBorder="1" applyAlignment="1">
      <alignment horizontal="center"/>
    </xf>
    <xf numFmtId="0" fontId="103" fillId="0" borderId="97" xfId="0" applyFont="1" applyBorder="1" applyAlignment="1" applyProtection="1">
      <alignment horizontal="left" vertical="center" indent="1"/>
      <protection locked="0"/>
    </xf>
    <xf numFmtId="0" fontId="103" fillId="0" borderId="3" xfId="0" applyFont="1" applyBorder="1" applyAlignment="1" applyProtection="1">
      <alignment horizontal="left" vertical="center" indent="1"/>
      <protection locked="0"/>
    </xf>
    <xf numFmtId="0" fontId="103" fillId="0" borderId="4" xfId="0" applyFont="1" applyBorder="1" applyAlignment="1" applyProtection="1">
      <alignment horizontal="left" vertical="center" indent="1"/>
      <protection locked="0"/>
    </xf>
    <xf numFmtId="0" fontId="100" fillId="0" borderId="4" xfId="0" applyFont="1" applyBorder="1" applyAlignment="1">
      <alignment horizontal="left" vertical="center" indent="1"/>
    </xf>
    <xf numFmtId="0" fontId="105" fillId="3" borderId="4" xfId="0" applyFont="1" applyFill="1" applyBorder="1" applyAlignment="1">
      <alignment horizontal="center" vertical="center" wrapText="1"/>
    </xf>
    <xf numFmtId="0" fontId="105" fillId="3" borderId="12" xfId="0" applyFont="1" applyFill="1" applyBorder="1" applyAlignment="1">
      <alignment horizontal="center" vertical="center" wrapText="1"/>
    </xf>
    <xf numFmtId="0" fontId="105" fillId="3" borderId="2" xfId="0" applyFont="1" applyFill="1" applyBorder="1" applyAlignment="1">
      <alignment horizontal="center" vertical="center" wrapText="1"/>
    </xf>
    <xf numFmtId="0" fontId="109" fillId="0" borderId="4" xfId="0" applyFont="1" applyBorder="1" applyAlignment="1" applyProtection="1">
      <alignment horizontal="center"/>
      <protection locked="0"/>
    </xf>
    <xf numFmtId="0" fontId="109" fillId="0" borderId="12" xfId="0" applyFont="1" applyBorder="1" applyAlignment="1" applyProtection="1">
      <alignment horizontal="center"/>
      <protection locked="0"/>
    </xf>
    <xf numFmtId="0" fontId="103" fillId="0" borderId="12" xfId="0" applyFont="1" applyBorder="1" applyAlignment="1" applyProtection="1">
      <alignment horizontal="center" vertical="center"/>
      <protection locked="0"/>
    </xf>
    <xf numFmtId="0" fontId="103" fillId="0" borderId="2" xfId="0" applyFont="1" applyBorder="1" applyAlignment="1" applyProtection="1">
      <alignment horizontal="center" vertical="center"/>
      <protection locked="0"/>
    </xf>
    <xf numFmtId="0" fontId="105" fillId="3" borderId="4" xfId="0" applyFont="1" applyFill="1" applyBorder="1" applyAlignment="1">
      <alignment horizontal="center" vertical="center"/>
    </xf>
    <xf numFmtId="0" fontId="105" fillId="14" borderId="4" xfId="0" applyFont="1" applyFill="1" applyBorder="1" applyAlignment="1">
      <alignment horizontal="center" vertical="center"/>
    </xf>
    <xf numFmtId="0" fontId="105" fillId="14" borderId="12" xfId="0" applyFont="1" applyFill="1" applyBorder="1" applyAlignment="1">
      <alignment horizontal="center" vertical="center"/>
    </xf>
    <xf numFmtId="0" fontId="105" fillId="14" borderId="2" xfId="0" applyFont="1" applyFill="1" applyBorder="1" applyAlignment="1">
      <alignment horizontal="center" vertical="center"/>
    </xf>
    <xf numFmtId="0" fontId="100" fillId="0" borderId="4" xfId="0" applyFont="1" applyBorder="1" applyAlignment="1">
      <alignment horizontal="center"/>
    </xf>
    <xf numFmtId="0" fontId="100" fillId="0" borderId="18" xfId="0" applyFont="1" applyBorder="1" applyAlignment="1">
      <alignment horizontal="center"/>
    </xf>
    <xf numFmtId="0" fontId="100" fillId="0" borderId="28" xfId="0" applyFont="1" applyBorder="1" applyAlignment="1">
      <alignment horizontal="center"/>
    </xf>
    <xf numFmtId="0" fontId="100" fillId="0" borderId="26" xfId="0" applyFont="1" applyBorder="1" applyAlignment="1">
      <alignment horizontal="center"/>
    </xf>
    <xf numFmtId="0" fontId="102" fillId="0" borderId="101" xfId="0" applyFont="1" applyBorder="1" applyAlignment="1" applyProtection="1">
      <alignment horizontal="center"/>
      <protection locked="0"/>
    </xf>
    <xf numFmtId="0" fontId="102" fillId="0" borderId="25" xfId="0" applyFont="1" applyBorder="1" applyAlignment="1" applyProtection="1">
      <alignment horizontal="center"/>
      <protection locked="0"/>
    </xf>
    <xf numFmtId="0" fontId="102" fillId="0" borderId="107" xfId="0" applyFont="1" applyBorder="1" applyAlignment="1" applyProtection="1">
      <alignment horizontal="center"/>
      <protection locked="0"/>
    </xf>
    <xf numFmtId="0" fontId="103" fillId="0" borderId="12" xfId="0" applyFont="1" applyBorder="1" applyAlignment="1" applyProtection="1">
      <alignment horizontal="left" vertical="center" indent="1"/>
      <protection locked="0"/>
    </xf>
  </cellXfs>
  <cellStyles count="16">
    <cellStyle name="Comma 2" xfId="12" xr:uid="{00000000-0005-0000-0000-000001000000}"/>
    <cellStyle name="God" xfId="4" builtinId="26"/>
    <cellStyle name="Komma" xfId="2" builtinId="3"/>
    <cellStyle name="Komma 2" xfId="6" xr:uid="{00000000-0005-0000-0000-000005000000}"/>
    <cellStyle name="Komma 2 2" xfId="7" xr:uid="{00000000-0005-0000-0000-000006000000}"/>
    <cellStyle name="Komma 3" xfId="15" xr:uid="{00000000-0005-0000-0000-000007000000}"/>
    <cellStyle name="Link" xfId="5" builtinId="8"/>
    <cellStyle name="Normal" xfId="0" builtinId="0"/>
    <cellStyle name="Normal 5" xfId="8" xr:uid="{00000000-0005-0000-0000-000009000000}"/>
    <cellStyle name="Normal 6" xfId="9" xr:uid="{00000000-0005-0000-0000-00000A000000}"/>
    <cellStyle name="Procent" xfId="3" builtinId="5"/>
    <cellStyle name="Procent 4" xfId="11" xr:uid="{00000000-0005-0000-0000-00000C000000}"/>
    <cellStyle name="Procent 5" xfId="10" xr:uid="{00000000-0005-0000-0000-00000D000000}"/>
    <cellStyle name="Valuta" xfId="1" builtinId="4"/>
    <cellStyle name="Valuta 2" xfId="14" xr:uid="{00000000-0005-0000-0000-00000E000000}"/>
    <cellStyle name="Valuta 5" xfId="13" xr:uid="{00000000-0005-0000-0000-00000F000000}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8000"/>
      </font>
    </dxf>
    <dxf>
      <font>
        <color rgb="FF008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85EA16"/>
      <color rgb="FF2AAD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576898</xdr:colOff>
      <xdr:row>0</xdr:row>
      <xdr:rowOff>114776</xdr:rowOff>
    </xdr:from>
    <xdr:to>
      <xdr:col>7</xdr:col>
      <xdr:colOff>1255668</xdr:colOff>
      <xdr:row>2</xdr:row>
      <xdr:rowOff>676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7A300A1-AD62-42B3-8092-16614745F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4891" y="114776"/>
          <a:ext cx="1649452" cy="390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1</xdr:row>
      <xdr:rowOff>166688</xdr:rowOff>
    </xdr:from>
    <xdr:to>
      <xdr:col>3</xdr:col>
      <xdr:colOff>1593500</xdr:colOff>
      <xdr:row>2</xdr:row>
      <xdr:rowOff>188957</xdr:rowOff>
    </xdr:to>
    <xdr:pic>
      <xdr:nvPicPr>
        <xdr:cNvPr id="2" name="Billede 1" descr="cid:image001.jpg@01CF6E88.1DAE3F00">
          <a:extLst>
            <a:ext uri="{FF2B5EF4-FFF2-40B4-BE49-F238E27FC236}">
              <a16:creationId xmlns:a16="http://schemas.microsoft.com/office/drawing/2014/main" id="{B2A75655-42C4-41ED-9E75-E729963F02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7142"/>
          <a:ext cx="1660629" cy="4254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1580030</xdr:colOff>
      <xdr:row>0</xdr:row>
      <xdr:rowOff>0</xdr:rowOff>
    </xdr:from>
    <xdr:to>
      <xdr:col>41</xdr:col>
      <xdr:colOff>1917365</xdr:colOff>
      <xdr:row>20</xdr:row>
      <xdr:rowOff>115</xdr:rowOff>
    </xdr:to>
    <xdr:pic>
      <xdr:nvPicPr>
        <xdr:cNvPr id="3" name="Billede 2" descr="http://www.haandbogen.info/wp-content/uploads/2016/04/Kuldeindex-kap-2.png">
          <a:extLst>
            <a:ext uri="{FF2B5EF4-FFF2-40B4-BE49-F238E27FC236}">
              <a16:creationId xmlns:a16="http://schemas.microsoft.com/office/drawing/2014/main" id="{C6264815-F02A-448F-AD64-4F9AEDB2E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8824" y="0"/>
          <a:ext cx="4973395" cy="454099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1613647</xdr:colOff>
      <xdr:row>21</xdr:row>
      <xdr:rowOff>16747</xdr:rowOff>
    </xdr:from>
    <xdr:to>
      <xdr:col>42</xdr:col>
      <xdr:colOff>1067273</xdr:colOff>
      <xdr:row>37</xdr:row>
      <xdr:rowOff>208194</xdr:rowOff>
    </xdr:to>
    <xdr:pic>
      <xdr:nvPicPr>
        <xdr:cNvPr id="4" name="Billede 3" descr="https://www.dmi.dk/uploads/pics/klima_helelandet_2006_2015_01.png">
          <a:extLst>
            <a:ext uri="{FF2B5EF4-FFF2-40B4-BE49-F238E27FC236}">
              <a16:creationId xmlns:a16="http://schemas.microsoft.com/office/drawing/2014/main" id="{51D72B3C-189E-4A73-A2BD-91CE1D99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2441" y="4846482"/>
          <a:ext cx="6409303" cy="3466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1646464</xdr:colOff>
      <xdr:row>0</xdr:row>
      <xdr:rowOff>163285</xdr:rowOff>
    </xdr:from>
    <xdr:to>
      <xdr:col>8</xdr:col>
      <xdr:colOff>1087211</xdr:colOff>
      <xdr:row>2</xdr:row>
      <xdr:rowOff>136070</xdr:rowOff>
    </xdr:to>
    <xdr:pic>
      <xdr:nvPicPr>
        <xdr:cNvPr id="3" name="Billede 2" descr="Altiflex">
          <a:extLst>
            <a:ext uri="{FF2B5EF4-FFF2-40B4-BE49-F238E27FC236}">
              <a16:creationId xmlns:a16="http://schemas.microsoft.com/office/drawing/2014/main" id="{C4A9974E-D2F2-C6E4-F856-911460BCE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0143" y="163285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1983442</xdr:colOff>
      <xdr:row>0</xdr:row>
      <xdr:rowOff>179294</xdr:rowOff>
    </xdr:from>
    <xdr:to>
      <xdr:col>8</xdr:col>
      <xdr:colOff>1035984</xdr:colOff>
      <xdr:row>3</xdr:row>
      <xdr:rowOff>31376</xdr:rowOff>
    </xdr:to>
    <xdr:pic>
      <xdr:nvPicPr>
        <xdr:cNvPr id="3" name="Billede 2" descr="Altiflex">
          <a:extLst>
            <a:ext uri="{FF2B5EF4-FFF2-40B4-BE49-F238E27FC236}">
              <a16:creationId xmlns:a16="http://schemas.microsoft.com/office/drawing/2014/main" id="{D405E096-9125-78C2-116C-58310200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9971" y="179294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246530</xdr:colOff>
      <xdr:row>0</xdr:row>
      <xdr:rowOff>156882</xdr:rowOff>
    </xdr:from>
    <xdr:to>
      <xdr:col>12</xdr:col>
      <xdr:colOff>534894</xdr:colOff>
      <xdr:row>2</xdr:row>
      <xdr:rowOff>157816</xdr:rowOff>
    </xdr:to>
    <xdr:pic>
      <xdr:nvPicPr>
        <xdr:cNvPr id="3" name="Billede 2" descr="Altiflex">
          <a:extLst>
            <a:ext uri="{FF2B5EF4-FFF2-40B4-BE49-F238E27FC236}">
              <a16:creationId xmlns:a16="http://schemas.microsoft.com/office/drawing/2014/main" id="{02DF9F69-D7BD-6190-1886-A75F6B352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8971" y="156882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133350</xdr:rowOff>
    </xdr:from>
    <xdr:to>
      <xdr:col>12</xdr:col>
      <xdr:colOff>381000</xdr:colOff>
      <xdr:row>2</xdr:row>
      <xdr:rowOff>133350</xdr:rowOff>
    </xdr:to>
    <xdr:pic>
      <xdr:nvPicPr>
        <xdr:cNvPr id="3" name="Billede 2" descr="Altiflex">
          <a:extLst>
            <a:ext uri="{FF2B5EF4-FFF2-40B4-BE49-F238E27FC236}">
              <a16:creationId xmlns:a16="http://schemas.microsoft.com/office/drawing/2014/main" id="{AC9FA5D4-4CA1-03B0-DD0D-9230C2CF1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33350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132607</xdr:colOff>
      <xdr:row>3</xdr:row>
      <xdr:rowOff>132607</xdr:rowOff>
    </xdr:from>
    <xdr:to>
      <xdr:col>18</xdr:col>
      <xdr:colOff>66704</xdr:colOff>
      <xdr:row>27</xdr:row>
      <xdr:rowOff>68489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FD032D8A-25BE-29E3-2CD0-6EB7096CB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607" y="678130"/>
          <a:ext cx="11779733" cy="4300064"/>
        </a:xfrm>
        <a:prstGeom prst="rect">
          <a:avLst/>
        </a:prstGeom>
      </xdr:spPr>
    </xdr:pic>
    <xdr:clientData/>
  </xdr:twoCellAnchor>
  <xdr:twoCellAnchor editAs="oneCell">
    <xdr:from>
      <xdr:col>15</xdr:col>
      <xdr:colOff>372342</xdr:colOff>
      <xdr:row>0</xdr:row>
      <xdr:rowOff>77932</xdr:rowOff>
    </xdr:from>
    <xdr:to>
      <xdr:col>18</xdr:col>
      <xdr:colOff>49357</xdr:colOff>
      <xdr:row>2</xdr:row>
      <xdr:rowOff>154132</xdr:rowOff>
    </xdr:to>
    <xdr:pic>
      <xdr:nvPicPr>
        <xdr:cNvPr id="2" name="Billede 1" descr="Altiflex">
          <a:extLst>
            <a:ext uri="{FF2B5EF4-FFF2-40B4-BE49-F238E27FC236}">
              <a16:creationId xmlns:a16="http://schemas.microsoft.com/office/drawing/2014/main" id="{49ECF7DB-382F-E1A0-4345-FADD4FECC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4387" y="77932"/>
          <a:ext cx="14954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ltiflex/udlejning/Delte%20dokumenter/1.%20Udlejning/Salg/Tilbud%20Fast,%20m2%20og%20stk.%20(modul)/MASTER%20tilbud%20-%20Stk%20pr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ltiflex/Delte%20dokumenter/Danmark/Dokumenter/Partner-Servicepartner%20Pakken/01.%20Aftaledokumenter%20-%20Danmark%20og%20Partner/MASTER%20tilbudsskabelon%20-%20Partner%20og%20Service%20Partne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ltiflex/udlejning/Delte%20dokumenter/1.%20Udlejning/2%20Tilbud%20-%20Gl.%20tilbud%20og%20byggesager/NCC/Strandgade%205/Altiflex%20Telt%20konfigurator%20tilbud%2006.05.2022%20nr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lbud"/>
      <sheetName val="Specifikation"/>
      <sheetName val="Fakturadata"/>
      <sheetName val="Faktura"/>
      <sheetName val="Stamdata"/>
      <sheetName val="Projektregistrering"/>
      <sheetName val="Prisberegner"/>
      <sheetName val="Notater"/>
      <sheetName val="Beregninger"/>
      <sheetName val="SpecifikationFast"/>
      <sheetName val="Partner prisliste"/>
      <sheetName val="Montør prisliste"/>
      <sheetName val="Timepris Partner"/>
      <sheetName val="Timepris montør"/>
      <sheetName val="Til bogføring"/>
      <sheetName val="Priser til dato"/>
      <sheetName val="Graf forbrug"/>
      <sheetName val="Tilkoeb_org"/>
      <sheetName val="Vejledning"/>
      <sheetName val="Prisberegning"/>
      <sheetName val="Lister"/>
      <sheetName val="Tekster"/>
      <sheetName val="Tidsplanlægning"/>
      <sheetName val="Beregning af opgaven"/>
      <sheetName val="Nøgletal Gl."/>
      <sheetName val="Tilkøb_1"/>
      <sheetName val="Beregning lejedage"/>
      <sheetName val="Nøgletal"/>
      <sheetName val="Aftalegrundlag"/>
      <sheetName val="Ordreliste"/>
    </sheetNames>
    <sheetDataSet>
      <sheetData sheetId="0" refreshError="1">
        <row r="59">
          <cell r="A59" t="str">
            <v>Døre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>
            <v>0</v>
          </cell>
          <cell r="F2">
            <v>0</v>
          </cell>
          <cell r="H2" t="str">
            <v>Moduler - M2</v>
          </cell>
          <cell r="J2" t="str">
            <v>Nøgler - STK</v>
          </cell>
          <cell r="M2" t="str">
            <v>Moduler - M2</v>
          </cell>
        </row>
        <row r="3">
          <cell r="A3" t="str">
            <v>Demonteret</v>
          </cell>
          <cell r="F3" t="str">
            <v>Moduler - M2</v>
          </cell>
          <cell r="H3" t="str">
            <v>Moduler - STK</v>
          </cell>
          <cell r="J3" t="str">
            <v>Mobile Opbevaringsrum inde - STK</v>
          </cell>
          <cell r="M3" t="str">
            <v>Moduler - STK</v>
          </cell>
        </row>
        <row r="4">
          <cell r="A4" t="str">
            <v>Montering</v>
          </cell>
          <cell r="F4" t="str">
            <v>Moduler - STK</v>
          </cell>
          <cell r="H4" t="str">
            <v>Døre - STK</v>
          </cell>
          <cell r="J4" t="str">
            <v>Mobile Opbevaringsrum ude - STK</v>
          </cell>
          <cell r="M4" t="str">
            <v>Døre - STK</v>
          </cell>
        </row>
        <row r="5">
          <cell r="F5" t="str">
            <v>Døre - STK</v>
          </cell>
          <cell r="H5" t="str">
            <v>Døre ekstra bredde - STK</v>
          </cell>
          <cell r="M5" t="str">
            <v>Døre ekstra bredde - STK</v>
          </cell>
        </row>
        <row r="6">
          <cell r="F6" t="str">
            <v>Døre ekstra bredde - STK</v>
          </cell>
          <cell r="H6" t="str">
            <v>Portrammer - STK</v>
          </cell>
          <cell r="M6" t="str">
            <v>Portrammer - STK</v>
          </cell>
        </row>
        <row r="7">
          <cell r="F7" t="str">
            <v>Portrammer - STK</v>
          </cell>
          <cell r="H7" t="str">
            <v>Tætningslister - M2</v>
          </cell>
          <cell r="M7" t="str">
            <v>Hængelåse - STK</v>
          </cell>
        </row>
        <row r="8">
          <cell r="F8" t="str">
            <v>Tætningslister - M2</v>
          </cell>
          <cell r="H8" t="str">
            <v>Tætningslister - STK</v>
          </cell>
          <cell r="M8" t="str">
            <v>Nøgler - STK</v>
          </cell>
        </row>
        <row r="9">
          <cell r="F9" t="str">
            <v>Tætningslister - STK</v>
          </cell>
          <cell r="H9" t="str">
            <v>Hængelåse - STK</v>
          </cell>
          <cell r="M9" t="str">
            <v>Mobile Opbevaringsrum inde - STK</v>
          </cell>
          <cell r="P9">
            <v>0</v>
          </cell>
          <cell r="Q9">
            <v>0</v>
          </cell>
        </row>
        <row r="10">
          <cell r="F10" t="str">
            <v>Hængelåse - STK</v>
          </cell>
          <cell r="H10" t="str">
            <v>Nøgler - STK</v>
          </cell>
          <cell r="M10" t="str">
            <v>Mobile Opbevaringsrum ude - STK</v>
          </cell>
          <cell r="P10">
            <v>1</v>
          </cell>
          <cell r="Q10">
            <v>1</v>
          </cell>
        </row>
        <row r="11">
          <cell r="F11" t="str">
            <v>Nøgler - STK</v>
          </cell>
          <cell r="H11" t="str">
            <v>Materialer - M2 STK</v>
          </cell>
          <cell r="P11">
            <v>2</v>
          </cell>
          <cell r="Q11">
            <v>2</v>
          </cell>
        </row>
        <row r="12">
          <cell r="A12">
            <v>0</v>
          </cell>
          <cell r="F12" t="str">
            <v>Mobile Opbevaringsrum inde - STK</v>
          </cell>
          <cell r="H12" t="str">
            <v>Materialer - Minut</v>
          </cell>
          <cell r="P12">
            <v>3</v>
          </cell>
          <cell r="Q12">
            <v>3</v>
          </cell>
        </row>
        <row r="13">
          <cell r="A13" t="str">
            <v>Monteret</v>
          </cell>
          <cell r="F13" t="str">
            <v>Mobile Opbevaringsrum ude - STK</v>
          </cell>
          <cell r="H13" t="str">
            <v>Materialer - Timer</v>
          </cell>
          <cell r="P13">
            <v>4</v>
          </cell>
        </row>
        <row r="14">
          <cell r="F14" t="str">
            <v>Materialer - M2 STK</v>
          </cell>
          <cell r="H14" t="str">
            <v>Mobile Opbevaringsrum inde - STK</v>
          </cell>
          <cell r="P14">
            <v>5</v>
          </cell>
        </row>
        <row r="15">
          <cell r="F15" t="str">
            <v>Materialer - Minut</v>
          </cell>
          <cell r="H15" t="str">
            <v>Mobile Opbevaringsrum ude - STK</v>
          </cell>
          <cell r="P15">
            <v>6</v>
          </cell>
        </row>
        <row r="16">
          <cell r="F16" t="str">
            <v>Materialer - Timer</v>
          </cell>
          <cell r="P16">
            <v>7</v>
          </cell>
        </row>
        <row r="17">
          <cell r="P17">
            <v>8</v>
          </cell>
        </row>
        <row r="18">
          <cell r="P18">
            <v>9</v>
          </cell>
        </row>
        <row r="19">
          <cell r="P19">
            <v>10</v>
          </cell>
        </row>
        <row r="26">
          <cell r="A26">
            <v>0</v>
          </cell>
          <cell r="G26" t="str">
            <v>Leje pr. dag</v>
          </cell>
        </row>
        <row r="27">
          <cell r="A27">
            <v>1</v>
          </cell>
          <cell r="G27" t="str">
            <v>Variabel</v>
          </cell>
        </row>
        <row r="28">
          <cell r="A28">
            <v>2</v>
          </cell>
        </row>
        <row r="29">
          <cell r="A29">
            <v>3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  <cell r="C37" t="str">
            <v>kr.</v>
          </cell>
        </row>
        <row r="38">
          <cell r="A38">
            <v>12</v>
          </cell>
          <cell r="C38" t="str">
            <v>kr./m2</v>
          </cell>
        </row>
        <row r="39">
          <cell r="A39">
            <v>13</v>
          </cell>
          <cell r="C39" t="str">
            <v>kr./stk.</v>
          </cell>
        </row>
        <row r="40">
          <cell r="A40">
            <v>14</v>
          </cell>
          <cell r="C40" t="str">
            <v>kr./m</v>
          </cell>
        </row>
        <row r="41">
          <cell r="A41">
            <v>15</v>
          </cell>
          <cell r="C41" t="str">
            <v>tom</v>
          </cell>
        </row>
        <row r="42">
          <cell r="A42">
            <v>16</v>
          </cell>
        </row>
        <row r="43">
          <cell r="A43">
            <v>17</v>
          </cell>
          <cell r="C43" t="str">
            <v>m2</v>
          </cell>
        </row>
        <row r="44">
          <cell r="A44">
            <v>18</v>
          </cell>
          <cell r="C44" t="str">
            <v>stk.</v>
          </cell>
        </row>
        <row r="45">
          <cell r="A45">
            <v>19</v>
          </cell>
          <cell r="C45" t="str">
            <v>m</v>
          </cell>
        </row>
        <row r="46">
          <cell r="A46">
            <v>20</v>
          </cell>
          <cell r="C46" t="str">
            <v>tom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>
            <v>24</v>
          </cell>
        </row>
        <row r="51">
          <cell r="A51" t="str">
            <v>Sidste</v>
          </cell>
        </row>
        <row r="52">
          <cell r="A52" t="str">
            <v>-</v>
          </cell>
        </row>
        <row r="55">
          <cell r="A55" t="str">
            <v>Regulering af leje</v>
          </cell>
        </row>
        <row r="56">
          <cell r="A56" t="str">
            <v>Leje</v>
          </cell>
        </row>
        <row r="57">
          <cell r="A57" t="str">
            <v>Fast pris</v>
          </cell>
        </row>
      </sheetData>
      <sheetData sheetId="21">
        <row r="2">
          <cell r="D2" t="str">
            <v>Facadeaflukning/Interimsvægge</v>
          </cell>
          <cell r="E2" t="str">
            <v>Vælg branche</v>
          </cell>
          <cell r="F2" t="str">
            <v>Tekst 1</v>
          </cell>
          <cell r="G2" t="str">
            <v>Tekst 1</v>
          </cell>
          <cell r="H2" t="str">
            <v>Arbejdsbeskrivelse</v>
          </cell>
        </row>
        <row r="3">
          <cell r="D3" t="str">
            <v xml:space="preserve">Tætningslister til moduler og døre </v>
          </cell>
          <cell r="E3" t="str">
            <v>Nybyggeri</v>
          </cell>
          <cell r="F3" t="str">
            <v>Tekst 2</v>
          </cell>
          <cell r="G3" t="str">
            <v>Tekst 2</v>
          </cell>
          <cell r="H3" t="str">
            <v>Arbejdsbeskrivelse 2</v>
          </cell>
        </row>
        <row r="4">
          <cell r="D4" t="str">
            <v>Facadeaflukning</v>
          </cell>
          <cell r="E4" t="str">
            <v>Renovering</v>
          </cell>
          <cell r="F4">
            <v>0</v>
          </cell>
          <cell r="G4">
            <v>0</v>
          </cell>
          <cell r="H4" t="str">
            <v>Tillægget vedrører alene den del af væggen, som overstiger 4 meter</v>
          </cell>
        </row>
        <row r="5">
          <cell r="D5" t="str">
            <v>Interimsvægge</v>
          </cell>
          <cell r="E5" t="str">
            <v>Offentligt byggeri</v>
          </cell>
          <cell r="F5">
            <v>0</v>
          </cell>
          <cell r="G5">
            <v>0</v>
          </cell>
          <cell r="H5">
            <v>0</v>
          </cell>
        </row>
        <row r="6">
          <cell r="D6" t="str">
            <v>Døre</v>
          </cell>
          <cell r="E6" t="str">
            <v>Offentligt Renovering</v>
          </cell>
          <cell r="F6">
            <v>0</v>
          </cell>
          <cell r="G6">
            <v>0</v>
          </cell>
          <cell r="H6">
            <v>0</v>
          </cell>
        </row>
        <row r="7">
          <cell r="D7" t="str">
            <v>Portrammer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D8" t="str">
            <v>Mobile opbevaringsrum (inde)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D9" t="str">
            <v>Mobile opbevaringsrum (ude)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D10" t="str">
            <v>Hængelåse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D11" t="str">
            <v>Nøgler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D12" t="str">
            <v>Med materialer m2/stk.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D13" t="str">
            <v>Med materialer - minutter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D14" t="str">
            <v>Med materialer - timer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 t="str">
            <v>Bagplade til opbevaringsrum med 3 hylder, stikkontakt, lampe og radiator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D16" t="str">
            <v>Tillæg på alle vægge over 4 meter - opmålt fra gulv til loft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D17" t="str">
            <v>Op- og nedbæring på trapper laves billigst muligt i regning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6">
          <cell r="A26" t="str">
            <v>Vælg afstand</v>
          </cell>
        </row>
        <row r="27">
          <cell r="A27" t="str">
            <v>Op til 15 km</v>
          </cell>
        </row>
        <row r="28">
          <cell r="A28" t="str">
            <v>15 - 30 km</v>
          </cell>
        </row>
        <row r="29">
          <cell r="A29" t="str">
            <v>&gt;30 km</v>
          </cell>
        </row>
        <row r="33">
          <cell r="A33" t="str">
            <v>Vælg afstand</v>
          </cell>
        </row>
        <row r="34">
          <cell r="A34" t="str">
            <v>Op til 15 km</v>
          </cell>
        </row>
        <row r="35">
          <cell r="A35" t="str">
            <v>15 - 30 km</v>
          </cell>
        </row>
        <row r="36">
          <cell r="A36" t="str">
            <v>&gt;30 km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ifikation"/>
      <sheetName val="Fakturadata"/>
      <sheetName val="Faktura"/>
      <sheetName val="Kode A123456"/>
      <sheetName val="Stamdata"/>
      <sheetName val="Projektregistrering"/>
      <sheetName val="Prisberegner"/>
      <sheetName val="Tilbud fast pris"/>
      <sheetName val="Tilbud stk. pris"/>
      <sheetName val="Tilbud kvm. pris"/>
      <sheetName val="Notater"/>
      <sheetName val="Beregninger"/>
      <sheetName val="SpecifikationFast"/>
      <sheetName val="Partner prisliste"/>
      <sheetName val="Montør prisliste"/>
      <sheetName val="Timepris Partner"/>
      <sheetName val="Timepris montør"/>
      <sheetName val="Til bogføring"/>
      <sheetName val="Priser til dato"/>
      <sheetName val="Graf forbrug"/>
      <sheetName val="Tilkoeb_org"/>
      <sheetName val="Vejledning"/>
      <sheetName val="Prisberegning"/>
      <sheetName val="Lister"/>
      <sheetName val="Tekster"/>
      <sheetName val="Tidsplanlægning"/>
      <sheetName val="Beregning af opgaven"/>
      <sheetName val="Nøgletal Gl."/>
      <sheetName val="Tilkøb_1"/>
      <sheetName val="Beregning lejedage"/>
      <sheetName val="Nøgletal"/>
      <sheetName val="Aftalegrundlag"/>
      <sheetName val="Ordre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8">
          <cell r="A58" t="str">
            <v>Døre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>
            <v>0</v>
          </cell>
        </row>
      </sheetData>
      <sheetData sheetId="24">
        <row r="2">
          <cell r="D2" t="str">
            <v>Facadeaflukning/Interimsvægge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lt"/>
      <sheetName val="Tilbagebetaling case"/>
      <sheetName val="Den Hurtige Analyse"/>
      <sheetName val="Varmeberegner til Den Hurtige"/>
      <sheetName val="Prislisten V3"/>
      <sheetName val="01. Ordre el. Tilbud nr. xxx"/>
    </sheetNames>
    <sheetDataSet>
      <sheetData sheetId="0">
        <row r="67">
          <cell r="F67">
            <v>11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anvurdering.dk/" TargetMode="External"/><Relationship Id="rId1" Type="http://schemas.openxmlformats.org/officeDocument/2006/relationships/hyperlink" Target="../../lr_altiflex_dk/Documents/Altiflex/Altiflex/Undervisning%202023/Altiflex%20Undervisning%20-%20Den%20B%C3%A6redygtige%20l%C3%B8sning%2014.07.23.pptx?web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dmi.dk/vejr/arkiver/normaler-og-ekstremer/klimanormaler-dk/vejrnorma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showGridLines="0" topLeftCell="A36" zoomScale="115" zoomScaleNormal="115" zoomScalePageLayoutView="115" workbookViewId="0">
      <selection activeCell="D58" sqref="D58"/>
    </sheetView>
  </sheetViews>
  <sheetFormatPr defaultColWidth="8.81640625" defaultRowHeight="14.5"/>
  <cols>
    <col min="1" max="1" width="52.81640625" customWidth="1"/>
    <col min="2" max="2" width="20.1796875" bestFit="1" customWidth="1"/>
    <col min="3" max="3" width="11.81640625" bestFit="1" customWidth="1"/>
    <col min="4" max="4" width="16.453125" style="3" customWidth="1"/>
    <col min="5" max="5" width="12.1796875" style="4" bestFit="1" customWidth="1"/>
    <col min="6" max="6" width="25.1796875" style="5" bestFit="1" customWidth="1"/>
    <col min="7" max="7" width="14.1796875" style="3" customWidth="1"/>
    <col min="8" max="8" width="22.1796875" style="3" bestFit="1" customWidth="1"/>
    <col min="9" max="10" width="0" style="3" hidden="1" customWidth="1"/>
    <col min="11" max="30" width="0" hidden="1" customWidth="1"/>
  </cols>
  <sheetData>
    <row r="1" spans="1:9" ht="26">
      <c r="A1" s="2" t="s">
        <v>0</v>
      </c>
      <c r="B1" s="2"/>
      <c r="C1" s="2"/>
    </row>
    <row r="2" spans="1:9">
      <c r="A2" s="6">
        <v>45132</v>
      </c>
      <c r="B2" s="6"/>
      <c r="C2" s="6"/>
    </row>
    <row r="3" spans="1:9" ht="15.5">
      <c r="A3" s="344" t="s">
        <v>106</v>
      </c>
      <c r="B3" s="344"/>
      <c r="C3" s="344"/>
    </row>
    <row r="4" spans="1:9">
      <c r="A4" s="6"/>
      <c r="B4" s="6"/>
      <c r="C4" s="6"/>
    </row>
    <row r="5" spans="1:9" ht="15" thickBot="1">
      <c r="A5" s="6"/>
      <c r="B5" s="6"/>
      <c r="C5" s="6"/>
    </row>
    <row r="6" spans="1:9" ht="15.5">
      <c r="A6" s="365" t="s">
        <v>1</v>
      </c>
      <c r="B6" s="366"/>
      <c r="C6" s="366"/>
      <c r="D6" s="367"/>
      <c r="E6" s="367"/>
      <c r="F6" s="367"/>
      <c r="G6" s="367"/>
      <c r="H6" s="369"/>
    </row>
    <row r="7" spans="1:9" ht="15.5">
      <c r="A7" s="392" t="s">
        <v>2</v>
      </c>
      <c r="B7" s="349"/>
      <c r="C7" s="349"/>
      <c r="D7" s="8"/>
      <c r="E7" s="9"/>
      <c r="F7" s="10"/>
      <c r="G7" s="11" t="s">
        <v>3</v>
      </c>
      <c r="H7" s="370"/>
    </row>
    <row r="8" spans="1:9" ht="15.5">
      <c r="A8" s="371" t="s">
        <v>4</v>
      </c>
      <c r="B8" s="23"/>
      <c r="C8" s="23"/>
      <c r="D8" s="12"/>
      <c r="E8" s="13"/>
      <c r="F8" s="14" t="e">
        <f>+#REF!</f>
        <v>#REF!</v>
      </c>
      <c r="G8" s="345">
        <v>100</v>
      </c>
      <c r="H8" s="372" t="e">
        <f>+F8*G8</f>
        <v>#REF!</v>
      </c>
    </row>
    <row r="9" spans="1:9">
      <c r="A9" s="59" t="s">
        <v>5</v>
      </c>
      <c r="D9" s="17"/>
      <c r="E9" s="343">
        <v>5.8000000000000003E-2</v>
      </c>
      <c r="F9" s="12" t="e">
        <f>-F8*E9</f>
        <v>#REF!</v>
      </c>
      <c r="G9" s="12"/>
      <c r="H9" s="372" t="e">
        <f>+F9*$G$8</f>
        <v>#REF!</v>
      </c>
    </row>
    <row r="10" spans="1:9">
      <c r="A10" s="653" t="s">
        <v>206</v>
      </c>
      <c r="D10" s="17"/>
      <c r="E10" s="343"/>
      <c r="F10" s="12" t="e">
        <f>+F8*G10</f>
        <v>#REF!</v>
      </c>
      <c r="G10" s="654">
        <v>0.4</v>
      </c>
      <c r="H10" s="372" t="e">
        <f>-(H8+H9)*G10</f>
        <v>#REF!</v>
      </c>
    </row>
    <row r="11" spans="1:9">
      <c r="A11" s="379" t="s">
        <v>6</v>
      </c>
      <c r="D11" s="12"/>
      <c r="E11" s="18"/>
      <c r="F11" s="19" t="e">
        <f>+F8-F9-F10</f>
        <v>#REF!</v>
      </c>
      <c r="G11" s="12"/>
      <c r="H11" s="373" t="e">
        <f>SUM(H8:H10)</f>
        <v>#REF!</v>
      </c>
    </row>
    <row r="12" spans="1:9">
      <c r="A12" s="374" t="s">
        <v>109</v>
      </c>
      <c r="B12" s="362">
        <v>2</v>
      </c>
      <c r="C12" s="363">
        <v>500</v>
      </c>
      <c r="D12" s="416">
        <f>+C12/60</f>
        <v>8.3333333333333339</v>
      </c>
      <c r="E12" s="411">
        <v>10</v>
      </c>
      <c r="F12" s="415">
        <f>+-H12/(G12*B12)</f>
        <v>83.333333333333343</v>
      </c>
      <c r="G12" s="356">
        <f>+G8</f>
        <v>100</v>
      </c>
      <c r="H12" s="372">
        <f>-D12*E12*G12*B12</f>
        <v>-16666.666666666668</v>
      </c>
      <c r="I12" s="414"/>
    </row>
    <row r="13" spans="1:9">
      <c r="A13" s="374" t="s">
        <v>107</v>
      </c>
      <c r="B13" s="362">
        <v>2</v>
      </c>
      <c r="C13" s="355">
        <f>+C12</f>
        <v>500</v>
      </c>
      <c r="D13" s="416">
        <f>+D12</f>
        <v>8.3333333333333339</v>
      </c>
      <c r="E13" s="411">
        <v>5</v>
      </c>
      <c r="F13" s="415">
        <f>+-H13/(G13*B13)</f>
        <v>41.666666666666671</v>
      </c>
      <c r="G13" s="356">
        <f>+G12</f>
        <v>100</v>
      </c>
      <c r="H13" s="372">
        <f>-D13*E13*G13*B13</f>
        <v>-8333.3333333333339</v>
      </c>
    </row>
    <row r="14" spans="1:9">
      <c r="A14" s="59"/>
      <c r="D14" s="12"/>
      <c r="E14" s="18"/>
      <c r="F14" s="14"/>
      <c r="G14" s="12"/>
      <c r="H14" s="375" t="e">
        <f>SUM(H11:H13)</f>
        <v>#REF!</v>
      </c>
    </row>
    <row r="15" spans="1:9">
      <c r="A15" s="374" t="s">
        <v>108</v>
      </c>
      <c r="B15" s="359"/>
      <c r="C15" s="361">
        <v>260</v>
      </c>
      <c r="D15" s="364">
        <v>3.5</v>
      </c>
      <c r="E15" s="359"/>
      <c r="F15" s="359"/>
      <c r="G15" s="356">
        <f>+G13</f>
        <v>100</v>
      </c>
      <c r="H15" s="372">
        <f>-C15*D15*G15</f>
        <v>-91000</v>
      </c>
    </row>
    <row r="16" spans="1:9">
      <c r="A16" s="376" t="s">
        <v>10</v>
      </c>
      <c r="B16" s="359"/>
      <c r="C16" s="361">
        <f>+C15</f>
        <v>260</v>
      </c>
      <c r="D16" s="360">
        <f>+H22</f>
        <v>5.7151130400000012</v>
      </c>
      <c r="E16" s="359"/>
      <c r="F16" s="415"/>
      <c r="G16" s="356">
        <f>+G15</f>
        <v>100</v>
      </c>
      <c r="H16" s="372">
        <f>-C16*D16*G16</f>
        <v>-148592.93904000003</v>
      </c>
    </row>
    <row r="17" spans="1:10">
      <c r="A17" s="59"/>
      <c r="D17" s="12"/>
      <c r="E17" s="18"/>
      <c r="F17" s="412"/>
      <c r="G17" s="12"/>
      <c r="H17" s="373" t="e">
        <f>SUM(H14:H16)</f>
        <v>#REF!</v>
      </c>
    </row>
    <row r="18" spans="1:10" ht="15.5">
      <c r="A18" s="59" t="s">
        <v>11</v>
      </c>
      <c r="D18" s="358">
        <f>+D15</f>
        <v>3.5</v>
      </c>
      <c r="E18" s="359"/>
      <c r="F18" s="359"/>
      <c r="G18" s="356">
        <f>+G13</f>
        <v>100</v>
      </c>
      <c r="H18" s="377" t="e">
        <f>+H17/D18/G18</f>
        <v>#REF!</v>
      </c>
    </row>
    <row r="19" spans="1:10">
      <c r="A19" s="59"/>
      <c r="E19" s="413"/>
      <c r="F19" s="412"/>
      <c r="H19" s="378"/>
    </row>
    <row r="20" spans="1:10" ht="15.5">
      <c r="A20" s="393" t="s">
        <v>12</v>
      </c>
      <c r="D20" s="12"/>
      <c r="E20" s="18"/>
      <c r="F20" s="14"/>
      <c r="G20" s="12"/>
      <c r="H20" s="378"/>
    </row>
    <row r="21" spans="1:10">
      <c r="A21" s="59" t="s">
        <v>13</v>
      </c>
      <c r="D21" s="12"/>
      <c r="E21" s="20"/>
      <c r="F21" s="47"/>
      <c r="G21" s="20"/>
      <c r="H21" s="386">
        <f>+D15</f>
        <v>3.5</v>
      </c>
      <c r="I21" s="21"/>
      <c r="J21" s="21"/>
    </row>
    <row r="22" spans="1:10">
      <c r="A22" s="376" t="s">
        <v>10</v>
      </c>
      <c r="D22" s="12"/>
      <c r="E22" s="20"/>
      <c r="F22" s="47"/>
      <c r="G22" s="20"/>
      <c r="H22" s="387">
        <f>+'Den Snabba Analysen'!$H$15/'Den Snabba Analysen'!$C$25</f>
        <v>5.7151130400000012</v>
      </c>
      <c r="I22" s="21"/>
      <c r="J22" s="21"/>
    </row>
    <row r="23" spans="1:10">
      <c r="A23" s="379" t="s">
        <v>14</v>
      </c>
      <c r="D23" s="12"/>
      <c r="E23" s="13"/>
      <c r="F23" s="47"/>
      <c r="G23" s="12"/>
      <c r="H23" s="388">
        <f>+H21+H22</f>
        <v>9.2151130400000021</v>
      </c>
    </row>
    <row r="24" spans="1:10" s="23" customFormat="1" ht="15.5">
      <c r="A24" s="371" t="s">
        <v>15</v>
      </c>
      <c r="D24" s="22"/>
      <c r="G24" s="22"/>
      <c r="H24" s="377" t="e">
        <f>+F11/H23</f>
        <v>#REF!</v>
      </c>
      <c r="I24" s="25"/>
      <c r="J24" s="25"/>
    </row>
    <row r="25" spans="1:10" s="23" customFormat="1" ht="15.5">
      <c r="A25" s="371"/>
      <c r="D25" s="22"/>
      <c r="F25" s="24"/>
      <c r="G25" s="22"/>
      <c r="H25" s="380"/>
      <c r="I25" s="25"/>
      <c r="J25" s="25"/>
    </row>
    <row r="26" spans="1:10" ht="15.5">
      <c r="A26" s="393" t="s">
        <v>16</v>
      </c>
      <c r="D26" s="12"/>
      <c r="E26" s="13"/>
      <c r="F26" s="26"/>
      <c r="G26" s="12"/>
      <c r="H26" s="372"/>
    </row>
    <row r="27" spans="1:10" s="23" customFormat="1" ht="16" thickBot="1">
      <c r="A27" s="381" t="s">
        <v>17</v>
      </c>
      <c r="B27" s="382"/>
      <c r="C27" s="382"/>
      <c r="D27" s="385">
        <f>+H21</f>
        <v>3.5</v>
      </c>
      <c r="E27" s="382"/>
      <c r="F27" s="383" t="e">
        <f>+F11</f>
        <v>#REF!</v>
      </c>
      <c r="G27" s="384"/>
      <c r="H27" s="391" t="e">
        <f>+F27/D27</f>
        <v>#REF!</v>
      </c>
      <c r="I27" s="25"/>
      <c r="J27" s="25"/>
    </row>
    <row r="28" spans="1:10" s="23" customFormat="1" ht="16" thickBot="1">
      <c r="D28" s="22"/>
      <c r="E28" s="22"/>
      <c r="F28" s="24"/>
      <c r="G28" s="22"/>
      <c r="H28" s="22"/>
      <c r="I28" s="25"/>
      <c r="J28" s="25"/>
    </row>
    <row r="29" spans="1:10" s="23" customFormat="1" ht="15.5">
      <c r="A29" s="365" t="s">
        <v>18</v>
      </c>
      <c r="B29" s="366"/>
      <c r="C29" s="366"/>
      <c r="D29" s="367"/>
      <c r="E29" s="367"/>
      <c r="F29" s="368"/>
      <c r="G29" s="367"/>
      <c r="H29" s="369"/>
      <c r="I29" s="25"/>
      <c r="J29" s="25"/>
    </row>
    <row r="30" spans="1:10" s="23" customFormat="1" ht="15.5">
      <c r="A30" s="392" t="s">
        <v>19</v>
      </c>
      <c r="B30" s="349"/>
      <c r="C30" s="349"/>
      <c r="D30" s="8"/>
      <c r="E30" s="9"/>
      <c r="F30" s="10"/>
      <c r="G30" s="11" t="s">
        <v>3</v>
      </c>
      <c r="H30" s="370"/>
      <c r="I30" s="25"/>
      <c r="J30" s="25"/>
    </row>
    <row r="31" spans="1:10" s="23" customFormat="1" ht="15.5">
      <c r="A31" s="371" t="s">
        <v>18</v>
      </c>
      <c r="D31" s="12"/>
      <c r="E31" s="13"/>
      <c r="F31" s="14" t="e">
        <f>+#REF!</f>
        <v>#REF!</v>
      </c>
      <c r="G31" s="345">
        <v>50</v>
      </c>
      <c r="H31" s="372" t="e">
        <f>+F31*G31</f>
        <v>#REF!</v>
      </c>
      <c r="I31" s="25"/>
      <c r="J31" s="25"/>
    </row>
    <row r="32" spans="1:10" s="23" customFormat="1" ht="15.5">
      <c r="A32" s="59" t="s">
        <v>5</v>
      </c>
      <c r="B32"/>
      <c r="C32"/>
      <c r="D32" s="17"/>
      <c r="E32" s="343">
        <f>+E9</f>
        <v>5.8000000000000003E-2</v>
      </c>
      <c r="F32" s="12" t="e">
        <f>-F31*E32</f>
        <v>#REF!</v>
      </c>
      <c r="G32" s="12"/>
      <c r="H32" s="372" t="e">
        <f>+F32*$G$31</f>
        <v>#REF!</v>
      </c>
      <c r="I32" s="25"/>
      <c r="J32" s="25"/>
    </row>
    <row r="33" spans="1:10">
      <c r="A33" s="653" t="s">
        <v>206</v>
      </c>
      <c r="D33" s="17"/>
      <c r="E33" s="343"/>
      <c r="F33" s="12" t="e">
        <f>+F31*G33</f>
        <v>#REF!</v>
      </c>
      <c r="G33" s="654">
        <v>0.4</v>
      </c>
      <c r="H33" s="372" t="e">
        <f>-(H31+H32)*G33</f>
        <v>#REF!</v>
      </c>
    </row>
    <row r="34" spans="1:10" s="23" customFormat="1" ht="15.5">
      <c r="A34" s="379" t="s">
        <v>6</v>
      </c>
      <c r="B34"/>
      <c r="C34"/>
      <c r="D34" s="12"/>
      <c r="E34" s="18"/>
      <c r="F34" s="19" t="e">
        <f>+F31-F32-F33</f>
        <v>#REF!</v>
      </c>
      <c r="G34" s="12"/>
      <c r="H34" s="373" t="e">
        <f>SUM(H31:H33)</f>
        <v>#REF!</v>
      </c>
      <c r="I34" s="25"/>
      <c r="J34" s="25"/>
    </row>
    <row r="35" spans="1:10" s="23" customFormat="1" ht="15.5">
      <c r="A35" s="374" t="s">
        <v>7</v>
      </c>
      <c r="B35" s="362">
        <v>6</v>
      </c>
      <c r="C35" s="363">
        <v>500</v>
      </c>
      <c r="D35" s="416">
        <f>+C35/60</f>
        <v>8.3333333333333339</v>
      </c>
      <c r="E35" s="411">
        <v>10</v>
      </c>
      <c r="F35" s="415">
        <f>+-H35/(G35*B35)</f>
        <v>83.333333333333329</v>
      </c>
      <c r="G35" s="356">
        <f>+G31</f>
        <v>50</v>
      </c>
      <c r="H35" s="372">
        <f>-D35*E35*G35*B35</f>
        <v>-25000</v>
      </c>
      <c r="I35" s="25"/>
      <c r="J35" s="25"/>
    </row>
    <row r="36" spans="1:10" s="23" customFormat="1" ht="15.5">
      <c r="A36" s="374" t="s">
        <v>8</v>
      </c>
      <c r="B36" s="362">
        <v>6</v>
      </c>
      <c r="C36" s="355">
        <f>+C35</f>
        <v>500</v>
      </c>
      <c r="D36" s="416">
        <f>+D35</f>
        <v>8.3333333333333339</v>
      </c>
      <c r="E36" s="411">
        <v>5</v>
      </c>
      <c r="F36" s="415">
        <f>+-H36/(G36*B36)</f>
        <v>41.666666666666664</v>
      </c>
      <c r="G36" s="356">
        <f>+G35</f>
        <v>50</v>
      </c>
      <c r="H36" s="372">
        <f>-D36*E36*G36*B36</f>
        <v>-12500</v>
      </c>
      <c r="I36" s="25"/>
      <c r="J36" s="25"/>
    </row>
    <row r="37" spans="1:10" s="23" customFormat="1" ht="15.5">
      <c r="A37" s="59"/>
      <c r="B37"/>
      <c r="C37"/>
      <c r="D37" s="12"/>
      <c r="E37" s="18"/>
      <c r="F37" s="14"/>
      <c r="G37" s="12"/>
      <c r="H37" s="375" t="e">
        <f>SUM(H34:H36)</f>
        <v>#REF!</v>
      </c>
      <c r="I37" s="25"/>
      <c r="J37" s="25"/>
    </row>
    <row r="38" spans="1:10" s="23" customFormat="1" ht="15.5">
      <c r="A38" s="374" t="s">
        <v>9</v>
      </c>
      <c r="B38" s="359"/>
      <c r="C38" s="361">
        <v>400</v>
      </c>
      <c r="D38" s="364">
        <v>11</v>
      </c>
      <c r="E38" s="359"/>
      <c r="F38" s="359"/>
      <c r="G38" s="356">
        <f>+G36</f>
        <v>50</v>
      </c>
      <c r="H38" s="372">
        <f>-C38*D38*G38</f>
        <v>-220000</v>
      </c>
      <c r="I38" s="25"/>
      <c r="J38" s="25"/>
    </row>
    <row r="39" spans="1:10" s="23" customFormat="1" ht="15.5">
      <c r="A39" s="376" t="s">
        <v>10</v>
      </c>
      <c r="B39" s="359"/>
      <c r="C39" s="357">
        <f>+C38</f>
        <v>400</v>
      </c>
      <c r="D39" s="360">
        <f>+H45</f>
        <v>17.145339120000003</v>
      </c>
      <c r="E39" s="359"/>
      <c r="F39" s="359"/>
      <c r="G39" s="356">
        <f>+G38</f>
        <v>50</v>
      </c>
      <c r="H39" s="372">
        <f>-C39*D39*G39</f>
        <v>-342906.78240000008</v>
      </c>
      <c r="I39" s="25"/>
      <c r="J39" s="25"/>
    </row>
    <row r="40" spans="1:10" s="23" customFormat="1" ht="15.5">
      <c r="A40" s="59"/>
      <c r="B40"/>
      <c r="C40"/>
      <c r="D40" s="12"/>
      <c r="E40" s="18"/>
      <c r="F40" s="14"/>
      <c r="G40" s="12"/>
      <c r="H40" s="373" t="e">
        <f>SUM(H37:H39)</f>
        <v>#REF!</v>
      </c>
      <c r="I40" s="25"/>
      <c r="J40" s="25"/>
    </row>
    <row r="41" spans="1:10" s="23" customFormat="1" ht="15.5">
      <c r="A41" s="59" t="s">
        <v>11</v>
      </c>
      <c r="B41"/>
      <c r="C41"/>
      <c r="D41" s="358">
        <f>+D38</f>
        <v>11</v>
      </c>
      <c r="E41" s="359"/>
      <c r="F41" s="359"/>
      <c r="G41" s="356">
        <f>+G36</f>
        <v>50</v>
      </c>
      <c r="H41" s="377" t="e">
        <f>+H40/D41/G41</f>
        <v>#REF!</v>
      </c>
      <c r="I41" s="25"/>
      <c r="J41" s="25"/>
    </row>
    <row r="42" spans="1:10" s="23" customFormat="1" ht="15.5">
      <c r="A42" s="59"/>
      <c r="B42"/>
      <c r="C42"/>
      <c r="D42" s="12"/>
      <c r="E42" s="18"/>
      <c r="F42" s="14"/>
      <c r="G42" s="12"/>
      <c r="H42" s="378"/>
      <c r="I42" s="25"/>
      <c r="J42" s="25"/>
    </row>
    <row r="43" spans="1:10" s="23" customFormat="1" ht="15.5">
      <c r="A43" s="393" t="s">
        <v>20</v>
      </c>
      <c r="B43"/>
      <c r="C43"/>
      <c r="D43" s="12"/>
      <c r="E43" s="18"/>
      <c r="F43" s="14"/>
      <c r="G43" s="12"/>
      <c r="H43" s="378"/>
      <c r="I43" s="25"/>
      <c r="J43" s="25"/>
    </row>
    <row r="44" spans="1:10" s="23" customFormat="1" ht="15.5">
      <c r="A44" s="59" t="s">
        <v>13</v>
      </c>
      <c r="B44"/>
      <c r="C44"/>
      <c r="D44" s="20"/>
      <c r="E44" s="20"/>
      <c r="G44" s="20"/>
      <c r="H44" s="386">
        <f>+D38</f>
        <v>11</v>
      </c>
      <c r="I44" s="25"/>
      <c r="J44" s="25"/>
    </row>
    <row r="45" spans="1:10" s="23" customFormat="1" ht="15.5">
      <c r="A45" s="376" t="s">
        <v>10</v>
      </c>
      <c r="B45"/>
      <c r="C45"/>
      <c r="D45" s="20"/>
      <c r="E45" s="20"/>
      <c r="G45" s="20"/>
      <c r="H45" s="387">
        <f>+'Den Snabba Analysen'!$H$15/'Den Snabba Analysen'!$C$25*3</f>
        <v>17.145339120000003</v>
      </c>
      <c r="I45" s="25"/>
      <c r="J45" s="25"/>
    </row>
    <row r="46" spans="1:10" s="23" customFormat="1" ht="15.5">
      <c r="A46" s="379" t="s">
        <v>14</v>
      </c>
      <c r="B46"/>
      <c r="C46"/>
      <c r="D46" s="12"/>
      <c r="E46" s="13"/>
      <c r="G46" s="12"/>
      <c r="H46" s="408">
        <f>+H44+H45</f>
        <v>28.145339120000003</v>
      </c>
      <c r="I46" s="25"/>
      <c r="J46" s="25"/>
    </row>
    <row r="47" spans="1:10" s="23" customFormat="1" ht="15.5">
      <c r="A47" s="371" t="s">
        <v>15</v>
      </c>
      <c r="D47" s="22"/>
      <c r="G47" s="22"/>
      <c r="H47" s="377" t="e">
        <f>+F34/H46</f>
        <v>#REF!</v>
      </c>
      <c r="I47" s="25"/>
      <c r="J47" s="25"/>
    </row>
    <row r="48" spans="1:10" s="23" customFormat="1" ht="15.5">
      <c r="A48" s="371"/>
      <c r="D48" s="22"/>
      <c r="F48" s="24"/>
      <c r="G48" s="22"/>
      <c r="H48" s="380"/>
      <c r="I48" s="25"/>
      <c r="J48" s="25"/>
    </row>
    <row r="49" spans="1:10" s="23" customFormat="1" ht="15.5">
      <c r="A49" s="393" t="s">
        <v>16</v>
      </c>
      <c r="B49"/>
      <c r="C49"/>
      <c r="D49" s="358"/>
      <c r="E49" s="13"/>
      <c r="F49" s="26"/>
      <c r="G49" s="12"/>
      <c r="H49" s="372"/>
      <c r="I49" s="25"/>
      <c r="J49" s="25"/>
    </row>
    <row r="50" spans="1:10" s="23" customFormat="1" ht="16" thickBot="1">
      <c r="A50" s="381" t="s">
        <v>17</v>
      </c>
      <c r="B50" s="382"/>
      <c r="C50" s="382"/>
      <c r="D50" s="385">
        <f>+H44</f>
        <v>11</v>
      </c>
      <c r="E50" s="382"/>
      <c r="F50" s="383" t="e">
        <f>+F34</f>
        <v>#REF!</v>
      </c>
      <c r="G50" s="384"/>
      <c r="H50" s="391" t="e">
        <f>+F50/D50</f>
        <v>#REF!</v>
      </c>
      <c r="I50" s="25"/>
      <c r="J50" s="25"/>
    </row>
    <row r="51" spans="1:10" s="23" customFormat="1" ht="16" thickBot="1">
      <c r="D51" s="22"/>
      <c r="E51" s="22"/>
      <c r="F51" s="24"/>
      <c r="G51" s="22"/>
      <c r="H51" s="22"/>
      <c r="I51" s="25"/>
      <c r="J51" s="25"/>
    </row>
    <row r="52" spans="1:10" ht="15.5">
      <c r="A52" s="365" t="s">
        <v>21</v>
      </c>
      <c r="B52" s="394"/>
      <c r="C52" s="394"/>
      <c r="D52" s="404"/>
      <c r="E52" s="367"/>
      <c r="F52" s="405"/>
      <c r="G52" s="404"/>
      <c r="H52" s="406"/>
    </row>
    <row r="53" spans="1:10" ht="15.5">
      <c r="A53" s="392" t="s">
        <v>19</v>
      </c>
      <c r="B53" s="349"/>
      <c r="C53" s="349"/>
      <c r="D53" s="8"/>
      <c r="E53" s="9"/>
      <c r="F53" s="10"/>
      <c r="G53" s="11" t="s">
        <v>3</v>
      </c>
      <c r="H53" s="370"/>
    </row>
    <row r="54" spans="1:10" ht="15.5">
      <c r="A54" s="371" t="s">
        <v>4</v>
      </c>
      <c r="B54" s="824">
        <f>+G54*2.3</f>
        <v>229.99999999999997</v>
      </c>
      <c r="C54" s="824"/>
      <c r="D54" s="12"/>
      <c r="E54" s="13"/>
      <c r="F54" s="14">
        <v>3895</v>
      </c>
      <c r="G54" s="44">
        <v>100</v>
      </c>
      <c r="H54" s="372">
        <f>+F54*G54</f>
        <v>389500</v>
      </c>
    </row>
    <row r="55" spans="1:10">
      <c r="A55" s="59" t="s">
        <v>5</v>
      </c>
      <c r="D55" s="17"/>
      <c r="E55" s="31">
        <f>+E76</f>
        <v>5.8000000000000003E-2</v>
      </c>
      <c r="F55" s="12">
        <f>-F54*E55</f>
        <v>-225.91000000000003</v>
      </c>
      <c r="G55" s="12"/>
      <c r="H55" s="372">
        <f>F55*G54</f>
        <v>-22591.000000000004</v>
      </c>
    </row>
    <row r="56" spans="1:10">
      <c r="A56" s="59" t="s">
        <v>22</v>
      </c>
      <c r="D56" s="12"/>
      <c r="E56" s="13"/>
      <c r="F56" s="45">
        <v>398</v>
      </c>
      <c r="G56" s="12"/>
      <c r="H56" s="372">
        <f>+F56*G54</f>
        <v>39800</v>
      </c>
    </row>
    <row r="57" spans="1:10">
      <c r="A57" s="59" t="s">
        <v>23</v>
      </c>
      <c r="D57" s="12"/>
      <c r="E57" s="31">
        <f>+E55</f>
        <v>5.8000000000000003E-2</v>
      </c>
      <c r="F57" s="12">
        <f>-F56*E57</f>
        <v>-23.084</v>
      </c>
      <c r="G57" s="12"/>
      <c r="H57" s="372">
        <f>F57*G54</f>
        <v>-2308.4</v>
      </c>
    </row>
    <row r="58" spans="1:10">
      <c r="A58" s="653" t="s">
        <v>206</v>
      </c>
      <c r="D58" s="17"/>
      <c r="E58" s="343"/>
      <c r="F58" s="12">
        <f>+((F54+F56)-F55-F57)*G58</f>
        <v>1816.7975999999999</v>
      </c>
      <c r="G58" s="654">
        <v>0.4</v>
      </c>
      <c r="H58" s="372">
        <f>-(H54+H55+H56+H57)*G58</f>
        <v>-161760.24</v>
      </c>
    </row>
    <row r="59" spans="1:10">
      <c r="A59" s="379" t="s">
        <v>6</v>
      </c>
      <c r="D59" s="12"/>
      <c r="E59" s="18"/>
      <c r="F59" s="19">
        <f>SUM(F54+F56)-F58-F55-F57</f>
        <v>2725.1963999999998</v>
      </c>
      <c r="G59" s="12"/>
      <c r="H59" s="373">
        <f>SUM(H54:H58)</f>
        <v>242640.36</v>
      </c>
    </row>
    <row r="60" spans="1:10" s="23" customFormat="1" ht="15.5">
      <c r="A60" s="374" t="s">
        <v>9</v>
      </c>
      <c r="B60" s="359"/>
      <c r="C60" s="361">
        <v>300</v>
      </c>
      <c r="D60" s="364">
        <v>3.5</v>
      </c>
      <c r="E60" s="359"/>
      <c r="F60" s="359"/>
      <c r="G60" s="356">
        <f>+G54</f>
        <v>100</v>
      </c>
      <c r="H60" s="372">
        <f>-C60*D60*G60</f>
        <v>-105000</v>
      </c>
      <c r="I60" s="25"/>
      <c r="J60" s="25"/>
    </row>
    <row r="61" spans="1:10" s="23" customFormat="1" ht="15.5">
      <c r="A61" s="59"/>
      <c r="B61"/>
      <c r="C61"/>
      <c r="D61" s="12"/>
      <c r="E61" s="18"/>
      <c r="F61" s="14"/>
      <c r="G61" s="12"/>
      <c r="H61" s="373">
        <f>SUM(H58:H60)</f>
        <v>-24119.880000000005</v>
      </c>
      <c r="I61" s="25"/>
      <c r="J61" s="25"/>
    </row>
    <row r="62" spans="1:10" s="23" customFormat="1" ht="15.5">
      <c r="A62" s="59" t="s">
        <v>11</v>
      </c>
      <c r="B62"/>
      <c r="C62"/>
      <c r="D62" s="358">
        <f>+D60</f>
        <v>3.5</v>
      </c>
      <c r="E62" s="359"/>
      <c r="F62" s="359"/>
      <c r="G62" s="356">
        <f>+G60</f>
        <v>100</v>
      </c>
      <c r="H62" s="377">
        <f>+H61/D62/G62</f>
        <v>-68.913942857142871</v>
      </c>
      <c r="I62" s="25"/>
      <c r="J62" s="25"/>
    </row>
    <row r="63" spans="1:10">
      <c r="A63" s="59"/>
      <c r="D63" s="12"/>
      <c r="E63" s="18"/>
      <c r="F63" s="14"/>
      <c r="G63" s="12"/>
      <c r="H63" s="378"/>
    </row>
    <row r="64" spans="1:10" ht="15.5">
      <c r="A64" s="393" t="s">
        <v>20</v>
      </c>
      <c r="D64" s="12"/>
      <c r="E64" s="18"/>
      <c r="F64" s="14"/>
      <c r="G64" s="12"/>
      <c r="H64" s="378"/>
    </row>
    <row r="65" spans="1:10">
      <c r="A65" s="59" t="s">
        <v>13</v>
      </c>
      <c r="D65" s="20"/>
      <c r="E65" s="20"/>
      <c r="F65" s="47"/>
      <c r="G65" s="20"/>
      <c r="H65" s="358">
        <f>+D60</f>
        <v>3.5</v>
      </c>
    </row>
    <row r="66" spans="1:10" s="23" customFormat="1" ht="15.5">
      <c r="A66" s="376" t="s">
        <v>24</v>
      </c>
      <c r="B66"/>
      <c r="C66"/>
      <c r="D66" s="20"/>
      <c r="E66" s="20"/>
      <c r="G66" s="20"/>
      <c r="H66" s="387">
        <f>+D16</f>
        <v>5.7151130400000012</v>
      </c>
      <c r="I66" s="25"/>
      <c r="J66" s="25"/>
    </row>
    <row r="67" spans="1:10">
      <c r="A67" s="379" t="s">
        <v>14</v>
      </c>
      <c r="B67" s="60"/>
      <c r="C67" s="60"/>
      <c r="D67" s="13"/>
      <c r="E67" s="13"/>
      <c r="F67" s="47"/>
      <c r="G67" s="13"/>
      <c r="H67" s="409">
        <f>+H65+H66</f>
        <v>9.2151130400000021</v>
      </c>
    </row>
    <row r="68" spans="1:10" ht="15.5">
      <c r="A68" s="371" t="s">
        <v>25</v>
      </c>
      <c r="B68" s="23"/>
      <c r="C68" s="23"/>
      <c r="D68" s="22"/>
      <c r="E68" s="23"/>
      <c r="F68" s="47"/>
      <c r="G68" s="22"/>
      <c r="H68" s="389">
        <f>+F59/H67</f>
        <v>295.73119593549762</v>
      </c>
    </row>
    <row r="69" spans="1:10" ht="15.5">
      <c r="A69" s="371"/>
      <c r="B69" s="23"/>
      <c r="C69" s="23"/>
      <c r="D69" s="22"/>
      <c r="E69" s="23"/>
      <c r="F69" s="47"/>
      <c r="G69" s="22"/>
      <c r="H69" s="389"/>
    </row>
    <row r="70" spans="1:10" ht="15.5">
      <c r="A70" s="393" t="s">
        <v>16</v>
      </c>
      <c r="B70" s="29"/>
      <c r="C70" s="29"/>
      <c r="D70" s="33"/>
      <c r="E70" s="22"/>
      <c r="F70" s="47"/>
      <c r="G70" s="33"/>
      <c r="H70" s="407"/>
    </row>
    <row r="71" spans="1:10" ht="16" thickBot="1">
      <c r="A71" s="381" t="s">
        <v>26</v>
      </c>
      <c r="B71" s="382"/>
      <c r="C71" s="382"/>
      <c r="D71" s="385">
        <f>+H65</f>
        <v>3.5</v>
      </c>
      <c r="E71" s="383"/>
      <c r="F71" s="383">
        <f>+F59</f>
        <v>2725.1963999999998</v>
      </c>
      <c r="G71" s="384"/>
      <c r="H71" s="390">
        <f>+F71/D71</f>
        <v>778.62754285714277</v>
      </c>
    </row>
    <row r="72" spans="1:10" s="23" customFormat="1" ht="16" thickBot="1">
      <c r="D72" s="22"/>
      <c r="E72" s="22"/>
      <c r="F72" s="24"/>
      <c r="G72" s="22"/>
      <c r="H72" s="22"/>
      <c r="I72" s="25"/>
      <c r="J72" s="25"/>
    </row>
    <row r="73" spans="1:10" ht="15.5">
      <c r="A73" s="365" t="s">
        <v>27</v>
      </c>
      <c r="B73" s="394"/>
      <c r="C73" s="394"/>
      <c r="D73" s="395"/>
      <c r="E73" s="395"/>
      <c r="F73" s="396"/>
      <c r="G73" s="397"/>
      <c r="H73" s="398"/>
    </row>
    <row r="74" spans="1:10" ht="15.5">
      <c r="A74" s="392" t="s">
        <v>19</v>
      </c>
      <c r="B74" s="349"/>
      <c r="C74" s="349"/>
      <c r="D74" s="8"/>
      <c r="E74" s="9"/>
      <c r="F74" s="10"/>
      <c r="G74" s="11" t="s">
        <v>3</v>
      </c>
      <c r="H74" s="370"/>
    </row>
    <row r="75" spans="1:10" ht="15.5">
      <c r="A75" s="371" t="s">
        <v>27</v>
      </c>
      <c r="B75" s="23"/>
      <c r="C75" s="23"/>
      <c r="D75" s="12"/>
      <c r="E75" s="13"/>
      <c r="F75" s="30">
        <v>7863.5</v>
      </c>
      <c r="G75" s="345">
        <v>0</v>
      </c>
      <c r="H75" s="372">
        <f>+F75*G75</f>
        <v>0</v>
      </c>
    </row>
    <row r="76" spans="1:10">
      <c r="A76" s="59" t="s">
        <v>28</v>
      </c>
      <c r="D76" s="18"/>
      <c r="E76" s="31">
        <f>+E32</f>
        <v>5.8000000000000003E-2</v>
      </c>
      <c r="F76" s="12">
        <f>-F75*E76</f>
        <v>-456.08300000000003</v>
      </c>
      <c r="G76" s="12"/>
      <c r="H76" s="372">
        <f>+F76*G75</f>
        <v>0</v>
      </c>
    </row>
    <row r="77" spans="1:10">
      <c r="A77" s="379" t="s">
        <v>6</v>
      </c>
      <c r="B77" s="60"/>
      <c r="C77" s="60"/>
      <c r="D77" s="12"/>
      <c r="E77" s="18"/>
      <c r="F77" s="19">
        <f>SUM(F75:F76)</f>
        <v>7407.4170000000004</v>
      </c>
      <c r="G77" s="12"/>
      <c r="H77" s="373">
        <f>SUM(H75:H76)</f>
        <v>0</v>
      </c>
    </row>
    <row r="78" spans="1:10">
      <c r="A78" s="379"/>
      <c r="B78" s="60"/>
      <c r="C78" s="60"/>
      <c r="D78" s="12"/>
      <c r="E78" s="18"/>
      <c r="F78" s="14"/>
      <c r="G78" s="12"/>
      <c r="H78" s="378"/>
    </row>
    <row r="79" spans="1:10" ht="15.5">
      <c r="A79" s="393" t="s">
        <v>20</v>
      </c>
      <c r="B79" s="60"/>
      <c r="C79" s="60"/>
      <c r="D79" s="12"/>
      <c r="E79" s="18"/>
      <c r="F79" s="14"/>
      <c r="G79" s="12"/>
      <c r="H79" s="378"/>
    </row>
    <row r="80" spans="1:10">
      <c r="A80" s="59" t="s">
        <v>13</v>
      </c>
      <c r="D80" s="20"/>
      <c r="E80" s="20"/>
      <c r="F80" s="47"/>
      <c r="G80" s="12"/>
      <c r="H80" s="399">
        <f>+D41</f>
        <v>11</v>
      </c>
    </row>
    <row r="81" spans="1:10" s="23" customFormat="1" ht="15.5">
      <c r="A81" s="376" t="s">
        <v>24</v>
      </c>
      <c r="B81"/>
      <c r="C81"/>
      <c r="D81" s="20"/>
      <c r="E81" s="20"/>
      <c r="G81" s="20"/>
      <c r="H81" s="387">
        <f>+('Den Snabba Analysen'!$H$15/'Den Snabba Analysen'!$C$25)*6</f>
        <v>34.290678240000005</v>
      </c>
      <c r="I81" s="25"/>
      <c r="J81" s="25"/>
    </row>
    <row r="82" spans="1:10">
      <c r="A82" s="59" t="s">
        <v>14</v>
      </c>
      <c r="D82" s="12"/>
      <c r="E82" s="13"/>
      <c r="F82" s="47"/>
      <c r="G82" s="12"/>
      <c r="H82" s="400">
        <f>+H80+H81</f>
        <v>45.290678240000005</v>
      </c>
    </row>
    <row r="83" spans="1:10" ht="15.5">
      <c r="A83" s="371" t="s">
        <v>25</v>
      </c>
      <c r="B83" s="23"/>
      <c r="C83" s="23"/>
      <c r="D83" s="22"/>
      <c r="E83" s="23"/>
      <c r="F83" s="47"/>
      <c r="G83" s="22"/>
      <c r="H83" s="401">
        <f>+F75/H82</f>
        <v>173.62292430973318</v>
      </c>
    </row>
    <row r="84" spans="1:10" ht="15.5">
      <c r="A84" s="371"/>
      <c r="B84" s="23"/>
      <c r="C84" s="23"/>
      <c r="D84" s="22"/>
      <c r="E84" s="23"/>
      <c r="F84" s="47"/>
      <c r="G84" s="22"/>
      <c r="H84" s="401"/>
    </row>
    <row r="85" spans="1:10" ht="15.5">
      <c r="A85" s="393" t="s">
        <v>16</v>
      </c>
      <c r="B85" s="29"/>
      <c r="C85" s="29"/>
      <c r="D85" s="33"/>
      <c r="E85" s="22"/>
      <c r="F85" s="47"/>
      <c r="G85" s="33"/>
      <c r="H85" s="402"/>
    </row>
    <row r="86" spans="1:10" ht="16" thickBot="1">
      <c r="A86" s="381" t="s">
        <v>26</v>
      </c>
      <c r="B86" s="382"/>
      <c r="C86" s="382"/>
      <c r="D86" s="385">
        <f>+[3]Telt!F67</f>
        <v>11</v>
      </c>
      <c r="E86" s="383"/>
      <c r="F86" s="383">
        <f>+F77</f>
        <v>7407.4170000000004</v>
      </c>
      <c r="G86" s="384"/>
      <c r="H86" s="403">
        <f>+F86/D86</f>
        <v>673.4015454545455</v>
      </c>
    </row>
    <row r="87" spans="1:10" ht="15.5">
      <c r="A87" s="23"/>
      <c r="B87" s="23"/>
      <c r="C87" s="23"/>
      <c r="D87" s="33"/>
      <c r="E87" s="33"/>
      <c r="F87" s="32"/>
      <c r="G87" s="22"/>
      <c r="H87" s="22"/>
    </row>
    <row r="88" spans="1:10" s="40" customFormat="1" ht="18.5">
      <c r="A88" s="34" t="s">
        <v>29</v>
      </c>
      <c r="B88" s="53"/>
      <c r="C88" s="53"/>
      <c r="D88" s="35"/>
      <c r="E88" s="35"/>
      <c r="F88" s="36"/>
      <c r="G88" s="37"/>
      <c r="H88" s="38" t="e">
        <f>+H77+H34+H59+H11</f>
        <v>#REF!</v>
      </c>
      <c r="I88" s="39"/>
      <c r="J88" s="39"/>
    </row>
    <row r="89" spans="1:10" ht="15.5">
      <c r="A89" s="23"/>
      <c r="B89" s="23"/>
      <c r="C89" s="23"/>
      <c r="D89" s="33"/>
      <c r="E89" s="33"/>
      <c r="F89" s="32"/>
      <c r="G89" s="22"/>
      <c r="H89" s="22"/>
    </row>
    <row r="90" spans="1:10" ht="15.5">
      <c r="A90" s="23"/>
      <c r="B90" s="23"/>
      <c r="C90" s="23"/>
      <c r="D90" s="33"/>
      <c r="E90" s="33"/>
      <c r="F90" s="24"/>
      <c r="G90" s="22"/>
      <c r="H90" s="22"/>
      <c r="I90" s="12"/>
      <c r="J90" s="12"/>
    </row>
    <row r="91" spans="1:10" ht="17.5">
      <c r="A91" s="46" t="s">
        <v>30</v>
      </c>
      <c r="B91" s="351"/>
      <c r="C91" s="351"/>
      <c r="D91" s="41"/>
      <c r="E91" s="7"/>
      <c r="F91" s="42"/>
      <c r="G91" s="41"/>
      <c r="H91" s="43"/>
      <c r="I91"/>
      <c r="J91"/>
    </row>
    <row r="92" spans="1:10">
      <c r="A92" s="16" t="s">
        <v>311</v>
      </c>
      <c r="D92" s="12"/>
      <c r="E92" s="13"/>
      <c r="F92" s="47"/>
      <c r="G92" s="12"/>
      <c r="H92" s="15"/>
      <c r="I92"/>
      <c r="J92"/>
    </row>
    <row r="93" spans="1:10" ht="16.5">
      <c r="A93" s="16" t="s">
        <v>31</v>
      </c>
      <c r="D93" s="12"/>
      <c r="E93" s="13"/>
      <c r="F93" s="47"/>
      <c r="G93" s="12"/>
      <c r="H93" s="15"/>
    </row>
    <row r="94" spans="1:10">
      <c r="A94" s="822" t="s">
        <v>32</v>
      </c>
      <c r="B94" s="823"/>
      <c r="C94" s="823"/>
      <c r="D94" s="823"/>
      <c r="E94" s="823"/>
      <c r="F94" s="823"/>
      <c r="G94" s="823"/>
      <c r="H94" s="48"/>
      <c r="J94" s="410" t="s">
        <v>33</v>
      </c>
    </row>
    <row r="97" spans="1:10" ht="15.5">
      <c r="A97" s="28" t="s">
        <v>34</v>
      </c>
      <c r="B97" s="350"/>
      <c r="C97" s="350"/>
      <c r="D97" s="41"/>
      <c r="E97" s="7"/>
      <c r="F97" s="42"/>
      <c r="G97" s="41"/>
      <c r="H97" s="43"/>
    </row>
    <row r="98" spans="1:10">
      <c r="A98" s="16" t="s">
        <v>35</v>
      </c>
      <c r="D98" s="346">
        <v>13</v>
      </c>
      <c r="E98" s="13"/>
      <c r="F98" s="47"/>
      <c r="G98" s="12"/>
      <c r="H98" s="15"/>
    </row>
    <row r="99" spans="1:10">
      <c r="A99" s="16" t="s">
        <v>36</v>
      </c>
      <c r="D99" s="49">
        <f>+G54+G75+G31+G8</f>
        <v>250</v>
      </c>
      <c r="E99" s="13"/>
      <c r="F99" s="47"/>
      <c r="G99" s="12"/>
      <c r="H99" s="15"/>
    </row>
    <row r="100" spans="1:10">
      <c r="A100" s="50" t="s">
        <v>37</v>
      </c>
      <c r="B100" s="352"/>
      <c r="C100" s="352"/>
      <c r="D100" s="30">
        <f>+D98*D99</f>
        <v>3250</v>
      </c>
      <c r="E100" s="13"/>
      <c r="F100" s="47"/>
      <c r="G100" s="12"/>
      <c r="H100" s="15"/>
    </row>
    <row r="101" spans="1:10">
      <c r="A101" s="16" t="s">
        <v>208</v>
      </c>
      <c r="D101" s="12"/>
      <c r="E101" s="13"/>
      <c r="F101" s="47"/>
      <c r="G101" s="12"/>
      <c r="H101" s="15"/>
      <c r="I101"/>
      <c r="J101"/>
    </row>
    <row r="102" spans="1:10">
      <c r="A102" s="347" t="s">
        <v>38</v>
      </c>
      <c r="B102" s="353"/>
      <c r="C102" s="353"/>
      <c r="D102" s="348">
        <f>+D98/30</f>
        <v>0.43333333333333335</v>
      </c>
      <c r="E102" s="27"/>
      <c r="F102" s="51"/>
      <c r="G102" s="52"/>
      <c r="H102" s="48"/>
      <c r="I102"/>
      <c r="J102"/>
    </row>
    <row r="104" spans="1:10" ht="18.5">
      <c r="A104" s="34" t="s">
        <v>207</v>
      </c>
      <c r="B104" s="53"/>
      <c r="C104" s="53"/>
      <c r="D104" s="41"/>
      <c r="E104" s="7"/>
      <c r="F104" s="42"/>
      <c r="G104" s="41"/>
      <c r="H104" s="43"/>
      <c r="I104"/>
      <c r="J104"/>
    </row>
    <row r="106" spans="1:10">
      <c r="A106" t="s">
        <v>203</v>
      </c>
    </row>
    <row r="107" spans="1:10">
      <c r="A107" t="s">
        <v>204</v>
      </c>
    </row>
    <row r="108" spans="1:10">
      <c r="A108" s="652" t="s">
        <v>205</v>
      </c>
    </row>
  </sheetData>
  <mergeCells count="2">
    <mergeCell ref="A94:G94"/>
    <mergeCell ref="B54:C54"/>
  </mergeCells>
  <hyperlinks>
    <hyperlink ref="J94" r:id="rId1" xr:uid="{00000000-0004-0000-0000-000000000000}"/>
    <hyperlink ref="A108" r:id="rId2" xr:uid="{00000000-0004-0000-0000-000001000000}"/>
  </hyperlinks>
  <pageMargins left="0.25" right="0.25" top="0.75" bottom="0.75" header="0.3" footer="0.3"/>
  <pageSetup paperSize="9" scale="56" fitToHeight="0" orientation="portrait"/>
  <rowBreaks count="1" manualBreakCount="1">
    <brk id="88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20"/>
  <sheetViews>
    <sheetView tabSelected="1" topLeftCell="B1" zoomScale="110" zoomScaleNormal="110" workbookViewId="0">
      <selection activeCell="Q37" sqref="Q37"/>
    </sheetView>
  </sheetViews>
  <sheetFormatPr defaultColWidth="8.81640625" defaultRowHeight="14.5"/>
  <cols>
    <col min="1" max="1" width="3.81640625" hidden="1" customWidth="1"/>
    <col min="2" max="2" width="34.08984375" customWidth="1"/>
    <col min="3" max="3" width="15.453125" customWidth="1"/>
    <col min="4" max="4" width="15" customWidth="1"/>
    <col min="5" max="5" width="4" bestFit="1" customWidth="1"/>
    <col min="6" max="6" width="47.81640625" customWidth="1"/>
    <col min="7" max="7" width="21.08984375" customWidth="1"/>
    <col min="8" max="8" width="19.1796875" bestFit="1" customWidth="1"/>
    <col min="9" max="9" width="3" hidden="1" customWidth="1"/>
    <col min="10" max="14" width="15.453125" hidden="1" customWidth="1"/>
    <col min="15" max="15" width="12.453125" hidden="1" customWidth="1"/>
    <col min="16" max="16" width="12.1796875" bestFit="1" customWidth="1"/>
    <col min="17" max="17" width="58" customWidth="1"/>
    <col min="20" max="20" width="8.81640625" customWidth="1"/>
  </cols>
  <sheetData>
    <row r="1" spans="1:22" s="40" customFormat="1" ht="18.5">
      <c r="A1"/>
      <c r="B1" s="619" t="s">
        <v>320</v>
      </c>
      <c r="C1" s="620"/>
      <c r="D1" s="620"/>
      <c r="E1" s="620"/>
      <c r="F1" s="620"/>
      <c r="G1" s="620"/>
      <c r="H1" s="621"/>
      <c r="J1" s="54"/>
      <c r="K1" s="54"/>
      <c r="L1" s="54"/>
      <c r="M1" s="54"/>
      <c r="N1" s="54"/>
      <c r="O1" s="54"/>
    </row>
    <row r="2" spans="1:22" ht="15" customHeight="1">
      <c r="B2" s="16" t="s">
        <v>351</v>
      </c>
      <c r="H2" s="622"/>
      <c r="J2" s="831" t="s">
        <v>39</v>
      </c>
      <c r="K2" s="831"/>
      <c r="L2" s="831"/>
      <c r="M2" s="831"/>
      <c r="N2" s="831"/>
      <c r="O2" s="831"/>
      <c r="Q2" s="831" t="s">
        <v>355</v>
      </c>
      <c r="R2" s="831"/>
      <c r="S2" s="831"/>
      <c r="T2" s="831"/>
      <c r="U2" s="831"/>
      <c r="V2" s="831"/>
    </row>
    <row r="3" spans="1:22" ht="15" customHeight="1">
      <c r="B3" s="16"/>
      <c r="H3" s="622"/>
      <c r="J3" s="831"/>
      <c r="K3" s="831"/>
      <c r="L3" s="831"/>
      <c r="M3" s="831"/>
      <c r="N3" s="831"/>
      <c r="O3" s="831"/>
      <c r="Q3" s="831"/>
      <c r="R3" s="831"/>
      <c r="S3" s="831"/>
      <c r="T3" s="831"/>
      <c r="U3" s="831"/>
      <c r="V3" s="831"/>
    </row>
    <row r="4" spans="1:22" ht="15" customHeight="1">
      <c r="B4" s="16"/>
      <c r="F4" s="730">
        <f>+C8</f>
        <v>1200</v>
      </c>
      <c r="G4" s="836" t="s">
        <v>454</v>
      </c>
      <c r="H4" s="837"/>
      <c r="J4" s="832" t="s">
        <v>40</v>
      </c>
      <c r="K4" s="832"/>
      <c r="L4" s="832"/>
      <c r="M4" s="832"/>
      <c r="N4" s="832"/>
      <c r="O4" s="832"/>
      <c r="Q4" s="832" t="s">
        <v>356</v>
      </c>
      <c r="R4" s="832"/>
      <c r="S4" s="832"/>
      <c r="T4" s="832"/>
      <c r="U4" s="832"/>
      <c r="V4" s="832"/>
    </row>
    <row r="5" spans="1:22" ht="20" thickBot="1">
      <c r="B5" s="623" t="s">
        <v>321</v>
      </c>
      <c r="F5" s="635" t="s">
        <v>333</v>
      </c>
      <c r="G5" s="636" t="s">
        <v>14</v>
      </c>
      <c r="H5" s="624" t="s">
        <v>437</v>
      </c>
      <c r="J5" s="55">
        <f>30+C25</f>
        <v>150</v>
      </c>
      <c r="K5" s="55">
        <f>30+J5</f>
        <v>180</v>
      </c>
      <c r="L5" s="55">
        <f t="shared" ref="L5:O5" si="0">30+K5</f>
        <v>210</v>
      </c>
      <c r="M5" s="55">
        <f t="shared" si="0"/>
        <v>240</v>
      </c>
      <c r="N5" s="55">
        <f t="shared" si="0"/>
        <v>270</v>
      </c>
      <c r="O5" s="55">
        <f t="shared" si="0"/>
        <v>300</v>
      </c>
      <c r="Q5" s="55" t="s">
        <v>357</v>
      </c>
      <c r="R5" s="55"/>
    </row>
    <row r="6" spans="1:22" ht="15.5">
      <c r="B6" s="56" t="s">
        <v>323</v>
      </c>
      <c r="C6" s="825" t="s">
        <v>322</v>
      </c>
      <c r="D6" s="826"/>
      <c r="F6" s="637" t="s">
        <v>334</v>
      </c>
      <c r="G6" s="709">
        <f>+C8*B58*C25</f>
        <v>287006.89655172417</v>
      </c>
      <c r="H6" s="731">
        <f>+G6/$C$8</f>
        <v>239.17241379310349</v>
      </c>
      <c r="J6" s="57" t="e">
        <f>+J5/$G$4*$H$6</f>
        <v>#VALUE!</v>
      </c>
      <c r="K6" s="57" t="e">
        <f t="shared" ref="K6:O6" si="1">+K5/$G$4*$H$6</f>
        <v>#VALUE!</v>
      </c>
      <c r="L6" s="57" t="e">
        <f t="shared" si="1"/>
        <v>#VALUE!</v>
      </c>
      <c r="M6" s="57" t="e">
        <f t="shared" si="1"/>
        <v>#VALUE!</v>
      </c>
      <c r="N6" s="57" t="e">
        <f t="shared" si="1"/>
        <v>#VALUE!</v>
      </c>
      <c r="O6" s="57" t="e">
        <f t="shared" si="1"/>
        <v>#VALUE!</v>
      </c>
    </row>
    <row r="7" spans="1:22" ht="29">
      <c r="B7" s="503" t="s">
        <v>324</v>
      </c>
      <c r="C7" s="58">
        <v>15</v>
      </c>
      <c r="D7" s="625" t="s">
        <v>42</v>
      </c>
      <c r="F7" s="16" t="s">
        <v>441</v>
      </c>
      <c r="G7" s="708">
        <f>+C8*(F61+F63)</f>
        <v>196551.72413793104</v>
      </c>
      <c r="H7" s="732">
        <f t="shared" ref="H7:H9" si="2">+G7/$C$8</f>
        <v>163.79310344827587</v>
      </c>
      <c r="J7" s="57">
        <f>+H7</f>
        <v>163.79310344827587</v>
      </c>
      <c r="K7" s="57">
        <f>+J7</f>
        <v>163.79310344827587</v>
      </c>
      <c r="L7" s="57">
        <f t="shared" ref="L7:O8" si="3">+K7</f>
        <v>163.79310344827587</v>
      </c>
      <c r="M7" s="57">
        <f t="shared" si="3"/>
        <v>163.79310344827587</v>
      </c>
      <c r="N7" s="57">
        <f t="shared" si="3"/>
        <v>163.79310344827587</v>
      </c>
      <c r="O7" s="57">
        <f t="shared" si="3"/>
        <v>163.79310344827587</v>
      </c>
      <c r="Q7" t="s">
        <v>352</v>
      </c>
    </row>
    <row r="8" spans="1:22" ht="16" thickBot="1">
      <c r="B8" s="56" t="s">
        <v>325</v>
      </c>
      <c r="C8" s="821">
        <v>1200</v>
      </c>
      <c r="D8" s="625"/>
      <c r="F8" s="638" t="s">
        <v>442</v>
      </c>
      <c r="G8" s="711">
        <f>+C8*(F62+F64)</f>
        <v>91862.068965517261</v>
      </c>
      <c r="H8" s="733">
        <f t="shared" si="2"/>
        <v>76.551724137931046</v>
      </c>
      <c r="J8" s="57">
        <f>+H8</f>
        <v>76.551724137931046</v>
      </c>
      <c r="K8" s="57">
        <f>+J8</f>
        <v>76.551724137931046</v>
      </c>
      <c r="L8" s="57">
        <f t="shared" si="3"/>
        <v>76.551724137931046</v>
      </c>
      <c r="M8" s="57">
        <f t="shared" si="3"/>
        <v>76.551724137931046</v>
      </c>
      <c r="N8" s="57">
        <f t="shared" si="3"/>
        <v>76.551724137931046</v>
      </c>
      <c r="O8" s="57">
        <f t="shared" si="3"/>
        <v>76.551724137931046</v>
      </c>
    </row>
    <row r="9" spans="1:22" ht="17" thickBot="1">
      <c r="B9" s="56" t="s">
        <v>438</v>
      </c>
      <c r="C9" s="760">
        <v>2.9</v>
      </c>
      <c r="D9" s="625"/>
      <c r="F9" s="814" t="s">
        <v>443</v>
      </c>
      <c r="G9" s="812">
        <f>SUM(G6:G8)</f>
        <v>575420.68965517241</v>
      </c>
      <c r="H9" s="815">
        <f t="shared" si="2"/>
        <v>479.51724137931035</v>
      </c>
      <c r="J9" s="61" t="e">
        <f>SUM(J6:J8)</f>
        <v>#VALUE!</v>
      </c>
      <c r="K9" s="61" t="e">
        <f t="shared" ref="K9:O9" si="4">SUM(K6:K8)</f>
        <v>#VALUE!</v>
      </c>
      <c r="L9" s="61" t="e">
        <f t="shared" si="4"/>
        <v>#VALUE!</v>
      </c>
      <c r="M9" s="61" t="e">
        <f t="shared" si="4"/>
        <v>#VALUE!</v>
      </c>
      <c r="N9" s="61" t="e">
        <f t="shared" si="4"/>
        <v>#VALUE!</v>
      </c>
      <c r="O9" s="61" t="e">
        <f t="shared" si="4"/>
        <v>#VALUE!</v>
      </c>
      <c r="Q9" s="633" t="s">
        <v>354</v>
      </c>
      <c r="R9" s="633"/>
      <c r="S9" s="633"/>
      <c r="T9" s="633"/>
      <c r="U9" s="633"/>
      <c r="V9" s="633"/>
    </row>
    <row r="10" spans="1:22" ht="17" thickBot="1">
      <c r="B10" s="625"/>
      <c r="C10" s="625"/>
      <c r="D10" s="625"/>
      <c r="F10" s="56" t="s">
        <v>438</v>
      </c>
      <c r="G10" s="712">
        <f>+D67</f>
        <v>2.9</v>
      </c>
      <c r="H10" s="627"/>
      <c r="J10" s="63"/>
      <c r="K10" s="63"/>
      <c r="L10" s="63"/>
      <c r="M10" s="63"/>
      <c r="N10" s="63"/>
      <c r="O10" s="63"/>
      <c r="Q10" s="633" t="s">
        <v>353</v>
      </c>
      <c r="R10" s="633"/>
      <c r="S10" s="633"/>
      <c r="T10" s="633"/>
      <c r="U10" s="633"/>
      <c r="V10" s="633"/>
    </row>
    <row r="11" spans="1:22" ht="16" thickBot="1">
      <c r="B11" s="626" t="s">
        <v>326</v>
      </c>
      <c r="F11" s="16"/>
      <c r="H11" s="627"/>
      <c r="J11" s="63"/>
      <c r="K11" s="63"/>
      <c r="L11" s="63"/>
      <c r="M11" s="63"/>
      <c r="N11" s="63"/>
      <c r="O11" s="63"/>
      <c r="Q11" s="633" t="s">
        <v>358</v>
      </c>
      <c r="R11" s="633"/>
      <c r="S11" s="633"/>
      <c r="T11" s="633"/>
      <c r="U11" s="633"/>
      <c r="V11" s="633"/>
    </row>
    <row r="12" spans="1:22" ht="15.5">
      <c r="B12" s="56" t="s">
        <v>43</v>
      </c>
      <c r="C12" s="62"/>
      <c r="F12" s="827" t="s">
        <v>335</v>
      </c>
      <c r="G12" s="829">
        <f>+'Värmeberäknare för Den Snabba  '!W84</f>
        <v>186193.72800000003</v>
      </c>
      <c r="H12" s="628"/>
      <c r="J12" s="63"/>
      <c r="K12" s="63"/>
      <c r="L12" s="63"/>
      <c r="M12" s="63"/>
      <c r="N12" s="63"/>
      <c r="O12" s="63"/>
    </row>
    <row r="13" spans="1:22" ht="15.5">
      <c r="B13" s="56" t="s">
        <v>45</v>
      </c>
      <c r="C13" s="62"/>
      <c r="F13" s="828"/>
      <c r="G13" s="830"/>
      <c r="H13" s="627"/>
      <c r="J13" s="63"/>
      <c r="K13" s="63"/>
      <c r="L13" s="63"/>
      <c r="M13" s="63"/>
      <c r="N13" s="63"/>
      <c r="O13" s="63"/>
    </row>
    <row r="14" spans="1:22" ht="16" thickBot="1">
      <c r="B14" s="56" t="s">
        <v>46</v>
      </c>
      <c r="C14" s="62"/>
      <c r="F14" s="639" t="s">
        <v>336</v>
      </c>
      <c r="G14" s="713">
        <v>4.42</v>
      </c>
      <c r="H14" s="629"/>
      <c r="J14" s="64" t="s">
        <v>49</v>
      </c>
      <c r="K14" s="63"/>
      <c r="L14" s="63"/>
      <c r="M14" s="63"/>
      <c r="N14" s="63"/>
      <c r="O14" s="63"/>
    </row>
    <row r="15" spans="1:22" ht="16" thickBot="1">
      <c r="B15" s="56" t="s">
        <v>47</v>
      </c>
      <c r="C15" s="62" t="s">
        <v>44</v>
      </c>
      <c r="F15" s="813" t="s">
        <v>337</v>
      </c>
      <c r="G15" s="809">
        <f>+G14*G12</f>
        <v>822976.27776000008</v>
      </c>
      <c r="H15" s="810">
        <f>+G15/$C$8</f>
        <v>685.81356480000011</v>
      </c>
      <c r="J15" s="61" t="e">
        <f>+$H$15*J5/$G$4</f>
        <v>#VALUE!</v>
      </c>
      <c r="K15" s="61" t="e">
        <f t="shared" ref="K15:O15" si="5">+$H$15*K5/$G$4</f>
        <v>#VALUE!</v>
      </c>
      <c r="L15" s="61" t="e">
        <f t="shared" si="5"/>
        <v>#VALUE!</v>
      </c>
      <c r="M15" s="61" t="e">
        <f t="shared" si="5"/>
        <v>#VALUE!</v>
      </c>
      <c r="N15" s="61" t="e">
        <f t="shared" si="5"/>
        <v>#VALUE!</v>
      </c>
      <c r="O15" s="61" t="e">
        <f t="shared" si="5"/>
        <v>#VALUE!</v>
      </c>
    </row>
    <row r="16" spans="1:22" ht="16" thickBot="1">
      <c r="B16" s="56" t="s">
        <v>327</v>
      </c>
      <c r="C16" s="62" t="s">
        <v>44</v>
      </c>
      <c r="F16" s="16"/>
      <c r="H16" s="627"/>
      <c r="J16" s="63"/>
      <c r="K16" s="63"/>
      <c r="L16" s="63"/>
      <c r="M16" s="63"/>
      <c r="N16" s="63"/>
      <c r="O16" s="63"/>
    </row>
    <row r="17" spans="2:15" ht="16" thickBot="1">
      <c r="B17" s="56" t="s">
        <v>328</v>
      </c>
      <c r="C17" s="62" t="s">
        <v>44</v>
      </c>
      <c r="F17" s="811" t="s">
        <v>338</v>
      </c>
      <c r="G17" s="812">
        <f>+G9-G15</f>
        <v>-247555.58810482768</v>
      </c>
      <c r="H17" s="810">
        <f>+H9-H15</f>
        <v>-206.29632342068976</v>
      </c>
      <c r="J17" s="61" t="e">
        <f>+J9-J15</f>
        <v>#VALUE!</v>
      </c>
      <c r="K17" s="61" t="e">
        <f t="shared" ref="K17:O17" si="6">+K9-K15</f>
        <v>#VALUE!</v>
      </c>
      <c r="L17" s="61" t="e">
        <f t="shared" si="6"/>
        <v>#VALUE!</v>
      </c>
      <c r="M17" s="61" t="e">
        <f t="shared" si="6"/>
        <v>#VALUE!</v>
      </c>
      <c r="N17" s="61" t="e">
        <f t="shared" si="6"/>
        <v>#VALUE!</v>
      </c>
      <c r="O17" s="61" t="e">
        <f t="shared" si="6"/>
        <v>#VALUE!</v>
      </c>
    </row>
    <row r="18" spans="2:15" ht="15.5">
      <c r="B18" s="56" t="s">
        <v>329</v>
      </c>
      <c r="C18" s="62" t="s">
        <v>44</v>
      </c>
      <c r="F18" s="640" t="s">
        <v>339</v>
      </c>
      <c r="G18" s="354"/>
      <c r="H18" s="641"/>
      <c r="J18" s="65" t="s">
        <v>54</v>
      </c>
      <c r="K18" s="63"/>
      <c r="L18" s="63"/>
      <c r="M18" s="63"/>
      <c r="N18" s="63"/>
      <c r="O18" s="63"/>
    </row>
    <row r="19" spans="2:15" ht="15" customHeight="1">
      <c r="B19" s="56" t="s">
        <v>52</v>
      </c>
      <c r="C19" s="62"/>
      <c r="H19" s="627"/>
      <c r="J19" s="65" t="s">
        <v>56</v>
      </c>
      <c r="K19" s="63"/>
      <c r="L19" s="63"/>
      <c r="M19" s="63"/>
      <c r="N19" s="63"/>
      <c r="O19" s="63"/>
    </row>
    <row r="20" spans="2:15" ht="15.5">
      <c r="B20" s="56" t="s">
        <v>53</v>
      </c>
      <c r="C20" s="62"/>
      <c r="H20" s="627"/>
      <c r="J20" s="65" t="s">
        <v>58</v>
      </c>
      <c r="K20" s="63"/>
      <c r="L20" s="63"/>
      <c r="M20" s="63"/>
      <c r="N20" s="63"/>
      <c r="O20" s="63"/>
    </row>
    <row r="21" spans="2:15" ht="17.5" thickBot="1">
      <c r="B21" s="56" t="s">
        <v>55</v>
      </c>
      <c r="C21" s="62"/>
      <c r="F21" s="833" t="s">
        <v>340</v>
      </c>
      <c r="G21" s="834"/>
      <c r="H21" s="835"/>
      <c r="J21" s="63"/>
      <c r="K21" s="63"/>
      <c r="L21" s="63"/>
      <c r="M21" s="63"/>
      <c r="N21" s="63"/>
      <c r="O21" s="63"/>
    </row>
    <row r="22" spans="2:15">
      <c r="B22" s="56" t="s">
        <v>57</v>
      </c>
      <c r="C22" s="62"/>
      <c r="F22" s="642" t="s">
        <v>60</v>
      </c>
      <c r="G22" s="67">
        <f>+H22/1000</f>
        <v>7.820136576000003</v>
      </c>
      <c r="H22" s="630">
        <f>+'Värmeberäknare för Den Snabba  '!H87</f>
        <v>7820.1365760000026</v>
      </c>
      <c r="J22" s="63"/>
      <c r="K22" s="63"/>
      <c r="L22" s="63"/>
      <c r="M22" s="63"/>
      <c r="N22" s="63"/>
      <c r="O22" s="63"/>
    </row>
    <row r="23" spans="2:15">
      <c r="B23" s="56" t="s">
        <v>330</v>
      </c>
      <c r="C23" s="62"/>
      <c r="F23" s="643" t="s">
        <v>341</v>
      </c>
      <c r="G23" s="68">
        <f t="shared" ref="G23:G27" si="7">+H23/1000</f>
        <v>6.5167804800000013</v>
      </c>
      <c r="H23" s="631">
        <f>+'Värmeberäknare för Den Snabba  '!H88</f>
        <v>6516.7804800000013</v>
      </c>
      <c r="J23" s="63"/>
      <c r="L23" s="63"/>
      <c r="M23" s="63"/>
      <c r="N23" s="63"/>
      <c r="O23" s="63"/>
    </row>
    <row r="24" spans="2:15">
      <c r="B24" s="56" t="s">
        <v>331</v>
      </c>
      <c r="C24" s="66">
        <f>COUNTA(C12:C23)</f>
        <v>4</v>
      </c>
      <c r="F24" s="643" t="s">
        <v>61</v>
      </c>
      <c r="G24" s="68">
        <f t="shared" si="7"/>
        <v>38.355907967999997</v>
      </c>
      <c r="H24" s="631">
        <f>+'Värmeberäknare för Den Snabba  '!H89</f>
        <v>38355.907968</v>
      </c>
    </row>
    <row r="25" spans="2:15">
      <c r="B25" s="56" t="s">
        <v>332</v>
      </c>
      <c r="C25" s="66">
        <f>+C24*30</f>
        <v>120</v>
      </c>
      <c r="F25" s="643" t="s">
        <v>342</v>
      </c>
      <c r="G25" s="69">
        <f t="shared" si="7"/>
        <v>52.879018752000007</v>
      </c>
      <c r="H25" s="631">
        <f>+'Värmeberäknare för Den Snabba  '!H90</f>
        <v>52879.018752000011</v>
      </c>
    </row>
    <row r="26" spans="2:15" ht="15" thickBot="1">
      <c r="B26" s="16"/>
      <c r="F26" s="644" t="s">
        <v>62</v>
      </c>
      <c r="G26" s="756">
        <f t="shared" si="7"/>
        <v>49.713725376000006</v>
      </c>
      <c r="H26" s="632">
        <f>+'Värmeberäknare för Den Snabba  '!H91</f>
        <v>49713.725376000009</v>
      </c>
    </row>
    <row r="27" spans="2:15" ht="16" thickBot="1">
      <c r="B27" s="16"/>
      <c r="F27" s="816" t="s">
        <v>343</v>
      </c>
      <c r="G27" s="817">
        <f t="shared" si="7"/>
        <v>31.057113830400006</v>
      </c>
      <c r="H27" s="818">
        <f>+'Värmeberäknare för Den Snabba  '!H92</f>
        <v>31057.113830400005</v>
      </c>
    </row>
    <row r="28" spans="2:15">
      <c r="B28" s="16"/>
      <c r="F28" s="645" t="s">
        <v>344</v>
      </c>
      <c r="G28" s="354"/>
      <c r="H28" s="634"/>
    </row>
    <row r="29" spans="2:15">
      <c r="B29" s="16"/>
      <c r="H29" s="622"/>
    </row>
    <row r="30" spans="2:15" ht="15.5">
      <c r="B30" s="16"/>
      <c r="F30" s="633"/>
      <c r="H30" s="627"/>
    </row>
    <row r="31" spans="2:15" ht="29.5" thickBot="1">
      <c r="B31" s="16"/>
      <c r="F31" s="646" t="s">
        <v>347</v>
      </c>
      <c r="G31" s="647" t="s">
        <v>345</v>
      </c>
      <c r="H31" s="648" t="s">
        <v>41</v>
      </c>
    </row>
    <row r="32" spans="2:15" ht="15.5">
      <c r="B32" s="16"/>
      <c r="F32" s="649" t="s">
        <v>346</v>
      </c>
      <c r="G32" s="714">
        <f>+H32*$C$8</f>
        <v>428260</v>
      </c>
      <c r="H32" s="731">
        <f>+'Värmeberäknare för Den Snabba  '!W63</f>
        <v>356.88333333333333</v>
      </c>
    </row>
    <row r="33" spans="1:8" ht="15.5">
      <c r="B33" s="16"/>
      <c r="F33" s="650" t="s">
        <v>348</v>
      </c>
      <c r="G33" s="715">
        <f t="shared" ref="G33:G34" si="8">+H33*$C$8</f>
        <v>103500</v>
      </c>
      <c r="H33" s="732">
        <f>+'Värmeberäknare för Den Snabba  '!W64</f>
        <v>86.25</v>
      </c>
    </row>
    <row r="34" spans="1:8" ht="16" thickBot="1">
      <c r="B34" s="16"/>
      <c r="F34" s="651" t="s">
        <v>349</v>
      </c>
      <c r="G34" s="710">
        <f t="shared" si="8"/>
        <v>145000</v>
      </c>
      <c r="H34" s="733">
        <f>+'Värmeberäknare för Den Snabba  '!W65</f>
        <v>120.83333333333333</v>
      </c>
    </row>
    <row r="35" spans="1:8" ht="31.5" thickBot="1">
      <c r="B35" s="16"/>
      <c r="F35" s="808" t="s">
        <v>359</v>
      </c>
      <c r="G35" s="809">
        <f>SUM(G32:G34)</f>
        <v>676760</v>
      </c>
      <c r="H35" s="810">
        <f t="shared" ref="H35" si="9">+G35/$C$8</f>
        <v>563.9666666666667</v>
      </c>
    </row>
    <row r="36" spans="1:8">
      <c r="B36" s="16"/>
      <c r="F36" s="820" t="s">
        <v>350</v>
      </c>
      <c r="G36" s="354"/>
      <c r="H36" s="634"/>
    </row>
    <row r="37" spans="1:8">
      <c r="B37" s="16"/>
    </row>
    <row r="41" spans="1:8">
      <c r="F41" s="70"/>
      <c r="G41" s="70"/>
    </row>
    <row r="43" spans="1:8">
      <c r="A43" s="70"/>
      <c r="F43" s="359"/>
      <c r="G43" s="359"/>
    </row>
    <row r="44" spans="1:8">
      <c r="A44" s="70"/>
      <c r="F44" s="359"/>
      <c r="G44" s="359"/>
      <c r="H44" s="3"/>
    </row>
    <row r="45" spans="1:8">
      <c r="A45" s="70"/>
      <c r="B45" s="744" t="s">
        <v>444</v>
      </c>
      <c r="C45" s="745" t="s">
        <v>63</v>
      </c>
      <c r="D45" s="745" t="s">
        <v>445</v>
      </c>
      <c r="E45" s="807" t="s">
        <v>64</v>
      </c>
      <c r="F45" s="359"/>
      <c r="G45" s="359"/>
      <c r="H45" s="3"/>
    </row>
    <row r="46" spans="1:8">
      <c r="A46" s="70"/>
      <c r="B46" s="357">
        <v>14</v>
      </c>
      <c r="C46" s="746">
        <v>7.55</v>
      </c>
      <c r="D46" s="746">
        <v>0.8</v>
      </c>
      <c r="E46" s="807">
        <f>+D46+C46</f>
        <v>8.35</v>
      </c>
      <c r="F46" s="359"/>
      <c r="G46" s="359"/>
      <c r="H46" s="3"/>
    </row>
    <row r="47" spans="1:8">
      <c r="A47" s="70"/>
      <c r="B47" s="357">
        <v>30</v>
      </c>
      <c r="C47" s="746">
        <f>+C46</f>
        <v>7.55</v>
      </c>
      <c r="D47" s="746">
        <f>+D46</f>
        <v>0.8</v>
      </c>
      <c r="E47" s="807">
        <f t="shared" ref="E47:E54" si="10">+D47+C47</f>
        <v>8.35</v>
      </c>
      <c r="F47" s="359"/>
      <c r="G47" s="359"/>
      <c r="H47" s="3"/>
    </row>
    <row r="48" spans="1:8">
      <c r="A48" s="70"/>
      <c r="B48" s="357">
        <v>60</v>
      </c>
      <c r="C48" s="746">
        <f>+C47</f>
        <v>7.55</v>
      </c>
      <c r="D48" s="746">
        <f>+D47</f>
        <v>0.8</v>
      </c>
      <c r="E48" s="807">
        <f t="shared" si="10"/>
        <v>8.35</v>
      </c>
      <c r="F48" s="359"/>
      <c r="G48" s="359"/>
      <c r="H48" s="3"/>
    </row>
    <row r="49" spans="1:8">
      <c r="A49" s="70"/>
      <c r="B49" s="357">
        <v>120</v>
      </c>
      <c r="C49" s="746">
        <v>4.9800000000000004</v>
      </c>
      <c r="D49" s="746">
        <f>+D48</f>
        <v>0.8</v>
      </c>
      <c r="E49" s="807">
        <f t="shared" si="10"/>
        <v>5.78</v>
      </c>
      <c r="F49" s="359"/>
      <c r="G49" s="359"/>
      <c r="H49" s="3"/>
    </row>
    <row r="50" spans="1:8">
      <c r="A50" s="70"/>
      <c r="B50" s="357">
        <v>150</v>
      </c>
      <c r="C50" s="746">
        <f>+C49-1.35</f>
        <v>3.6300000000000003</v>
      </c>
      <c r="D50" s="746">
        <f>+D49-0.24</f>
        <v>0.56000000000000005</v>
      </c>
      <c r="E50" s="807">
        <f t="shared" si="10"/>
        <v>4.1900000000000004</v>
      </c>
      <c r="F50" s="359"/>
      <c r="G50" s="359"/>
    </row>
    <row r="51" spans="1:8">
      <c r="A51" s="70"/>
      <c r="B51" s="357">
        <v>180</v>
      </c>
      <c r="C51" s="746">
        <f t="shared" ref="C51:D54" si="11">+C50</f>
        <v>3.6300000000000003</v>
      </c>
      <c r="D51" s="746">
        <f t="shared" si="11"/>
        <v>0.56000000000000005</v>
      </c>
      <c r="E51" s="807">
        <f t="shared" si="10"/>
        <v>4.1900000000000004</v>
      </c>
      <c r="F51" s="359"/>
      <c r="G51" s="359"/>
    </row>
    <row r="52" spans="1:8">
      <c r="A52" s="70"/>
      <c r="B52" s="357">
        <v>210</v>
      </c>
      <c r="C52" s="746">
        <f t="shared" si="11"/>
        <v>3.6300000000000003</v>
      </c>
      <c r="D52" s="746">
        <f t="shared" si="11"/>
        <v>0.56000000000000005</v>
      </c>
      <c r="E52" s="807">
        <f t="shared" si="10"/>
        <v>4.1900000000000004</v>
      </c>
      <c r="F52" s="359"/>
      <c r="G52" s="359"/>
    </row>
    <row r="53" spans="1:8">
      <c r="A53" s="70"/>
      <c r="B53" s="357">
        <v>300</v>
      </c>
      <c r="C53" s="746">
        <f t="shared" si="11"/>
        <v>3.6300000000000003</v>
      </c>
      <c r="D53" s="746">
        <f t="shared" si="11"/>
        <v>0.56000000000000005</v>
      </c>
      <c r="E53" s="807">
        <f t="shared" si="10"/>
        <v>4.1900000000000004</v>
      </c>
      <c r="F53" s="359"/>
      <c r="G53" s="359"/>
    </row>
    <row r="54" spans="1:8">
      <c r="A54" s="70"/>
      <c r="B54" s="357">
        <v>365</v>
      </c>
      <c r="C54" s="746">
        <f t="shared" si="11"/>
        <v>3.6300000000000003</v>
      </c>
      <c r="D54" s="746">
        <f t="shared" si="11"/>
        <v>0.56000000000000005</v>
      </c>
      <c r="E54" s="807">
        <f t="shared" si="10"/>
        <v>4.1900000000000004</v>
      </c>
      <c r="F54" s="359"/>
      <c r="G54" s="359"/>
    </row>
    <row r="55" spans="1:8">
      <c r="A55" s="70"/>
      <c r="B55" s="359"/>
      <c r="C55" s="359"/>
      <c r="D55" s="359"/>
      <c r="E55" s="749"/>
      <c r="F55" s="359"/>
      <c r="G55" s="359"/>
      <c r="H55" s="70"/>
    </row>
    <row r="56" spans="1:8" ht="15" thickBot="1">
      <c r="A56" s="70"/>
      <c r="B56" s="747">
        <f>IF(C25&gt;=B54,E54,IF(C25&gt;=B53,E53,IF(C25&gt;=B52,E52,IF(C25&gt;=B51,E51,IF(C25&gt;=B50,E50,IF(C25&gt;=B49,E49,IF(C25&gt;=B48,E48,IF(C25&gt;=B47,E47,E46))))))))</f>
        <v>5.78</v>
      </c>
      <c r="C56" s="748" t="s">
        <v>446</v>
      </c>
      <c r="D56" s="359"/>
      <c r="E56" s="749"/>
      <c r="H56" s="70"/>
    </row>
    <row r="57" spans="1:8" ht="17" thickTop="1">
      <c r="A57" s="70"/>
      <c r="B57" s="761">
        <f>+C9</f>
        <v>2.9</v>
      </c>
      <c r="C57" s="359" t="s">
        <v>447</v>
      </c>
      <c r="D57" s="359"/>
      <c r="E57" s="749"/>
      <c r="H57" s="70"/>
    </row>
    <row r="58" spans="1:8" ht="17" thickBot="1">
      <c r="A58" s="70"/>
      <c r="B58" s="747">
        <f>+B56/B57</f>
        <v>1.9931034482758623</v>
      </c>
      <c r="C58" s="748" t="s">
        <v>439</v>
      </c>
      <c r="D58" s="359"/>
      <c r="E58" s="359"/>
      <c r="H58" s="70"/>
    </row>
    <row r="59" spans="1:8" ht="15" thickTop="1">
      <c r="A59" s="70"/>
      <c r="B59" s="359" t="s">
        <v>65</v>
      </c>
      <c r="C59" s="750"/>
      <c r="D59" s="359"/>
      <c r="E59" s="359"/>
    </row>
    <row r="60" spans="1:8" ht="15" thickBot="1">
      <c r="A60" s="70"/>
      <c r="B60" s="751" t="s">
        <v>448</v>
      </c>
      <c r="C60" s="751"/>
      <c r="D60" s="752">
        <v>427</v>
      </c>
      <c r="E60" s="749"/>
    </row>
    <row r="61" spans="1:8">
      <c r="A61" s="70"/>
      <c r="B61" s="753" t="s">
        <v>449</v>
      </c>
      <c r="C61" s="753"/>
      <c r="D61" s="754">
        <v>200</v>
      </c>
      <c r="E61" s="749"/>
      <c r="F61" s="797">
        <f>+D60/D62</f>
        <v>147.24137931034483</v>
      </c>
      <c r="G61" s="798" t="s">
        <v>451</v>
      </c>
      <c r="H61" s="799"/>
    </row>
    <row r="62" spans="1:8" ht="16.5">
      <c r="A62" s="70"/>
      <c r="B62" s="359" t="s">
        <v>447</v>
      </c>
      <c r="C62" s="750"/>
      <c r="D62" s="755">
        <f>+B57</f>
        <v>2.9</v>
      </c>
      <c r="E62" s="749"/>
      <c r="F62" s="800">
        <f>+D61/D62</f>
        <v>68.965517241379317</v>
      </c>
      <c r="G62" s="751" t="s">
        <v>449</v>
      </c>
      <c r="H62" s="801"/>
    </row>
    <row r="63" spans="1:8">
      <c r="A63" s="70"/>
      <c r="B63" s="359"/>
      <c r="C63" s="750"/>
      <c r="D63" s="359"/>
      <c r="E63" s="359"/>
      <c r="F63" s="800">
        <f>+D65/D67</f>
        <v>16.551724137931036</v>
      </c>
      <c r="G63" s="751" t="s">
        <v>451</v>
      </c>
      <c r="H63" s="801"/>
    </row>
    <row r="64" spans="1:8">
      <c r="A64" s="70"/>
      <c r="B64" s="359" t="s">
        <v>450</v>
      </c>
      <c r="C64" s="750"/>
      <c r="D64" s="359"/>
      <c r="E64" s="359"/>
      <c r="F64" s="800">
        <f>+D66/D67</f>
        <v>7.5862068965517242</v>
      </c>
      <c r="G64" s="751" t="s">
        <v>449</v>
      </c>
      <c r="H64" s="801"/>
    </row>
    <row r="65" spans="1:8">
      <c r="A65" s="70"/>
      <c r="B65" s="751" t="s">
        <v>451</v>
      </c>
      <c r="C65" s="751"/>
      <c r="D65" s="752">
        <v>48</v>
      </c>
      <c r="E65" s="749"/>
      <c r="F65" s="802">
        <f>+F63+F61</f>
        <v>163.79310344827587</v>
      </c>
      <c r="G65" s="796" t="s">
        <v>452</v>
      </c>
      <c r="H65" s="803"/>
    </row>
    <row r="66" spans="1:8" ht="15" thickBot="1">
      <c r="A66" s="70"/>
      <c r="B66" s="753" t="s">
        <v>449</v>
      </c>
      <c r="C66" s="753"/>
      <c r="D66" s="754">
        <v>22</v>
      </c>
      <c r="E66" s="70"/>
      <c r="F66" s="804">
        <f>+F64+F62</f>
        <v>76.551724137931046</v>
      </c>
      <c r="G66" s="805" t="s">
        <v>453</v>
      </c>
      <c r="H66" s="806"/>
    </row>
    <row r="67" spans="1:8" ht="16.5">
      <c r="A67" s="70"/>
      <c r="B67" s="359" t="s">
        <v>447</v>
      </c>
      <c r="C67" s="750"/>
      <c r="D67" s="755">
        <f>+B57</f>
        <v>2.9</v>
      </c>
      <c r="E67" s="70"/>
      <c r="F67" s="1"/>
    </row>
    <row r="68" spans="1:8">
      <c r="B68" s="70"/>
      <c r="C68" s="70"/>
      <c r="D68" s="70"/>
      <c r="E68" s="1"/>
      <c r="F68" s="1"/>
    </row>
    <row r="69" spans="1:8">
      <c r="B69" s="70"/>
      <c r="C69" s="70"/>
      <c r="D69" s="70"/>
      <c r="E69" s="1"/>
      <c r="F69" s="1"/>
    </row>
    <row r="70" spans="1:8">
      <c r="B70" s="1"/>
      <c r="C70" s="1"/>
      <c r="D70" s="1"/>
      <c r="E70" s="1"/>
      <c r="F70" s="1"/>
    </row>
    <row r="71" spans="1:8">
      <c r="B71" s="1"/>
      <c r="C71" s="1"/>
      <c r="D71" s="1"/>
      <c r="E71" s="1"/>
      <c r="F71" s="1"/>
    </row>
    <row r="72" spans="1:8">
      <c r="B72" s="1"/>
      <c r="C72" s="1"/>
      <c r="D72" s="1"/>
      <c r="E72" s="1"/>
      <c r="F72" s="1"/>
    </row>
    <row r="73" spans="1:8">
      <c r="B73" s="1"/>
      <c r="C73" s="1"/>
      <c r="D73" s="1"/>
      <c r="E73" s="1"/>
      <c r="F73" s="1"/>
    </row>
    <row r="74" spans="1:8">
      <c r="B74" s="1"/>
      <c r="C74" s="1"/>
      <c r="D74" s="1"/>
      <c r="E74" s="1"/>
      <c r="F74" s="1"/>
    </row>
    <row r="75" spans="1:8">
      <c r="B75" s="1"/>
      <c r="C75" s="1"/>
      <c r="D75" s="1"/>
      <c r="E75" s="1"/>
      <c r="F75" s="1"/>
    </row>
    <row r="76" spans="1:8">
      <c r="B76" s="1"/>
      <c r="C76" s="1"/>
      <c r="D76" s="1"/>
      <c r="E76" s="1"/>
      <c r="F76" s="1"/>
    </row>
    <row r="77" spans="1:8">
      <c r="B77" s="1"/>
      <c r="C77" s="1"/>
      <c r="D77" s="1"/>
      <c r="E77" s="1"/>
      <c r="F77" s="1"/>
    </row>
    <row r="78" spans="1:8">
      <c r="B78" s="1"/>
      <c r="C78" s="1"/>
      <c r="D78" s="1"/>
      <c r="E78" s="1"/>
      <c r="F78" s="1"/>
    </row>
    <row r="79" spans="1:8">
      <c r="B79" s="1"/>
      <c r="C79" s="1"/>
      <c r="D79" s="1"/>
      <c r="E79" s="1"/>
      <c r="F79" s="1"/>
    </row>
    <row r="80" spans="1:8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</row>
    <row r="318" spans="2:6">
      <c r="B318" s="1"/>
      <c r="C318" s="1"/>
      <c r="D318" s="1"/>
      <c r="E318" s="1"/>
    </row>
    <row r="319" spans="2:6">
      <c r="B319" s="1"/>
      <c r="C319" s="1"/>
      <c r="D319" s="1"/>
    </row>
    <row r="320" spans="2:6">
      <c r="B320" s="1"/>
      <c r="C320" s="1"/>
      <c r="D320" s="1"/>
    </row>
  </sheetData>
  <mergeCells count="9">
    <mergeCell ref="F21:H21"/>
    <mergeCell ref="J2:O3"/>
    <mergeCell ref="G4:H4"/>
    <mergeCell ref="J4:O4"/>
    <mergeCell ref="C6:D6"/>
    <mergeCell ref="F12:F13"/>
    <mergeCell ref="G12:G13"/>
    <mergeCell ref="Q2:V3"/>
    <mergeCell ref="Q4:V4"/>
  </mergeCells>
  <conditionalFormatting sqref="G6:G10">
    <cfRule type="cellIs" dxfId="41" priority="7" operator="equal">
      <formula>0</formula>
    </cfRule>
  </conditionalFormatting>
  <conditionalFormatting sqref="G12">
    <cfRule type="cellIs" dxfId="40" priority="8" operator="equal">
      <formula>0</formula>
    </cfRule>
  </conditionalFormatting>
  <conditionalFormatting sqref="G15">
    <cfRule type="cellIs" dxfId="39" priority="5" operator="equal">
      <formula>0</formula>
    </cfRule>
  </conditionalFormatting>
  <conditionalFormatting sqref="G17">
    <cfRule type="cellIs" dxfId="38" priority="1" operator="equal">
      <formula>0</formula>
    </cfRule>
  </conditionalFormatting>
  <conditionalFormatting sqref="G32:G35">
    <cfRule type="cellIs" dxfId="37" priority="4" operator="equal">
      <formula>0</formula>
    </cfRule>
  </conditionalFormatting>
  <conditionalFormatting sqref="G22:H27">
    <cfRule type="cellIs" dxfId="36" priority="2" operator="equal">
      <formula>0</formula>
    </cfRule>
  </conditionalFormatting>
  <conditionalFormatting sqref="H6:H8">
    <cfRule type="cellIs" dxfId="35" priority="6" operator="equal">
      <formula>0</formula>
    </cfRule>
  </conditionalFormatting>
  <conditionalFormatting sqref="H32:H34">
    <cfRule type="cellIs" dxfId="34" priority="3" operator="equal">
      <formula>0</formula>
    </cfRule>
  </conditionalFormatting>
  <pageMargins left="0.7" right="0.7" top="0.75" bottom="0.75" header="0.3" footer="0.3"/>
  <pageSetup paperSize="9" scale="4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360"/>
  <sheetViews>
    <sheetView showGridLines="0" topLeftCell="B2" zoomScaleNormal="100" zoomScalePageLayoutView="71" workbookViewId="0">
      <selection activeCell="J111" sqref="J111"/>
    </sheetView>
  </sheetViews>
  <sheetFormatPr defaultColWidth="33.1796875" defaultRowHeight="14"/>
  <cols>
    <col min="1" max="1" width="20.453125" style="71" hidden="1" customWidth="1"/>
    <col min="2" max="2" width="3.1796875" style="71" customWidth="1"/>
    <col min="3" max="3" width="1.453125" style="71" customWidth="1"/>
    <col min="4" max="4" width="27.453125" style="71" customWidth="1"/>
    <col min="5" max="5" width="12.1796875" style="71" customWidth="1"/>
    <col min="6" max="6" width="9" style="71" customWidth="1"/>
    <col min="7" max="7" width="7.1796875" style="72" customWidth="1"/>
    <col min="8" max="8" width="3.1796875" style="72" customWidth="1"/>
    <col min="9" max="9" width="15.453125" style="73" customWidth="1"/>
    <col min="10" max="11" width="13.81640625" style="74" bestFit="1" customWidth="1"/>
    <col min="12" max="12" width="14.453125" style="74" customWidth="1"/>
    <col min="13" max="13" width="15.1796875" style="74" customWidth="1"/>
    <col min="14" max="16" width="14.453125" style="74" bestFit="1" customWidth="1"/>
    <col min="17" max="17" width="14.81640625" style="74" bestFit="1" customWidth="1"/>
    <col min="18" max="19" width="13.81640625" style="74" customWidth="1"/>
    <col min="20" max="20" width="13.81640625" style="74" bestFit="1" customWidth="1"/>
    <col min="21" max="21" width="13.81640625" style="74" customWidth="1"/>
    <col min="22" max="22" width="2" style="74" customWidth="1"/>
    <col min="23" max="23" width="17.81640625" style="74" customWidth="1"/>
    <col min="24" max="24" width="3.1796875" style="71" customWidth="1"/>
    <col min="25" max="25" width="21.1796875" style="71" hidden="1" customWidth="1"/>
    <col min="26" max="26" width="30.453125" style="71" hidden="1" customWidth="1"/>
    <col min="27" max="27" width="0" style="71" hidden="1" customWidth="1"/>
    <col min="28" max="28" width="34.81640625" style="71" hidden="1" customWidth="1"/>
    <col min="29" max="37" width="0" style="71" hidden="1" customWidth="1"/>
    <col min="38" max="16384" width="33.1796875" style="71"/>
  </cols>
  <sheetData>
    <row r="1" spans="2:39" ht="5.25" hidden="1" customHeight="1" thickBot="1"/>
    <row r="2" spans="2:39" ht="32.25" customHeight="1" thickTop="1">
      <c r="B2" s="75"/>
      <c r="C2" s="76"/>
      <c r="D2" s="76"/>
      <c r="E2" s="76"/>
      <c r="F2" s="76"/>
      <c r="G2" s="77"/>
      <c r="H2" s="77"/>
      <c r="I2" s="78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80"/>
    </row>
    <row r="3" spans="2:39" ht="15.75" customHeight="1">
      <c r="B3" s="81"/>
      <c r="D3" s="82"/>
      <c r="E3" s="82"/>
      <c r="F3" s="82"/>
      <c r="I3" s="872" t="s">
        <v>361</v>
      </c>
      <c r="J3" s="872"/>
      <c r="K3" s="872"/>
      <c r="L3" s="872"/>
      <c r="M3" s="872"/>
      <c r="N3" s="872"/>
      <c r="O3" s="872"/>
      <c r="P3" s="873"/>
      <c r="Q3" s="874" t="s">
        <v>362</v>
      </c>
      <c r="R3" s="875"/>
      <c r="S3" s="84" t="s">
        <v>455</v>
      </c>
      <c r="T3" s="85"/>
      <c r="U3" s="86" t="s">
        <v>66</v>
      </c>
      <c r="V3" s="878">
        <v>6.7</v>
      </c>
      <c r="W3" s="879"/>
      <c r="X3" s="87"/>
    </row>
    <row r="4" spans="2:39" ht="16.5" customHeight="1" thickBot="1">
      <c r="B4" s="81"/>
      <c r="I4" s="872"/>
      <c r="J4" s="872"/>
      <c r="K4" s="872"/>
      <c r="L4" s="872"/>
      <c r="M4" s="872"/>
      <c r="N4" s="872"/>
      <c r="O4" s="872"/>
      <c r="P4" s="873"/>
      <c r="Q4" s="876"/>
      <c r="R4" s="877"/>
      <c r="S4" s="88" t="s">
        <v>67</v>
      </c>
      <c r="T4" s="89"/>
      <c r="U4" s="90" t="s">
        <v>66</v>
      </c>
      <c r="V4" s="880">
        <v>2.5</v>
      </c>
      <c r="W4" s="881"/>
      <c r="X4" s="87"/>
    </row>
    <row r="5" spans="2:39" ht="23.25" customHeight="1" thickTop="1">
      <c r="B5" s="81"/>
      <c r="C5" s="864" t="s">
        <v>360</v>
      </c>
      <c r="D5" s="864"/>
      <c r="E5" s="864"/>
      <c r="F5" s="864"/>
      <c r="G5" s="864"/>
      <c r="H5" s="91"/>
      <c r="I5" s="872"/>
      <c r="J5" s="872"/>
      <c r="K5" s="872"/>
      <c r="L5" s="872"/>
      <c r="M5" s="872"/>
      <c r="N5" s="872"/>
      <c r="O5" s="872"/>
      <c r="P5" s="873"/>
      <c r="Q5" s="876"/>
      <c r="R5" s="877"/>
      <c r="S5" s="84" t="s">
        <v>363</v>
      </c>
      <c r="T5" s="85"/>
      <c r="U5" s="92" t="s">
        <v>66</v>
      </c>
      <c r="V5" s="866">
        <f>V3-V4</f>
        <v>4.2</v>
      </c>
      <c r="W5" s="867"/>
      <c r="X5" s="87"/>
    </row>
    <row r="6" spans="2:39" ht="23.25" customHeight="1">
      <c r="B6" s="81"/>
      <c r="C6" s="865"/>
      <c r="D6" s="865"/>
      <c r="E6" s="865"/>
      <c r="F6" s="865"/>
      <c r="G6" s="865"/>
      <c r="H6" s="91"/>
      <c r="I6" s="83"/>
      <c r="J6" s="83"/>
      <c r="K6" s="83"/>
      <c r="L6" s="83"/>
      <c r="M6" s="83"/>
      <c r="N6" s="83"/>
      <c r="O6" s="83"/>
      <c r="P6" s="83"/>
      <c r="Q6" s="868" t="s">
        <v>364</v>
      </c>
      <c r="R6" s="869"/>
      <c r="S6" s="869"/>
      <c r="T6" s="869"/>
      <c r="U6" s="869"/>
      <c r="V6" s="869"/>
      <c r="W6" s="870"/>
      <c r="X6" s="87"/>
    </row>
    <row r="7" spans="2:39" ht="17.5">
      <c r="B7" s="81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68" t="s">
        <v>440</v>
      </c>
      <c r="R7" s="869"/>
      <c r="S7" s="869"/>
      <c r="T7" s="869"/>
      <c r="U7" s="869"/>
      <c r="V7" s="869"/>
      <c r="W7" s="870"/>
      <c r="X7" s="87"/>
    </row>
    <row r="8" spans="2:39" ht="11.25" customHeight="1">
      <c r="B8" s="81"/>
      <c r="J8" s="93">
        <v>30</v>
      </c>
      <c r="K8" s="93">
        <v>31</v>
      </c>
      <c r="L8" s="93">
        <v>30</v>
      </c>
      <c r="M8" s="93">
        <v>31</v>
      </c>
      <c r="N8" s="93">
        <v>31</v>
      </c>
      <c r="O8" s="93">
        <v>28</v>
      </c>
      <c r="P8" s="93">
        <v>31</v>
      </c>
      <c r="Q8" s="93">
        <v>30</v>
      </c>
      <c r="R8" s="93">
        <v>31</v>
      </c>
      <c r="S8" s="93">
        <v>30</v>
      </c>
      <c r="T8" s="93">
        <v>31</v>
      </c>
      <c r="U8" s="93">
        <v>31</v>
      </c>
      <c r="X8" s="87"/>
    </row>
    <row r="9" spans="2:39" s="103" customFormat="1" ht="33" customHeight="1">
      <c r="B9" s="94"/>
      <c r="C9" s="95"/>
      <c r="D9" s="96" t="s">
        <v>68</v>
      </c>
      <c r="E9" s="882" t="s">
        <v>365</v>
      </c>
      <c r="F9" s="883"/>
      <c r="G9" s="883"/>
      <c r="H9" s="884"/>
      <c r="I9" s="504">
        <f>+'Den Snabba Analysen'!G14</f>
        <v>4.42</v>
      </c>
      <c r="J9" s="97" t="s">
        <v>69</v>
      </c>
      <c r="K9" s="98" t="s">
        <v>70</v>
      </c>
      <c r="L9" s="98" t="s">
        <v>71</v>
      </c>
      <c r="M9" s="98" t="s">
        <v>72</v>
      </c>
      <c r="N9" s="98" t="s">
        <v>73</v>
      </c>
      <c r="O9" s="98" t="s">
        <v>74</v>
      </c>
      <c r="P9" s="98" t="s">
        <v>75</v>
      </c>
      <c r="Q9" s="98" t="s">
        <v>76</v>
      </c>
      <c r="R9" s="98" t="s">
        <v>77</v>
      </c>
      <c r="S9" s="98" t="s">
        <v>78</v>
      </c>
      <c r="T9" s="98" t="s">
        <v>79</v>
      </c>
      <c r="U9" s="99" t="s">
        <v>80</v>
      </c>
      <c r="V9" s="100"/>
      <c r="W9" s="101" t="s">
        <v>436</v>
      </c>
      <c r="X9" s="102"/>
      <c r="AM9" s="707"/>
    </row>
    <row r="10" spans="2:39" ht="16.5" customHeight="1">
      <c r="B10" s="81"/>
      <c r="C10" s="104"/>
      <c r="D10" s="105" t="s">
        <v>366</v>
      </c>
      <c r="E10" s="105"/>
      <c r="F10" s="105"/>
      <c r="G10" s="106"/>
      <c r="H10" s="105" t="s">
        <v>81</v>
      </c>
      <c r="I10" s="107"/>
      <c r="J10" s="757">
        <v>13.7</v>
      </c>
      <c r="K10" s="758">
        <v>9.8000000000000007</v>
      </c>
      <c r="L10" s="758">
        <v>6.3</v>
      </c>
      <c r="M10" s="758">
        <v>3</v>
      </c>
      <c r="N10" s="758">
        <v>1.4</v>
      </c>
      <c r="O10" s="758">
        <v>1.1000000000000001</v>
      </c>
      <c r="P10" s="758">
        <v>3.5</v>
      </c>
      <c r="Q10" s="758">
        <v>7.7</v>
      </c>
      <c r="R10" s="758">
        <v>11.3</v>
      </c>
      <c r="S10" s="758">
        <v>14.3</v>
      </c>
      <c r="T10" s="758">
        <v>17.399999999999999</v>
      </c>
      <c r="U10" s="759">
        <v>16.7</v>
      </c>
      <c r="V10" s="108"/>
      <c r="W10" s="109"/>
      <c r="X10" s="87"/>
    </row>
    <row r="11" spans="2:39" ht="16.5" customHeight="1">
      <c r="B11" s="81"/>
      <c r="C11" s="104"/>
      <c r="D11" s="105" t="s">
        <v>367</v>
      </c>
      <c r="E11" s="105"/>
      <c r="F11" s="105"/>
      <c r="G11" s="106"/>
      <c r="H11" s="105" t="s">
        <v>82</v>
      </c>
      <c r="I11" s="110">
        <f>+'Den Snabba Analysen'!C7</f>
        <v>15</v>
      </c>
      <c r="J11" s="111">
        <f>IF(J10&lt;$I$11,$I$11,J10)</f>
        <v>15</v>
      </c>
      <c r="K11" s="112">
        <f t="shared" ref="K11:U11" si="0">IF(K10&lt;$I$11,$I$11,K10)</f>
        <v>15</v>
      </c>
      <c r="L11" s="112">
        <f t="shared" si="0"/>
        <v>15</v>
      </c>
      <c r="M11" s="112">
        <f t="shared" si="0"/>
        <v>15</v>
      </c>
      <c r="N11" s="112">
        <f t="shared" si="0"/>
        <v>15</v>
      </c>
      <c r="O11" s="112">
        <f t="shared" si="0"/>
        <v>15</v>
      </c>
      <c r="P11" s="112">
        <f t="shared" si="0"/>
        <v>15</v>
      </c>
      <c r="Q11" s="112">
        <f t="shared" si="0"/>
        <v>15</v>
      </c>
      <c r="R11" s="112">
        <f t="shared" si="0"/>
        <v>15</v>
      </c>
      <c r="S11" s="112">
        <f t="shared" si="0"/>
        <v>15</v>
      </c>
      <c r="T11" s="112">
        <f t="shared" si="0"/>
        <v>17.399999999999999</v>
      </c>
      <c r="U11" s="113">
        <f t="shared" si="0"/>
        <v>16.7</v>
      </c>
      <c r="V11" s="114"/>
      <c r="W11" s="115"/>
      <c r="X11" s="87"/>
    </row>
    <row r="12" spans="2:39" ht="16.5" customHeight="1">
      <c r="B12" s="81"/>
      <c r="C12" s="116"/>
      <c r="D12" s="117" t="s">
        <v>435</v>
      </c>
      <c r="E12" s="117"/>
      <c r="F12" s="117"/>
      <c r="G12" s="118"/>
      <c r="H12" s="117"/>
      <c r="I12" s="119"/>
      <c r="J12" s="120">
        <f>IF((J11-J10)&gt;0, (J11-J10),0)</f>
        <v>1.3000000000000007</v>
      </c>
      <c r="K12" s="121">
        <f t="shared" ref="K12:T12" si="1">IF((K11-K10)&gt;0, (K11-K10),0)</f>
        <v>5.1999999999999993</v>
      </c>
      <c r="L12" s="121">
        <f t="shared" si="1"/>
        <v>8.6999999999999993</v>
      </c>
      <c r="M12" s="121">
        <f t="shared" si="1"/>
        <v>12</v>
      </c>
      <c r="N12" s="121">
        <f t="shared" si="1"/>
        <v>13.6</v>
      </c>
      <c r="O12" s="121">
        <f t="shared" si="1"/>
        <v>13.9</v>
      </c>
      <c r="P12" s="121">
        <f t="shared" si="1"/>
        <v>11.5</v>
      </c>
      <c r="Q12" s="121">
        <f t="shared" si="1"/>
        <v>7.3</v>
      </c>
      <c r="R12" s="121">
        <f t="shared" si="1"/>
        <v>3.6999999999999993</v>
      </c>
      <c r="S12" s="121">
        <f t="shared" si="1"/>
        <v>0.69999999999999929</v>
      </c>
      <c r="T12" s="121">
        <f t="shared" si="1"/>
        <v>0</v>
      </c>
      <c r="U12" s="122">
        <f>IF((U11-U10)&gt;0, (U11-U10),0)</f>
        <v>0</v>
      </c>
      <c r="V12" s="114"/>
      <c r="W12" s="115"/>
      <c r="X12" s="87"/>
    </row>
    <row r="13" spans="2:39" ht="24" customHeight="1">
      <c r="B13" s="81"/>
      <c r="C13" s="123"/>
      <c r="D13" s="124" t="s">
        <v>368</v>
      </c>
      <c r="E13" s="124"/>
      <c r="F13" s="124"/>
      <c r="G13" s="125"/>
      <c r="H13" s="125"/>
      <c r="I13" s="126"/>
      <c r="J13" s="716">
        <f t="shared" ref="J13:U13" si="2">$V$5*24/1000*J12</f>
        <v>0.1310400000000001</v>
      </c>
      <c r="K13" s="717">
        <f t="shared" si="2"/>
        <v>0.52415999999999996</v>
      </c>
      <c r="L13" s="717">
        <f>$V$5*24/1000*L12</f>
        <v>0.87696000000000007</v>
      </c>
      <c r="M13" s="717">
        <f t="shared" si="2"/>
        <v>1.2096000000000002</v>
      </c>
      <c r="N13" s="717">
        <f t="shared" si="2"/>
        <v>1.3708800000000001</v>
      </c>
      <c r="O13" s="717">
        <f t="shared" si="2"/>
        <v>1.4011200000000001</v>
      </c>
      <c r="P13" s="717">
        <f t="shared" si="2"/>
        <v>1.1592000000000002</v>
      </c>
      <c r="Q13" s="717">
        <f t="shared" si="2"/>
        <v>0.73584000000000005</v>
      </c>
      <c r="R13" s="717">
        <f t="shared" si="2"/>
        <v>0.37295999999999996</v>
      </c>
      <c r="S13" s="717">
        <f t="shared" si="2"/>
        <v>7.0559999999999942E-2</v>
      </c>
      <c r="T13" s="127">
        <f t="shared" si="2"/>
        <v>0</v>
      </c>
      <c r="U13" s="128">
        <f t="shared" si="2"/>
        <v>0</v>
      </c>
      <c r="V13" s="129"/>
      <c r="W13" s="130"/>
      <c r="X13" s="87"/>
    </row>
    <row r="14" spans="2:39" s="103" customFormat="1" ht="16">
      <c r="B14" s="94"/>
      <c r="C14" s="131"/>
      <c r="D14" s="132" t="s">
        <v>369</v>
      </c>
      <c r="E14" s="132"/>
      <c r="F14" s="132"/>
      <c r="G14" s="133"/>
      <c r="H14" s="133"/>
      <c r="I14" s="134"/>
      <c r="J14" s="739">
        <f>J13*$I$9</f>
        <v>0.5791968000000004</v>
      </c>
      <c r="K14" s="740">
        <f>K13*$I$9</f>
        <v>2.3167871999999998</v>
      </c>
      <c r="L14" s="740">
        <f t="shared" ref="L14:U14" si="3">L13*$I$9</f>
        <v>3.8761632000000001</v>
      </c>
      <c r="M14" s="740">
        <f t="shared" si="3"/>
        <v>5.346432000000001</v>
      </c>
      <c r="N14" s="740">
        <f t="shared" si="3"/>
        <v>6.0592896000000005</v>
      </c>
      <c r="O14" s="740">
        <f t="shared" si="3"/>
        <v>6.1929504000000009</v>
      </c>
      <c r="P14" s="740">
        <f t="shared" si="3"/>
        <v>5.1236640000000007</v>
      </c>
      <c r="Q14" s="740">
        <f t="shared" si="3"/>
        <v>3.2524128000000001</v>
      </c>
      <c r="R14" s="740">
        <f t="shared" si="3"/>
        <v>1.6484831999999998</v>
      </c>
      <c r="S14" s="740">
        <f t="shared" si="3"/>
        <v>0.31187519999999974</v>
      </c>
      <c r="T14" s="740">
        <f t="shared" si="3"/>
        <v>0</v>
      </c>
      <c r="U14" s="741">
        <f t="shared" si="3"/>
        <v>0</v>
      </c>
      <c r="V14" s="135"/>
      <c r="W14" s="136"/>
      <c r="X14" s="102"/>
    </row>
    <row r="15" spans="2:39" s="103" customFormat="1" ht="12" customHeight="1" thickBot="1">
      <c r="B15" s="94"/>
      <c r="C15" s="137"/>
      <c r="D15" s="138"/>
      <c r="E15" s="139"/>
      <c r="F15" s="139"/>
      <c r="G15" s="140"/>
      <c r="H15" s="140"/>
      <c r="I15" s="141"/>
      <c r="J15" s="142"/>
      <c r="K15" s="143"/>
      <c r="L15" s="143"/>
      <c r="M15" s="143"/>
      <c r="N15" s="143"/>
      <c r="O15" s="143"/>
      <c r="P15" s="144"/>
      <c r="Q15" s="144"/>
      <c r="R15" s="144"/>
      <c r="S15" s="143"/>
      <c r="T15" s="143"/>
      <c r="U15" s="145"/>
      <c r="V15" s="135"/>
      <c r="W15" s="136"/>
      <c r="X15" s="102"/>
      <c r="AC15" s="146"/>
    </row>
    <row r="16" spans="2:39" s="156" customFormat="1" ht="35.25" customHeight="1" thickBot="1">
      <c r="B16" s="147"/>
      <c r="C16" s="148"/>
      <c r="D16" s="149" t="s">
        <v>370</v>
      </c>
      <c r="E16" s="150"/>
      <c r="F16" s="150"/>
      <c r="G16" s="151"/>
      <c r="H16" s="151"/>
      <c r="I16" s="152" t="s">
        <v>83</v>
      </c>
      <c r="J16" s="153" t="str">
        <f>IF('Den Snabba Analysen'!C12="x","+","")</f>
        <v/>
      </c>
      <c r="K16" s="153" t="str">
        <f>IF('Den Snabba Analysen'!C13="x","+","")</f>
        <v/>
      </c>
      <c r="L16" s="153" t="str">
        <f>IF('Den Snabba Analysen'!C14="x","+","")</f>
        <v/>
      </c>
      <c r="M16" s="153" t="str">
        <f>IF('Den Snabba Analysen'!C15="x","+","")</f>
        <v>+</v>
      </c>
      <c r="N16" s="153" t="str">
        <f>IF('Den Snabba Analysen'!C16="x","+","")</f>
        <v>+</v>
      </c>
      <c r="O16" s="153" t="str">
        <f>IF('Den Snabba Analysen'!C17="x","+","")</f>
        <v>+</v>
      </c>
      <c r="P16" s="153" t="str">
        <f>IF('Den Snabba Analysen'!C18="x","+","")</f>
        <v>+</v>
      </c>
      <c r="Q16" s="153" t="str">
        <f>IF('Den Snabba Analysen'!C19="x","+","")</f>
        <v/>
      </c>
      <c r="R16" s="153" t="str">
        <f>IF('Den Snabba Analysen'!C20="x","+","")</f>
        <v/>
      </c>
      <c r="S16" s="153" t="str">
        <f>IF('Den Snabba Analysen'!C21="x","+","")</f>
        <v/>
      </c>
      <c r="T16" s="153" t="str">
        <f>IF('Den Snabba Analysen'!C22="x","+","")</f>
        <v/>
      </c>
      <c r="U16" s="153" t="str">
        <f>IF('Den Snabba Analysen'!C23="x","+","")</f>
        <v/>
      </c>
      <c r="V16" s="135"/>
      <c r="W16" s="154"/>
      <c r="X16" s="155"/>
      <c r="AB16" s="146" t="s">
        <v>84</v>
      </c>
      <c r="AC16" s="156">
        <f>COUNTIF(J16:U16,"+")</f>
        <v>4</v>
      </c>
    </row>
    <row r="17" spans="2:30" s="166" customFormat="1" ht="6.75" customHeight="1">
      <c r="B17" s="157"/>
      <c r="C17" s="158"/>
      <c r="D17" s="159"/>
      <c r="E17" s="159"/>
      <c r="F17" s="159"/>
      <c r="G17" s="160"/>
      <c r="H17" s="160"/>
      <c r="I17" s="161"/>
      <c r="J17" s="162">
        <f t="shared" ref="J17:U17" si="4">IF(J16="+",1,0)</f>
        <v>0</v>
      </c>
      <c r="K17" s="162">
        <f t="shared" si="4"/>
        <v>0</v>
      </c>
      <c r="L17" s="162">
        <f t="shared" si="4"/>
        <v>0</v>
      </c>
      <c r="M17" s="162">
        <f t="shared" si="4"/>
        <v>1</v>
      </c>
      <c r="N17" s="162">
        <f t="shared" si="4"/>
        <v>1</v>
      </c>
      <c r="O17" s="162">
        <f t="shared" si="4"/>
        <v>1</v>
      </c>
      <c r="P17" s="162">
        <f t="shared" si="4"/>
        <v>1</v>
      </c>
      <c r="Q17" s="162">
        <f t="shared" si="4"/>
        <v>0</v>
      </c>
      <c r="R17" s="162">
        <f t="shared" si="4"/>
        <v>0</v>
      </c>
      <c r="S17" s="162">
        <f t="shared" si="4"/>
        <v>0</v>
      </c>
      <c r="T17" s="162">
        <f t="shared" si="4"/>
        <v>0</v>
      </c>
      <c r="U17" s="163">
        <f t="shared" si="4"/>
        <v>0</v>
      </c>
      <c r="V17" s="135"/>
      <c r="W17" s="164"/>
      <c r="X17" s="165"/>
    </row>
    <row r="18" spans="2:30" ht="18" customHeight="1">
      <c r="B18" s="81"/>
      <c r="C18" s="104"/>
      <c r="D18" s="167" t="s">
        <v>371</v>
      </c>
      <c r="E18" s="168"/>
      <c r="F18" s="168"/>
      <c r="G18" s="169"/>
      <c r="H18" s="169"/>
      <c r="I18" s="170"/>
      <c r="J18" s="736">
        <f>IF(J16="+",J8*J14,0)</f>
        <v>0</v>
      </c>
      <c r="K18" s="736">
        <f t="shared" ref="K18:U18" si="5">IF(K16="+",K8*K14,0)</f>
        <v>0</v>
      </c>
      <c r="L18" s="736">
        <f t="shared" si="5"/>
        <v>0</v>
      </c>
      <c r="M18" s="736">
        <f t="shared" si="5"/>
        <v>165.73939200000004</v>
      </c>
      <c r="N18" s="736">
        <f t="shared" si="5"/>
        <v>187.83797760000002</v>
      </c>
      <c r="O18" s="736">
        <f t="shared" si="5"/>
        <v>173.40261120000002</v>
      </c>
      <c r="P18" s="736">
        <f t="shared" si="5"/>
        <v>158.83358400000003</v>
      </c>
      <c r="Q18" s="736">
        <f t="shared" si="5"/>
        <v>0</v>
      </c>
      <c r="R18" s="736">
        <f t="shared" si="5"/>
        <v>0</v>
      </c>
      <c r="S18" s="736">
        <f t="shared" si="5"/>
        <v>0</v>
      </c>
      <c r="T18" s="736">
        <f t="shared" si="5"/>
        <v>0</v>
      </c>
      <c r="U18" s="737">
        <f t="shared" si="5"/>
        <v>0</v>
      </c>
      <c r="V18" s="135"/>
      <c r="W18" s="719">
        <f>SUM(J18:U18)</f>
        <v>685.81356479999999</v>
      </c>
      <c r="X18" s="173"/>
      <c r="AB18" s="71" t="s">
        <v>85</v>
      </c>
      <c r="AC18" s="174">
        <f>+W20/U42</f>
        <v>685.81356480000022</v>
      </c>
      <c r="AD18" s="71" t="s">
        <v>86</v>
      </c>
    </row>
    <row r="19" spans="2:30" ht="6" customHeight="1">
      <c r="B19" s="81"/>
      <c r="C19" s="104"/>
      <c r="D19" s="168"/>
      <c r="E19" s="168"/>
      <c r="F19" s="168"/>
      <c r="G19" s="169"/>
      <c r="H19" s="169"/>
      <c r="I19" s="170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8"/>
      <c r="V19" s="171"/>
      <c r="W19" s="172"/>
      <c r="X19" s="173"/>
    </row>
    <row r="20" spans="2:30" s="179" customFormat="1" ht="14.5" thickBot="1">
      <c r="B20" s="175"/>
      <c r="C20" s="176"/>
      <c r="D20" s="177" t="str">
        <f>"Värmebesparing totalt för "&amp;U42&amp;" m2"</f>
        <v>Värmebesparing totalt för 1200 m2</v>
      </c>
      <c r="E20" s="168"/>
      <c r="F20" s="168"/>
      <c r="G20" s="169"/>
      <c r="H20" s="169"/>
      <c r="I20" s="170"/>
      <c r="J20" s="762">
        <f>+J18*$U$42</f>
        <v>0</v>
      </c>
      <c r="K20" s="763">
        <f t="shared" ref="K20:U20" si="6">+K18*$U$42</f>
        <v>0</v>
      </c>
      <c r="L20" s="763">
        <f t="shared" si="6"/>
        <v>0</v>
      </c>
      <c r="M20" s="763">
        <f>+M18*$U$42</f>
        <v>198887.27040000004</v>
      </c>
      <c r="N20" s="763">
        <f t="shared" si="6"/>
        <v>225405.57312000002</v>
      </c>
      <c r="O20" s="763">
        <f t="shared" si="6"/>
        <v>208083.13344000003</v>
      </c>
      <c r="P20" s="763">
        <f t="shared" si="6"/>
        <v>190600.30080000003</v>
      </c>
      <c r="Q20" s="763">
        <f t="shared" si="6"/>
        <v>0</v>
      </c>
      <c r="R20" s="763">
        <f t="shared" si="6"/>
        <v>0</v>
      </c>
      <c r="S20" s="763">
        <f t="shared" si="6"/>
        <v>0</v>
      </c>
      <c r="T20" s="763">
        <f t="shared" si="6"/>
        <v>0</v>
      </c>
      <c r="U20" s="768">
        <f t="shared" si="6"/>
        <v>0</v>
      </c>
      <c r="V20" s="769"/>
      <c r="W20" s="770">
        <f>SUM(J20:U20)</f>
        <v>822976.2777600002</v>
      </c>
      <c r="X20" s="178"/>
      <c r="AB20" s="179" t="s">
        <v>87</v>
      </c>
      <c r="AC20" s="174">
        <f>+AC18/AC16</f>
        <v>171.45339120000006</v>
      </c>
      <c r="AD20" s="71" t="s">
        <v>86</v>
      </c>
    </row>
    <row r="21" spans="2:30" s="103" customFormat="1" ht="23.25" customHeight="1" thickTop="1">
      <c r="B21" s="94"/>
      <c r="C21" s="137"/>
      <c r="D21" s="167" t="s">
        <v>372</v>
      </c>
      <c r="E21" s="177"/>
      <c r="F21" s="177"/>
      <c r="G21" s="180"/>
      <c r="H21" s="180"/>
      <c r="I21" s="141"/>
      <c r="J21" s="764"/>
      <c r="K21" s="771"/>
      <c r="L21" s="771"/>
      <c r="M21" s="771"/>
      <c r="N21" s="771"/>
      <c r="O21" s="771"/>
      <c r="P21" s="771"/>
      <c r="Q21" s="771"/>
      <c r="R21" s="771"/>
      <c r="S21" s="771"/>
      <c r="T21" s="771"/>
      <c r="U21" s="772"/>
      <c r="V21" s="773"/>
      <c r="W21" s="774"/>
      <c r="X21" s="181"/>
      <c r="AD21" s="182"/>
    </row>
    <row r="22" spans="2:30" s="103" customFormat="1" ht="3" customHeight="1">
      <c r="B22" s="94"/>
      <c r="C22" s="137"/>
      <c r="D22" s="105"/>
      <c r="E22" s="105"/>
      <c r="F22" s="105"/>
      <c r="G22" s="180"/>
      <c r="H22" s="180"/>
      <c r="I22" s="141"/>
      <c r="J22" s="764"/>
      <c r="K22" s="764"/>
      <c r="L22" s="764"/>
      <c r="M22" s="764"/>
      <c r="N22" s="764"/>
      <c r="O22" s="764"/>
      <c r="P22" s="764"/>
      <c r="Q22" s="764"/>
      <c r="R22" s="764"/>
      <c r="S22" s="764"/>
      <c r="T22" s="764"/>
      <c r="U22" s="775"/>
      <c r="V22" s="773"/>
      <c r="W22" s="774"/>
      <c r="X22" s="181"/>
    </row>
    <row r="23" spans="2:30" s="103" customFormat="1" ht="15.75" customHeight="1">
      <c r="B23" s="94"/>
      <c r="C23" s="137"/>
      <c r="D23" s="139" t="s">
        <v>374</v>
      </c>
      <c r="E23" s="139"/>
      <c r="F23" s="139"/>
      <c r="G23" s="183"/>
      <c r="H23" s="183"/>
      <c r="I23" s="718">
        <f>+'Den Snabba Analysen'!F65</f>
        <v>163.79310344827587</v>
      </c>
      <c r="J23" s="764">
        <f t="shared" ref="J23:U23" si="7">IF(J$16="+",$I$23*J28*$U$42,0)</f>
        <v>0</v>
      </c>
      <c r="K23" s="764">
        <f t="shared" si="7"/>
        <v>0</v>
      </c>
      <c r="L23" s="764">
        <f t="shared" si="7"/>
        <v>0</v>
      </c>
      <c r="M23" s="764">
        <f t="shared" si="7"/>
        <v>196551.72413793104</v>
      </c>
      <c r="N23" s="764">
        <f t="shared" si="7"/>
        <v>0</v>
      </c>
      <c r="O23" s="764">
        <f t="shared" si="7"/>
        <v>0</v>
      </c>
      <c r="P23" s="764">
        <f t="shared" si="7"/>
        <v>0</v>
      </c>
      <c r="Q23" s="764">
        <f t="shared" si="7"/>
        <v>0</v>
      </c>
      <c r="R23" s="764">
        <f t="shared" si="7"/>
        <v>0</v>
      </c>
      <c r="S23" s="764">
        <f t="shared" si="7"/>
        <v>0</v>
      </c>
      <c r="T23" s="764">
        <f t="shared" si="7"/>
        <v>0</v>
      </c>
      <c r="U23" s="775">
        <f t="shared" si="7"/>
        <v>0</v>
      </c>
      <c r="V23" s="773"/>
      <c r="W23" s="774">
        <f>SUM(J23:U23)</f>
        <v>196551.72413793104</v>
      </c>
      <c r="X23" s="102"/>
    </row>
    <row r="24" spans="2:30" s="103" customFormat="1" ht="15.75" customHeight="1">
      <c r="B24" s="94"/>
      <c r="C24" s="137"/>
      <c r="D24" s="139" t="s">
        <v>373</v>
      </c>
      <c r="E24" s="139"/>
      <c r="F24" s="139"/>
      <c r="G24" s="183"/>
      <c r="H24" s="183"/>
      <c r="I24" s="718">
        <f>+'Den Snabba Analysen'!F66</f>
        <v>76.551724137931046</v>
      </c>
      <c r="J24" s="764">
        <f t="shared" ref="J24:U24" si="8">IF(K$17=1,0,J$17*$I$24*$U$42)</f>
        <v>0</v>
      </c>
      <c r="K24" s="764">
        <f t="shared" si="8"/>
        <v>0</v>
      </c>
      <c r="L24" s="764">
        <f t="shared" si="8"/>
        <v>0</v>
      </c>
      <c r="M24" s="764">
        <f t="shared" si="8"/>
        <v>0</v>
      </c>
      <c r="N24" s="764">
        <f t="shared" si="8"/>
        <v>0</v>
      </c>
      <c r="O24" s="764">
        <f t="shared" si="8"/>
        <v>0</v>
      </c>
      <c r="P24" s="764">
        <f t="shared" si="8"/>
        <v>91862.068965517261</v>
      </c>
      <c r="Q24" s="764">
        <f t="shared" si="8"/>
        <v>0</v>
      </c>
      <c r="R24" s="764">
        <f t="shared" si="8"/>
        <v>0</v>
      </c>
      <c r="S24" s="764">
        <f t="shared" si="8"/>
        <v>0</v>
      </c>
      <c r="T24" s="764">
        <f t="shared" si="8"/>
        <v>0</v>
      </c>
      <c r="U24" s="775">
        <f t="shared" si="8"/>
        <v>0</v>
      </c>
      <c r="V24" s="773"/>
      <c r="W24" s="774">
        <f>SUM(J24:U24)</f>
        <v>91862.068965517261</v>
      </c>
      <c r="X24" s="102"/>
    </row>
    <row r="25" spans="2:30" s="103" customFormat="1" ht="28.5" customHeight="1">
      <c r="B25" s="94"/>
      <c r="C25" s="137"/>
      <c r="D25" s="885" t="s">
        <v>375</v>
      </c>
      <c r="E25" s="885"/>
      <c r="F25" s="885"/>
      <c r="G25" s="885"/>
      <c r="H25" s="183"/>
      <c r="I25" s="718">
        <f>+'Den Snabba Analysen'!B58</f>
        <v>1.9931034482758623</v>
      </c>
      <c r="J25" s="764">
        <f t="shared" ref="J25:U25" si="9">IF(J16="+",J8*$I$25*$U$42,0)*($H$25+1)</f>
        <v>0</v>
      </c>
      <c r="K25" s="764">
        <f t="shared" si="9"/>
        <v>0</v>
      </c>
      <c r="L25" s="764">
        <f t="shared" si="9"/>
        <v>0</v>
      </c>
      <c r="M25" s="764">
        <f t="shared" si="9"/>
        <v>74143.448275862072</v>
      </c>
      <c r="N25" s="764">
        <f t="shared" si="9"/>
        <v>74143.448275862072</v>
      </c>
      <c r="O25" s="764">
        <f t="shared" si="9"/>
        <v>66968.275862068971</v>
      </c>
      <c r="P25" s="764">
        <f t="shared" si="9"/>
        <v>74143.448275862072</v>
      </c>
      <c r="Q25" s="764">
        <f t="shared" si="9"/>
        <v>0</v>
      </c>
      <c r="R25" s="764">
        <f t="shared" si="9"/>
        <v>0</v>
      </c>
      <c r="S25" s="764">
        <f t="shared" si="9"/>
        <v>0</v>
      </c>
      <c r="T25" s="764">
        <f t="shared" si="9"/>
        <v>0</v>
      </c>
      <c r="U25" s="775">
        <f t="shared" si="9"/>
        <v>0</v>
      </c>
      <c r="V25" s="773"/>
      <c r="W25" s="774">
        <f>SUM(J25:U25)</f>
        <v>289398.62068965519</v>
      </c>
      <c r="X25" s="102"/>
    </row>
    <row r="26" spans="2:30" s="190" customFormat="1" ht="17.25" customHeight="1" thickBot="1">
      <c r="B26" s="184"/>
      <c r="C26" s="185"/>
      <c r="D26" s="177" t="s">
        <v>376</v>
      </c>
      <c r="E26" s="186"/>
      <c r="F26" s="186"/>
      <c r="G26" s="187"/>
      <c r="H26" s="187"/>
      <c r="I26" s="188"/>
      <c r="J26" s="765">
        <f>SUM(J22:J25)</f>
        <v>0</v>
      </c>
      <c r="K26" s="765">
        <f>SUM(K22:K25)</f>
        <v>0</v>
      </c>
      <c r="L26" s="765">
        <f t="shared" ref="L26:W26" si="10">SUM(L22:L25)</f>
        <v>0</v>
      </c>
      <c r="M26" s="765">
        <f t="shared" si="10"/>
        <v>270695.1724137931</v>
      </c>
      <c r="N26" s="765">
        <f t="shared" si="10"/>
        <v>74143.448275862072</v>
      </c>
      <c r="O26" s="765">
        <f t="shared" si="10"/>
        <v>66968.275862068971</v>
      </c>
      <c r="P26" s="765">
        <f t="shared" si="10"/>
        <v>166005.51724137933</v>
      </c>
      <c r="Q26" s="765">
        <f t="shared" si="10"/>
        <v>0</v>
      </c>
      <c r="R26" s="765">
        <f t="shared" si="10"/>
        <v>0</v>
      </c>
      <c r="S26" s="765">
        <f t="shared" si="10"/>
        <v>0</v>
      </c>
      <c r="T26" s="765">
        <f t="shared" si="10"/>
        <v>0</v>
      </c>
      <c r="U26" s="776">
        <f t="shared" si="10"/>
        <v>0</v>
      </c>
      <c r="V26" s="777"/>
      <c r="W26" s="778">
        <f t="shared" si="10"/>
        <v>577812.41379310354</v>
      </c>
      <c r="X26" s="189"/>
    </row>
    <row r="27" spans="2:30" s="179" customFormat="1" ht="20.25" customHeight="1" thickTop="1" thickBot="1">
      <c r="B27" s="175"/>
      <c r="C27" s="176"/>
      <c r="D27" s="177" t="s">
        <v>377</v>
      </c>
      <c r="E27" s="177"/>
      <c r="F27" s="177"/>
      <c r="G27" s="191"/>
      <c r="H27" s="191"/>
      <c r="I27" s="192" t="str">
        <f>(IF(MIN(J27:U27)&lt;0,"( - = tjänat)",""))</f>
        <v>( - = tjänat)</v>
      </c>
      <c r="J27" s="766">
        <f t="shared" ref="J27" si="11">+J26-J20</f>
        <v>0</v>
      </c>
      <c r="K27" s="767">
        <f>+K26-K20</f>
        <v>0</v>
      </c>
      <c r="L27" s="767">
        <f t="shared" ref="L27:U27" si="12">+L26-L20</f>
        <v>0</v>
      </c>
      <c r="M27" s="767">
        <f t="shared" si="12"/>
        <v>71807.902013793064</v>
      </c>
      <c r="N27" s="767">
        <f t="shared" si="12"/>
        <v>-151262.12484413793</v>
      </c>
      <c r="O27" s="767">
        <f t="shared" si="12"/>
        <v>-141114.85757793108</v>
      </c>
      <c r="P27" s="767">
        <f t="shared" si="12"/>
        <v>-24594.783558620693</v>
      </c>
      <c r="Q27" s="767">
        <f t="shared" si="12"/>
        <v>0</v>
      </c>
      <c r="R27" s="767">
        <f t="shared" si="12"/>
        <v>0</v>
      </c>
      <c r="S27" s="767">
        <f t="shared" si="12"/>
        <v>0</v>
      </c>
      <c r="T27" s="767">
        <f t="shared" si="12"/>
        <v>0</v>
      </c>
      <c r="U27" s="779">
        <f t="shared" si="12"/>
        <v>0</v>
      </c>
      <c r="V27" s="780"/>
      <c r="W27" s="781">
        <f>+W26-W20</f>
        <v>-245163.86396689666</v>
      </c>
      <c r="X27" s="193"/>
    </row>
    <row r="28" spans="2:30" ht="27" customHeight="1" thickTop="1">
      <c r="B28" s="81"/>
      <c r="C28" s="104"/>
      <c r="D28" s="194" t="s">
        <v>426</v>
      </c>
      <c r="E28" s="105"/>
      <c r="F28" s="105"/>
      <c r="G28" s="195"/>
      <c r="H28" s="195"/>
      <c r="I28" s="196"/>
      <c r="J28" s="782">
        <f>+J17</f>
        <v>0</v>
      </c>
      <c r="K28" s="782">
        <f>IF(SUM($J$17:J$17)&gt;0,0,K17)</f>
        <v>0</v>
      </c>
      <c r="L28" s="782">
        <f>IF(SUM($J$17:K$17)&gt;0,0,L17)</f>
        <v>0</v>
      </c>
      <c r="M28" s="782">
        <f>IF(SUM($J$17:L$17)&gt;0,0,M17)</f>
        <v>1</v>
      </c>
      <c r="N28" s="782">
        <f>IF(SUM($J$17:M$17)&gt;0,0,N17)</f>
        <v>0</v>
      </c>
      <c r="O28" s="782">
        <f>IF(SUM($J$17:N$17)&gt;0,0,O17)</f>
        <v>0</v>
      </c>
      <c r="P28" s="782">
        <f>IF(SUM($J$17:O$17)&gt;0,0,P17)</f>
        <v>0</v>
      </c>
      <c r="Q28" s="782">
        <f>IF(SUM($J$17:P$17)&gt;0,0,Q17)</f>
        <v>0</v>
      </c>
      <c r="R28" s="782">
        <f>IF(SUM($J$17:Q$17)&gt;0,0,R17)</f>
        <v>0</v>
      </c>
      <c r="S28" s="782">
        <f>IF(SUM($J$17:R$17)&gt;0,0,S17)</f>
        <v>0</v>
      </c>
      <c r="T28" s="782">
        <f>IF(SUM($J$17:S$17)&gt;0,0,T17)</f>
        <v>0</v>
      </c>
      <c r="U28" s="783">
        <f>IF(SUM($J$17:T$17)&gt;0,0,U17)</f>
        <v>0</v>
      </c>
      <c r="V28" s="784"/>
      <c r="W28" s="785"/>
      <c r="X28" s="87"/>
    </row>
    <row r="29" spans="2:30" s="103" customFormat="1">
      <c r="B29" s="94"/>
      <c r="C29" s="137"/>
      <c r="D29" s="139" t="s">
        <v>378</v>
      </c>
      <c r="E29" s="139"/>
      <c r="F29" s="139"/>
      <c r="G29" s="183"/>
      <c r="H29" s="183"/>
      <c r="I29" s="743">
        <v>575</v>
      </c>
      <c r="J29" s="764"/>
      <c r="K29" s="764"/>
      <c r="L29" s="764"/>
      <c r="M29" s="764"/>
      <c r="N29" s="764"/>
      <c r="O29" s="764"/>
      <c r="P29" s="764"/>
      <c r="Q29" s="764"/>
      <c r="R29" s="764"/>
      <c r="S29" s="764"/>
      <c r="T29" s="764"/>
      <c r="U29" s="775"/>
      <c r="V29" s="773"/>
      <c r="W29" s="774"/>
      <c r="X29" s="102"/>
    </row>
    <row r="30" spans="2:30" s="103" customFormat="1" ht="15.75" customHeight="1">
      <c r="B30" s="94"/>
      <c r="C30" s="137"/>
      <c r="D30" s="139" t="s">
        <v>379</v>
      </c>
      <c r="E30" s="139"/>
      <c r="F30" s="139"/>
      <c r="G30" s="140"/>
      <c r="H30" s="140"/>
      <c r="I30" s="197">
        <v>15</v>
      </c>
      <c r="J30" s="764">
        <f>J$28*$I$29*$I$30*$U$42/60</f>
        <v>0</v>
      </c>
      <c r="K30" s="764">
        <f>K$28*$I$29*$I$30*$U$42/60</f>
        <v>0</v>
      </c>
      <c r="L30" s="764">
        <f t="shared" ref="L30:U30" si="13">L$28*$I$29*$I$30*$U$42/60</f>
        <v>0</v>
      </c>
      <c r="M30" s="764">
        <f t="shared" si="13"/>
        <v>172500</v>
      </c>
      <c r="N30" s="764">
        <f>N$28*$I$29*$I$30*$U$42/60</f>
        <v>0</v>
      </c>
      <c r="O30" s="764">
        <f>O$28*$I$29*$I$30*$U$42/60</f>
        <v>0</v>
      </c>
      <c r="P30" s="764">
        <f t="shared" si="13"/>
        <v>0</v>
      </c>
      <c r="Q30" s="764">
        <f t="shared" si="13"/>
        <v>0</v>
      </c>
      <c r="R30" s="764">
        <f t="shared" si="13"/>
        <v>0</v>
      </c>
      <c r="S30" s="764">
        <f t="shared" si="13"/>
        <v>0</v>
      </c>
      <c r="T30" s="764">
        <f t="shared" si="13"/>
        <v>0</v>
      </c>
      <c r="U30" s="775">
        <f t="shared" si="13"/>
        <v>0</v>
      </c>
      <c r="V30" s="773"/>
      <c r="W30" s="774">
        <f t="shared" ref="W30:W36" si="14">SUM(J30:V30)</f>
        <v>172500</v>
      </c>
      <c r="X30" s="102"/>
    </row>
    <row r="31" spans="2:30" s="103" customFormat="1" ht="15.75" customHeight="1">
      <c r="B31" s="94"/>
      <c r="C31" s="137"/>
      <c r="D31" s="139" t="s">
        <v>380</v>
      </c>
      <c r="E31" s="742">
        <v>77</v>
      </c>
      <c r="F31" s="198" t="s">
        <v>381</v>
      </c>
      <c r="G31" s="199">
        <v>0.15</v>
      </c>
      <c r="H31" s="200" t="s">
        <v>88</v>
      </c>
      <c r="I31" s="201">
        <f>+E31*(1+G31)</f>
        <v>88.55</v>
      </c>
      <c r="J31" s="764">
        <f>J$28*$I$31*$U$42</f>
        <v>0</v>
      </c>
      <c r="K31" s="764">
        <f>K$28*$I$31*$U$42</f>
        <v>0</v>
      </c>
      <c r="L31" s="764">
        <f t="shared" ref="L31:U31" si="15">L$28*$I$31*$U$42</f>
        <v>0</v>
      </c>
      <c r="M31" s="764">
        <f t="shared" si="15"/>
        <v>106260</v>
      </c>
      <c r="N31" s="764">
        <f t="shared" si="15"/>
        <v>0</v>
      </c>
      <c r="O31" s="764">
        <f t="shared" si="15"/>
        <v>0</v>
      </c>
      <c r="P31" s="764">
        <f t="shared" si="15"/>
        <v>0</v>
      </c>
      <c r="Q31" s="764">
        <f t="shared" si="15"/>
        <v>0</v>
      </c>
      <c r="R31" s="764">
        <f t="shared" si="15"/>
        <v>0</v>
      </c>
      <c r="S31" s="764">
        <f t="shared" si="15"/>
        <v>0</v>
      </c>
      <c r="T31" s="764">
        <f t="shared" si="15"/>
        <v>0</v>
      </c>
      <c r="U31" s="775">
        <f t="shared" si="15"/>
        <v>0</v>
      </c>
      <c r="V31" s="773"/>
      <c r="W31" s="774">
        <f t="shared" si="14"/>
        <v>106260</v>
      </c>
      <c r="X31" s="102"/>
    </row>
    <row r="32" spans="2:30" s="103" customFormat="1" ht="15.75" customHeight="1">
      <c r="B32" s="94"/>
      <c r="C32" s="137"/>
      <c r="D32" s="139" t="s">
        <v>384</v>
      </c>
      <c r="E32" s="139"/>
      <c r="F32" s="139"/>
      <c r="G32" s="140"/>
      <c r="H32" s="140"/>
      <c r="I32" s="197">
        <v>13</v>
      </c>
      <c r="J32" s="764">
        <f>J$28*$I$29*$I$32*$U$42/60</f>
        <v>0</v>
      </c>
      <c r="K32" s="764">
        <f>K$28*$I$29*$I$32*$U$42/60</f>
        <v>0</v>
      </c>
      <c r="L32" s="764">
        <f t="shared" ref="L32:U32" si="16">L$28*$I$29*$I$32*$U$42/60</f>
        <v>0</v>
      </c>
      <c r="M32" s="764">
        <f t="shared" si="16"/>
        <v>149500</v>
      </c>
      <c r="N32" s="764">
        <f t="shared" si="16"/>
        <v>0</v>
      </c>
      <c r="O32" s="764">
        <f t="shared" si="16"/>
        <v>0</v>
      </c>
      <c r="P32" s="764">
        <f t="shared" si="16"/>
        <v>0</v>
      </c>
      <c r="Q32" s="764">
        <f t="shared" si="16"/>
        <v>0</v>
      </c>
      <c r="R32" s="764">
        <f t="shared" si="16"/>
        <v>0</v>
      </c>
      <c r="S32" s="764">
        <f t="shared" si="16"/>
        <v>0</v>
      </c>
      <c r="T32" s="764">
        <f t="shared" si="16"/>
        <v>0</v>
      </c>
      <c r="U32" s="775">
        <f t="shared" si="16"/>
        <v>0</v>
      </c>
      <c r="V32" s="773"/>
      <c r="W32" s="774">
        <f t="shared" si="14"/>
        <v>149500</v>
      </c>
      <c r="X32" s="102"/>
    </row>
    <row r="33" spans="2:29" s="103" customFormat="1" ht="15.75" customHeight="1">
      <c r="B33" s="94"/>
      <c r="C33" s="137"/>
      <c r="D33" s="139" t="s">
        <v>382</v>
      </c>
      <c r="E33" s="139"/>
      <c r="F33" s="139"/>
      <c r="G33" s="140"/>
      <c r="H33" s="140"/>
      <c r="I33" s="197">
        <v>3</v>
      </c>
      <c r="J33" s="764">
        <f t="shared" ref="J33:U33" si="17">IF(J$28=1,0,IF(J$16="+",$I$29*$I$33*$U$42/60,0))</f>
        <v>0</v>
      </c>
      <c r="K33" s="764">
        <f t="shared" si="17"/>
        <v>0</v>
      </c>
      <c r="L33" s="764">
        <f t="shared" si="17"/>
        <v>0</v>
      </c>
      <c r="M33" s="764">
        <f t="shared" si="17"/>
        <v>0</v>
      </c>
      <c r="N33" s="764">
        <f t="shared" si="17"/>
        <v>34500</v>
      </c>
      <c r="O33" s="764">
        <f t="shared" si="17"/>
        <v>34500</v>
      </c>
      <c r="P33" s="764">
        <f t="shared" si="17"/>
        <v>34500</v>
      </c>
      <c r="Q33" s="764">
        <f t="shared" si="17"/>
        <v>0</v>
      </c>
      <c r="R33" s="764">
        <f t="shared" si="17"/>
        <v>0</v>
      </c>
      <c r="S33" s="764">
        <f t="shared" si="17"/>
        <v>0</v>
      </c>
      <c r="T33" s="764">
        <f t="shared" si="17"/>
        <v>0</v>
      </c>
      <c r="U33" s="775">
        <f t="shared" si="17"/>
        <v>0</v>
      </c>
      <c r="V33" s="773"/>
      <c r="W33" s="774">
        <f t="shared" si="14"/>
        <v>103500</v>
      </c>
      <c r="X33" s="102"/>
    </row>
    <row r="34" spans="2:29" s="103" customFormat="1" ht="15.75" customHeight="1">
      <c r="B34" s="94"/>
      <c r="C34" s="137"/>
      <c r="D34" s="139" t="s">
        <v>383</v>
      </c>
      <c r="E34" s="139"/>
      <c r="F34" s="139"/>
      <c r="G34" s="140"/>
      <c r="H34" s="140"/>
      <c r="I34" s="197">
        <v>10</v>
      </c>
      <c r="J34" s="764">
        <f t="shared" ref="J34:U34" si="18">IF(K$17=1,0,J$17*$I$29*$I$34*$U$42/60)</f>
        <v>0</v>
      </c>
      <c r="K34" s="764">
        <f t="shared" si="18"/>
        <v>0</v>
      </c>
      <c r="L34" s="764">
        <f t="shared" si="18"/>
        <v>0</v>
      </c>
      <c r="M34" s="764">
        <f t="shared" si="18"/>
        <v>0</v>
      </c>
      <c r="N34" s="764">
        <f t="shared" si="18"/>
        <v>0</v>
      </c>
      <c r="O34" s="764">
        <f t="shared" si="18"/>
        <v>0</v>
      </c>
      <c r="P34" s="764">
        <f t="shared" si="18"/>
        <v>115000</v>
      </c>
      <c r="Q34" s="764">
        <f t="shared" si="18"/>
        <v>0</v>
      </c>
      <c r="R34" s="764">
        <f t="shared" si="18"/>
        <v>0</v>
      </c>
      <c r="S34" s="764">
        <f t="shared" si="18"/>
        <v>0</v>
      </c>
      <c r="T34" s="764">
        <f t="shared" si="18"/>
        <v>0</v>
      </c>
      <c r="U34" s="775">
        <f t="shared" si="18"/>
        <v>0</v>
      </c>
      <c r="V34" s="773"/>
      <c r="W34" s="774">
        <f t="shared" si="14"/>
        <v>115000</v>
      </c>
      <c r="X34" s="102"/>
    </row>
    <row r="35" spans="2:29" s="103" customFormat="1" ht="15.75" customHeight="1">
      <c r="B35" s="94"/>
      <c r="C35" s="137"/>
      <c r="D35" s="139" t="s">
        <v>385</v>
      </c>
      <c r="E35" s="139"/>
      <c r="F35" s="139"/>
      <c r="G35" s="140"/>
      <c r="H35" s="140"/>
      <c r="I35" s="197">
        <v>25</v>
      </c>
      <c r="J35" s="764">
        <f t="shared" ref="J35:U35" si="19">IF(K$17=1,0,J$17*$I$35*$U$42)</f>
        <v>0</v>
      </c>
      <c r="K35" s="764">
        <f t="shared" si="19"/>
        <v>0</v>
      </c>
      <c r="L35" s="764">
        <f t="shared" si="19"/>
        <v>0</v>
      </c>
      <c r="M35" s="764">
        <f t="shared" si="19"/>
        <v>0</v>
      </c>
      <c r="N35" s="764">
        <f t="shared" si="19"/>
        <v>0</v>
      </c>
      <c r="O35" s="764">
        <f t="shared" si="19"/>
        <v>0</v>
      </c>
      <c r="P35" s="764">
        <f t="shared" si="19"/>
        <v>30000</v>
      </c>
      <c r="Q35" s="764">
        <f t="shared" si="19"/>
        <v>0</v>
      </c>
      <c r="R35" s="764">
        <f t="shared" si="19"/>
        <v>0</v>
      </c>
      <c r="S35" s="764">
        <f t="shared" si="19"/>
        <v>0</v>
      </c>
      <c r="T35" s="764">
        <f t="shared" si="19"/>
        <v>0</v>
      </c>
      <c r="U35" s="775">
        <f t="shared" si="19"/>
        <v>0</v>
      </c>
      <c r="V35" s="773"/>
      <c r="W35" s="774">
        <f t="shared" si="14"/>
        <v>30000</v>
      </c>
      <c r="X35" s="102"/>
    </row>
    <row r="36" spans="2:29" s="190" customFormat="1" ht="14.25" customHeight="1" thickBot="1">
      <c r="B36" s="184"/>
      <c r="C36" s="185"/>
      <c r="D36" s="186" t="s">
        <v>386</v>
      </c>
      <c r="E36" s="186"/>
      <c r="F36" s="186"/>
      <c r="G36" s="202"/>
      <c r="H36" s="202"/>
      <c r="I36" s="203"/>
      <c r="J36" s="786">
        <f t="shared" ref="J36:U36" si="20">SUM(J30:J35)</f>
        <v>0</v>
      </c>
      <c r="K36" s="787">
        <f t="shared" si="20"/>
        <v>0</v>
      </c>
      <c r="L36" s="787">
        <f t="shared" si="20"/>
        <v>0</v>
      </c>
      <c r="M36" s="787">
        <f t="shared" si="20"/>
        <v>428260</v>
      </c>
      <c r="N36" s="787">
        <f t="shared" si="20"/>
        <v>34500</v>
      </c>
      <c r="O36" s="787">
        <f t="shared" si="20"/>
        <v>34500</v>
      </c>
      <c r="P36" s="787">
        <f t="shared" si="20"/>
        <v>179500</v>
      </c>
      <c r="Q36" s="787">
        <f t="shared" si="20"/>
        <v>0</v>
      </c>
      <c r="R36" s="787">
        <f t="shared" si="20"/>
        <v>0</v>
      </c>
      <c r="S36" s="787">
        <f t="shared" si="20"/>
        <v>0</v>
      </c>
      <c r="T36" s="787">
        <f t="shared" si="20"/>
        <v>0</v>
      </c>
      <c r="U36" s="788">
        <f t="shared" si="20"/>
        <v>0</v>
      </c>
      <c r="V36" s="789"/>
      <c r="W36" s="790">
        <f t="shared" si="14"/>
        <v>676760</v>
      </c>
      <c r="X36" s="189"/>
    </row>
    <row r="37" spans="2:29" s="103" customFormat="1" ht="6" customHeight="1" thickTop="1" thickBot="1">
      <c r="B37" s="94"/>
      <c r="C37" s="137"/>
      <c r="D37" s="139"/>
      <c r="E37" s="139"/>
      <c r="F37" s="139"/>
      <c r="G37" s="140"/>
      <c r="H37" s="140"/>
      <c r="I37" s="204"/>
      <c r="J37" s="764"/>
      <c r="K37" s="771"/>
      <c r="L37" s="771"/>
      <c r="M37" s="771"/>
      <c r="N37" s="771"/>
      <c r="O37" s="771"/>
      <c r="P37" s="771"/>
      <c r="Q37" s="771"/>
      <c r="R37" s="771"/>
      <c r="S37" s="771"/>
      <c r="T37" s="771"/>
      <c r="U37" s="772"/>
      <c r="V37" s="791"/>
      <c r="W37" s="792"/>
      <c r="X37" s="102"/>
    </row>
    <row r="38" spans="2:29" s="103" customFormat="1" ht="24" customHeight="1" thickTop="1" thickBot="1">
      <c r="B38" s="94"/>
      <c r="C38" s="205"/>
      <c r="D38" s="886" t="str">
        <f>IF(MIN($J$38:$U$38)&lt;0,"Nettovinst med Altiflex      ( - = meromkostnad)","Nettovinst med Altiflex")</f>
        <v>Nettovinst med Altiflex</v>
      </c>
      <c r="E38" s="886" t="str">
        <f t="shared" ref="E38:I38" si="21">IF(MIN($J$38:$U$38)&lt;0,"Besparelse med Altiflex      ( - = meromkostning)","Besparelse med Altiflex")</f>
        <v>Besparelse med Altiflex</v>
      </c>
      <c r="F38" s="886" t="str">
        <f t="shared" si="21"/>
        <v>Besparelse med Altiflex</v>
      </c>
      <c r="G38" s="886" t="str">
        <f t="shared" si="21"/>
        <v>Besparelse med Altiflex</v>
      </c>
      <c r="H38" s="886" t="str">
        <f t="shared" si="21"/>
        <v>Besparelse med Altiflex</v>
      </c>
      <c r="I38" s="887" t="str">
        <f t="shared" si="21"/>
        <v>Besparelse med Altiflex</v>
      </c>
      <c r="J38" s="793">
        <f t="shared" ref="J38:U38" si="22">+J36-J27</f>
        <v>0</v>
      </c>
      <c r="K38" s="793">
        <f t="shared" si="22"/>
        <v>0</v>
      </c>
      <c r="L38" s="793">
        <f t="shared" si="22"/>
        <v>0</v>
      </c>
      <c r="M38" s="793">
        <f t="shared" si="22"/>
        <v>356452.09798620694</v>
      </c>
      <c r="N38" s="793">
        <f t="shared" si="22"/>
        <v>185762.12484413793</v>
      </c>
      <c r="O38" s="793">
        <f t="shared" si="22"/>
        <v>175614.85757793108</v>
      </c>
      <c r="P38" s="793">
        <f t="shared" si="22"/>
        <v>204094.78355862069</v>
      </c>
      <c r="Q38" s="793">
        <f t="shared" si="22"/>
        <v>0</v>
      </c>
      <c r="R38" s="793">
        <f t="shared" si="22"/>
        <v>0</v>
      </c>
      <c r="S38" s="793">
        <f t="shared" si="22"/>
        <v>0</v>
      </c>
      <c r="T38" s="793">
        <f t="shared" si="22"/>
        <v>0</v>
      </c>
      <c r="U38" s="793">
        <f t="shared" si="22"/>
        <v>0</v>
      </c>
      <c r="V38" s="794"/>
      <c r="W38" s="795">
        <f>SUM(J38:U38)</f>
        <v>921923.86396689678</v>
      </c>
      <c r="X38" s="102"/>
    </row>
    <row r="39" spans="2:29" s="103" customFormat="1" ht="14.25" customHeight="1" thickTop="1">
      <c r="B39" s="94"/>
      <c r="D39" s="206"/>
      <c r="G39" s="207"/>
      <c r="H39" s="207"/>
      <c r="I39" s="208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102"/>
    </row>
    <row r="40" spans="2:29" s="103" customFormat="1" ht="26.25" customHeight="1">
      <c r="B40" s="94"/>
      <c r="C40" s="139"/>
      <c r="D40" s="210" t="s">
        <v>387</v>
      </c>
      <c r="E40" s="210"/>
      <c r="F40" s="210"/>
      <c r="G40" s="211"/>
      <c r="H40" s="211"/>
      <c r="I40" s="212"/>
      <c r="J40" s="213"/>
      <c r="K40" s="214"/>
      <c r="L40" s="214"/>
      <c r="M40" s="186" t="s">
        <v>392</v>
      </c>
      <c r="N40" s="215"/>
      <c r="O40" s="216"/>
      <c r="P40" s="216"/>
      <c r="Q40" s="217"/>
      <c r="R40" s="218"/>
      <c r="S40" s="218"/>
      <c r="T40" s="219"/>
      <c r="U40" s="215"/>
      <c r="V40" s="215"/>
      <c r="W40" s="220"/>
      <c r="X40" s="102"/>
    </row>
    <row r="41" spans="2:29" ht="16.5" customHeight="1" thickBot="1">
      <c r="B41" s="81"/>
      <c r="C41" s="105"/>
      <c r="D41" s="221" t="s">
        <v>388</v>
      </c>
      <c r="E41" s="221"/>
      <c r="F41" s="221"/>
      <c r="G41" s="211"/>
      <c r="H41" s="222"/>
      <c r="I41" s="722">
        <v>360</v>
      </c>
      <c r="J41" s="223"/>
      <c r="K41" s="224"/>
      <c r="L41" s="224"/>
      <c r="M41" s="225" t="s">
        <v>434</v>
      </c>
      <c r="N41" s="225"/>
      <c r="O41" s="225"/>
      <c r="P41" s="225"/>
      <c r="Q41" s="226"/>
      <c r="R41" s="218"/>
      <c r="S41" s="227"/>
      <c r="T41" s="219"/>
      <c r="U41" s="228"/>
      <c r="V41" s="228"/>
      <c r="W41" s="228"/>
      <c r="X41" s="87"/>
    </row>
    <row r="42" spans="2:29" ht="19">
      <c r="B42" s="81"/>
      <c r="C42" s="105"/>
      <c r="D42" s="221" t="s">
        <v>389</v>
      </c>
      <c r="E42" s="221"/>
      <c r="F42" s="221"/>
      <c r="G42" s="229"/>
      <c r="H42" s="229"/>
      <c r="I42" s="230">
        <v>15</v>
      </c>
      <c r="J42" s="720">
        <f>+I42*I41/60</f>
        <v>90</v>
      </c>
      <c r="K42" s="224"/>
      <c r="L42" s="228"/>
      <c r="M42" s="231" t="s">
        <v>393</v>
      </c>
      <c r="N42" s="228"/>
      <c r="O42" s="225"/>
      <c r="P42" s="225"/>
      <c r="Q42" s="226"/>
      <c r="R42" s="232"/>
      <c r="S42" s="232"/>
      <c r="T42" s="233"/>
      <c r="U42" s="888">
        <f>+'Den Snabba Analysen'!C8</f>
        <v>1200</v>
      </c>
      <c r="V42" s="228"/>
      <c r="W42" s="228"/>
      <c r="X42" s="87"/>
      <c r="Z42" s="234" t="s">
        <v>89</v>
      </c>
      <c r="AA42" s="235"/>
      <c r="AB42" s="235"/>
      <c r="AC42" s="236"/>
    </row>
    <row r="43" spans="2:29" ht="14.5">
      <c r="B43" s="81"/>
      <c r="C43" s="105"/>
      <c r="D43" s="221" t="s">
        <v>390</v>
      </c>
      <c r="E43" s="723">
        <v>46</v>
      </c>
      <c r="F43" s="237" t="s">
        <v>381</v>
      </c>
      <c r="G43" s="238">
        <v>0.15</v>
      </c>
      <c r="H43" s="239" t="s">
        <v>88</v>
      </c>
      <c r="I43" s="722">
        <f>+E43*(1+G43)</f>
        <v>52.9</v>
      </c>
      <c r="J43" s="720">
        <f>+I43</f>
        <v>52.9</v>
      </c>
      <c r="K43" s="224"/>
      <c r="L43" s="228"/>
      <c r="M43" s="240" t="s">
        <v>394</v>
      </c>
      <c r="N43" s="241"/>
      <c r="O43" s="241"/>
      <c r="P43" s="241"/>
      <c r="Q43" s="240"/>
      <c r="R43" s="241"/>
      <c r="S43" s="241"/>
      <c r="T43" s="241"/>
      <c r="U43" s="889"/>
      <c r="V43" s="228"/>
      <c r="W43" s="228"/>
      <c r="X43" s="87"/>
      <c r="Z43" s="242"/>
      <c r="AA43" s="243"/>
      <c r="AB43" s="243"/>
      <c r="AC43" s="244"/>
    </row>
    <row r="44" spans="2:29" ht="14.5">
      <c r="B44" s="81"/>
      <c r="C44" s="105"/>
      <c r="D44" s="221" t="s">
        <v>384</v>
      </c>
      <c r="E44" s="221"/>
      <c r="F44" s="221"/>
      <c r="G44" s="229"/>
      <c r="H44" s="229"/>
      <c r="I44" s="230">
        <v>13</v>
      </c>
      <c r="J44" s="720">
        <f>+I44*I41/60</f>
        <v>78</v>
      </c>
      <c r="K44" s="224"/>
      <c r="L44" s="228"/>
      <c r="M44" s="240"/>
      <c r="N44" s="241"/>
      <c r="O44" s="241"/>
      <c r="P44" s="241"/>
      <c r="Q44" s="240"/>
      <c r="R44" s="241"/>
      <c r="S44" s="241"/>
      <c r="T44" s="241"/>
      <c r="U44" s="890"/>
      <c r="V44" s="228"/>
      <c r="W44" s="228"/>
      <c r="X44" s="87"/>
      <c r="Z44" s="242" t="s">
        <v>90</v>
      </c>
      <c r="AA44" s="243"/>
      <c r="AB44" s="245"/>
      <c r="AC44" s="244"/>
    </row>
    <row r="45" spans="2:29" ht="14.5">
      <c r="B45" s="81"/>
      <c r="C45" s="105"/>
      <c r="D45" s="221" t="s">
        <v>391</v>
      </c>
      <c r="E45" s="221"/>
      <c r="F45" s="221"/>
      <c r="G45" s="229"/>
      <c r="H45" s="229"/>
      <c r="I45" s="230">
        <v>2</v>
      </c>
      <c r="J45" s="720">
        <f>+I45*I41/60</f>
        <v>12</v>
      </c>
      <c r="K45" s="224"/>
      <c r="L45" s="224"/>
      <c r="M45" s="226" t="s">
        <v>395</v>
      </c>
      <c r="N45" s="241"/>
      <c r="O45" s="241"/>
      <c r="P45" s="241"/>
      <c r="Q45" s="240"/>
      <c r="R45" s="241"/>
      <c r="S45" s="241"/>
      <c r="T45" s="241"/>
      <c r="U45" s="241"/>
      <c r="V45" s="228"/>
      <c r="W45" s="228"/>
      <c r="X45" s="87"/>
      <c r="Z45" s="246" t="s">
        <v>91</v>
      </c>
      <c r="AA45" s="247"/>
      <c r="AB45" s="248"/>
      <c r="AC45" s="244"/>
    </row>
    <row r="46" spans="2:29" ht="14.5">
      <c r="B46" s="81"/>
      <c r="C46" s="105"/>
      <c r="D46" s="221" t="s">
        <v>383</v>
      </c>
      <c r="E46" s="221"/>
      <c r="F46" s="221"/>
      <c r="G46" s="229"/>
      <c r="H46" s="229"/>
      <c r="I46" s="230">
        <v>10</v>
      </c>
      <c r="J46" s="720">
        <f>+I46*I41/60</f>
        <v>60</v>
      </c>
      <c r="K46" s="224"/>
      <c r="L46" s="228"/>
      <c r="M46" s="240"/>
      <c r="N46" s="241"/>
      <c r="O46" s="241"/>
      <c r="P46" s="241"/>
      <c r="Q46" s="240"/>
      <c r="R46" s="241"/>
      <c r="S46" s="241"/>
      <c r="T46" s="241"/>
      <c r="U46" s="241"/>
      <c r="V46" s="228"/>
      <c r="W46" s="228"/>
      <c r="X46" s="87"/>
      <c r="Z46" s="246" t="s">
        <v>92</v>
      </c>
      <c r="AA46" s="247"/>
      <c r="AB46" s="248">
        <f>+AB44-AB45</f>
        <v>0</v>
      </c>
      <c r="AC46" s="244"/>
    </row>
    <row r="47" spans="2:29" ht="14.5">
      <c r="B47" s="81"/>
      <c r="C47" s="105"/>
      <c r="D47" s="221" t="s">
        <v>385</v>
      </c>
      <c r="E47" s="221"/>
      <c r="F47" s="221"/>
      <c r="G47" s="229"/>
      <c r="H47" s="229"/>
      <c r="I47" s="722">
        <v>15</v>
      </c>
      <c r="J47" s="720">
        <f>+I47</f>
        <v>15</v>
      </c>
      <c r="K47" s="224"/>
      <c r="L47" s="249"/>
      <c r="M47" s="250" t="s">
        <v>396</v>
      </c>
      <c r="N47" s="228"/>
      <c r="O47" s="225"/>
      <c r="P47" s="871" t="s">
        <v>93</v>
      </c>
      <c r="Q47" s="871"/>
      <c r="R47" s="871"/>
      <c r="S47" s="871"/>
      <c r="T47" s="871"/>
      <c r="U47" s="871"/>
      <c r="V47" s="871"/>
      <c r="W47" s="228"/>
      <c r="X47" s="87"/>
      <c r="Z47" s="242"/>
      <c r="AA47" s="243"/>
      <c r="AB47" s="245"/>
      <c r="AC47" s="244"/>
    </row>
    <row r="48" spans="2:29" ht="19.5" customHeight="1" thickBot="1">
      <c r="B48" s="81"/>
      <c r="C48" s="105"/>
      <c r="D48" s="221" t="s">
        <v>345</v>
      </c>
      <c r="E48" s="251"/>
      <c r="F48" s="251"/>
      <c r="G48" s="251"/>
      <c r="H48" s="251"/>
      <c r="I48" s="223"/>
      <c r="J48" s="721">
        <f>SUM(J42:J47)</f>
        <v>307.89999999999998</v>
      </c>
      <c r="K48" s="224"/>
      <c r="L48" s="249"/>
      <c r="M48" s="250" t="s">
        <v>397</v>
      </c>
      <c r="N48" s="228"/>
      <c r="O48" s="225"/>
      <c r="P48" s="228"/>
      <c r="Q48" s="252"/>
      <c r="R48" s="228"/>
      <c r="S48" s="228"/>
      <c r="T48" s="228"/>
      <c r="U48" s="253"/>
      <c r="V48" s="228"/>
      <c r="W48" s="228"/>
      <c r="X48" s="87"/>
      <c r="Z48" s="242" t="s">
        <v>94</v>
      </c>
      <c r="AA48" s="243"/>
      <c r="AB48" s="245"/>
      <c r="AC48" s="244"/>
    </row>
    <row r="49" spans="2:29" ht="14.5" thickTop="1">
      <c r="B49" s="81"/>
      <c r="C49" s="105"/>
      <c r="D49" s="224"/>
      <c r="E49" s="224"/>
      <c r="F49" s="224"/>
      <c r="G49" s="224"/>
      <c r="H49" s="224"/>
      <c r="I49" s="224"/>
      <c r="J49" s="224"/>
      <c r="K49" s="224"/>
      <c r="L49" s="224"/>
      <c r="M49" s="224" t="s">
        <v>398</v>
      </c>
      <c r="N49" s="224"/>
      <c r="O49" s="224"/>
      <c r="P49" s="224"/>
      <c r="Q49" s="224"/>
      <c r="R49" s="224"/>
      <c r="S49" s="224"/>
      <c r="T49" s="224"/>
      <c r="U49" s="224"/>
      <c r="V49" s="228"/>
      <c r="W49" s="228"/>
      <c r="X49" s="87"/>
      <c r="Z49" s="242" t="s">
        <v>95</v>
      </c>
      <c r="AA49" s="243"/>
      <c r="AB49" s="248">
        <f>+AC16*30</f>
        <v>120</v>
      </c>
      <c r="AC49" s="244"/>
    </row>
    <row r="50" spans="2:29" ht="13.5" customHeight="1" thickBot="1">
      <c r="B50" s="254"/>
      <c r="C50" s="255"/>
      <c r="D50" s="255"/>
      <c r="E50" s="255"/>
      <c r="F50" s="255"/>
      <c r="G50" s="256"/>
      <c r="H50" s="256"/>
      <c r="I50" s="257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9"/>
      <c r="Z50" s="242"/>
      <c r="AA50" s="243"/>
      <c r="AB50" s="245"/>
      <c r="AC50" s="244"/>
    </row>
    <row r="51" spans="2:29" ht="14.5" thickTop="1">
      <c r="B51" s="260"/>
      <c r="C51" s="260"/>
      <c r="D51" s="260"/>
      <c r="E51" s="260"/>
      <c r="F51" s="260"/>
      <c r="G51" s="261"/>
      <c r="H51" s="261"/>
      <c r="I51" s="262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0"/>
      <c r="Z51" s="264" t="s">
        <v>96</v>
      </c>
      <c r="AA51" s="265"/>
      <c r="AB51" s="266">
        <f>+AB46-AB49</f>
        <v>-120</v>
      </c>
      <c r="AC51" s="244"/>
    </row>
    <row r="52" spans="2:29">
      <c r="B52" s="260"/>
      <c r="C52" s="260"/>
      <c r="D52" s="260"/>
      <c r="E52" s="260"/>
      <c r="F52" s="260"/>
      <c r="G52" s="261"/>
      <c r="H52" s="261"/>
      <c r="I52" s="262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0"/>
      <c r="Z52" s="264"/>
      <c r="AA52" s="265"/>
      <c r="AB52" s="265"/>
      <c r="AC52" s="244"/>
    </row>
    <row r="53" spans="2:29" ht="19">
      <c r="B53" s="260"/>
      <c r="C53" s="260"/>
      <c r="L53" s="267" t="s">
        <v>399</v>
      </c>
      <c r="Z53" s="264" t="s">
        <v>97</v>
      </c>
      <c r="AA53" s="265"/>
      <c r="AB53" s="265"/>
      <c r="AC53" s="244"/>
    </row>
    <row r="54" spans="2:29">
      <c r="B54" s="260"/>
      <c r="C54" s="260"/>
      <c r="L54" s="268" t="s">
        <v>400</v>
      </c>
      <c r="M54" s="249"/>
      <c r="N54" s="249"/>
      <c r="O54" s="249"/>
      <c r="P54" s="249"/>
      <c r="Q54" s="249"/>
      <c r="R54" s="249"/>
      <c r="S54" s="249"/>
      <c r="T54" s="249"/>
      <c r="U54" s="249"/>
      <c r="Z54" s="264" t="s">
        <v>98</v>
      </c>
      <c r="AA54" s="265"/>
      <c r="AB54" s="265"/>
      <c r="AC54" s="244"/>
    </row>
    <row r="55" spans="2:29">
      <c r="B55" s="260"/>
      <c r="C55" s="260"/>
      <c r="L55" s="249"/>
      <c r="M55" s="249"/>
      <c r="N55" s="249"/>
      <c r="O55" s="249"/>
      <c r="P55" s="269" t="s">
        <v>48</v>
      </c>
      <c r="Q55" s="269" t="s">
        <v>50</v>
      </c>
      <c r="R55" s="269" t="s">
        <v>51</v>
      </c>
      <c r="S55" s="269" t="s">
        <v>52</v>
      </c>
      <c r="T55" s="269" t="s">
        <v>53</v>
      </c>
      <c r="U55" s="269" t="s">
        <v>55</v>
      </c>
      <c r="Z55" s="264" t="s">
        <v>99</v>
      </c>
      <c r="AA55" s="265"/>
      <c r="AB55" s="265"/>
      <c r="AC55" s="244"/>
    </row>
    <row r="56" spans="2:29">
      <c r="B56" s="260"/>
      <c r="C56" s="260"/>
      <c r="L56" s="249" t="s">
        <v>401</v>
      </c>
      <c r="M56" s="249"/>
      <c r="N56" s="249"/>
      <c r="O56" s="249"/>
      <c r="P56" s="724">
        <f t="shared" ref="P56:U56" si="23">+N20/$U$42</f>
        <v>187.83797760000002</v>
      </c>
      <c r="Q56" s="724">
        <f t="shared" si="23"/>
        <v>173.40261120000002</v>
      </c>
      <c r="R56" s="724">
        <f t="shared" si="23"/>
        <v>158.83358400000003</v>
      </c>
      <c r="S56" s="270">
        <f t="shared" si="23"/>
        <v>0</v>
      </c>
      <c r="T56" s="270">
        <f t="shared" si="23"/>
        <v>0</v>
      </c>
      <c r="U56" s="270">
        <f t="shared" si="23"/>
        <v>0</v>
      </c>
      <c r="Z56" s="242"/>
      <c r="AA56" s="243"/>
      <c r="AB56" s="243"/>
      <c r="AC56" s="244"/>
    </row>
    <row r="57" spans="2:29">
      <c r="B57" s="260"/>
      <c r="C57" s="260"/>
      <c r="L57" s="249" t="s">
        <v>402</v>
      </c>
      <c r="M57" s="249"/>
      <c r="N57" s="249"/>
      <c r="O57" s="249"/>
      <c r="P57" s="724">
        <f>SUM(N30:N32)/$U$42</f>
        <v>0</v>
      </c>
      <c r="Q57" s="724">
        <f t="shared" ref="Q57:U57" si="24">SUM(O30:O32)/$U$42</f>
        <v>0</v>
      </c>
      <c r="R57" s="724">
        <f t="shared" si="24"/>
        <v>0</v>
      </c>
      <c r="S57" s="270">
        <f t="shared" si="24"/>
        <v>0</v>
      </c>
      <c r="T57" s="270">
        <f t="shared" si="24"/>
        <v>0</v>
      </c>
      <c r="U57" s="270">
        <f t="shared" si="24"/>
        <v>0</v>
      </c>
      <c r="Z57" s="242"/>
      <c r="AA57" s="243"/>
      <c r="AB57" s="243"/>
      <c r="AC57" s="244"/>
    </row>
    <row r="58" spans="2:29" ht="14.5" thickBot="1">
      <c r="B58" s="260"/>
      <c r="C58" s="260"/>
      <c r="L58" s="249" t="s">
        <v>403</v>
      </c>
      <c r="M58" s="249"/>
      <c r="N58" s="249"/>
      <c r="O58" s="249"/>
      <c r="P58" s="724">
        <f>+N33/$U$42</f>
        <v>28.75</v>
      </c>
      <c r="Q58" s="724">
        <f t="shared" ref="Q58:U58" si="25">+O33/$U$42</f>
        <v>28.75</v>
      </c>
      <c r="R58" s="724">
        <f t="shared" si="25"/>
        <v>28.75</v>
      </c>
      <c r="S58" s="270">
        <f t="shared" si="25"/>
        <v>0</v>
      </c>
      <c r="T58" s="270">
        <f t="shared" si="25"/>
        <v>0</v>
      </c>
      <c r="U58" s="270">
        <f t="shared" si="25"/>
        <v>0</v>
      </c>
      <c r="Z58" s="271"/>
      <c r="AA58" s="272"/>
      <c r="AB58" s="272"/>
      <c r="AC58" s="273"/>
    </row>
    <row r="59" spans="2:29">
      <c r="B59" s="260"/>
      <c r="C59" s="260"/>
      <c r="L59" s="249" t="s">
        <v>404</v>
      </c>
      <c r="M59" s="249"/>
      <c r="N59" s="249"/>
      <c r="O59" s="249"/>
      <c r="P59" s="724">
        <f>SUM(N34:N35)/$U$42</f>
        <v>0</v>
      </c>
      <c r="Q59" s="724">
        <f t="shared" ref="Q59:U59" si="26">SUM(O34:O35)/$U$42</f>
        <v>0</v>
      </c>
      <c r="R59" s="724">
        <f t="shared" si="26"/>
        <v>120.83333333333333</v>
      </c>
      <c r="S59" s="270">
        <f t="shared" si="26"/>
        <v>0</v>
      </c>
      <c r="T59" s="270">
        <f t="shared" si="26"/>
        <v>0</v>
      </c>
      <c r="U59" s="270">
        <f t="shared" si="26"/>
        <v>0</v>
      </c>
    </row>
    <row r="60" spans="2:29" ht="7.5" customHeight="1">
      <c r="B60" s="260"/>
      <c r="C60" s="260"/>
      <c r="L60" s="249"/>
      <c r="M60" s="249"/>
      <c r="N60" s="249"/>
      <c r="O60" s="249"/>
      <c r="P60" s="249"/>
      <c r="Q60" s="249"/>
      <c r="R60" s="249"/>
      <c r="S60" s="249"/>
      <c r="T60" s="249"/>
      <c r="U60" s="249"/>
    </row>
    <row r="61" spans="2:29">
      <c r="B61" s="260"/>
      <c r="C61" s="260"/>
      <c r="L61" s="249"/>
      <c r="M61" s="249"/>
      <c r="N61" s="249"/>
      <c r="O61" s="249"/>
      <c r="P61" s="269" t="s">
        <v>57</v>
      </c>
      <c r="Q61" s="269" t="s">
        <v>59</v>
      </c>
      <c r="R61" s="269" t="s">
        <v>43</v>
      </c>
      <c r="S61" s="269" t="s">
        <v>45</v>
      </c>
      <c r="T61" s="269" t="s">
        <v>46</v>
      </c>
      <c r="U61" s="269" t="s">
        <v>47</v>
      </c>
    </row>
    <row r="62" spans="2:29">
      <c r="B62" s="260"/>
      <c r="C62" s="260"/>
      <c r="L62" s="249" t="s">
        <v>401</v>
      </c>
      <c r="M62" s="249"/>
      <c r="N62" s="249"/>
      <c r="O62" s="249"/>
      <c r="P62" s="270">
        <f>+T20/$U$42</f>
        <v>0</v>
      </c>
      <c r="Q62" s="270">
        <f t="shared" ref="Q62" si="27">+U20/$U$42</f>
        <v>0</v>
      </c>
      <c r="R62" s="270">
        <f>+J20/$U$42</f>
        <v>0</v>
      </c>
      <c r="S62" s="270">
        <f t="shared" ref="S62:U62" si="28">+K20/$U$42</f>
        <v>0</v>
      </c>
      <c r="T62" s="270">
        <f t="shared" si="28"/>
        <v>0</v>
      </c>
      <c r="U62" s="270">
        <f t="shared" si="28"/>
        <v>165.73939200000004</v>
      </c>
      <c r="W62" s="725">
        <f>SUM(P62:V62)+SUM(P56:U56)</f>
        <v>685.81356480000011</v>
      </c>
    </row>
    <row r="63" spans="2:29">
      <c r="B63" s="260"/>
      <c r="C63" s="260"/>
      <c r="L63" s="249" t="s">
        <v>405</v>
      </c>
      <c r="M63" s="249"/>
      <c r="N63" s="249"/>
      <c r="O63" s="249"/>
      <c r="P63" s="270">
        <f>SUM(T30:T32)/$U$42</f>
        <v>0</v>
      </c>
      <c r="Q63" s="270">
        <f>SUM(U30:U32)/$U$42</f>
        <v>0</v>
      </c>
      <c r="R63" s="270">
        <f>SUM(J30:J32)/$U$42</f>
        <v>0</v>
      </c>
      <c r="S63" s="270">
        <f t="shared" ref="S63:U63" si="29">SUM(K30:K32)/$U$42</f>
        <v>0</v>
      </c>
      <c r="T63" s="270">
        <f t="shared" si="29"/>
        <v>0</v>
      </c>
      <c r="U63" s="270">
        <f t="shared" si="29"/>
        <v>356.88333333333333</v>
      </c>
      <c r="W63" s="725">
        <f t="shared" ref="W63:W65" si="30">SUM(P63:V63)+SUM(P57:U57)</f>
        <v>356.88333333333333</v>
      </c>
    </row>
    <row r="64" spans="2:29">
      <c r="B64" s="260"/>
      <c r="C64" s="260"/>
      <c r="L64" s="249" t="s">
        <v>403</v>
      </c>
      <c r="M64" s="249"/>
      <c r="N64" s="249"/>
      <c r="O64" s="249"/>
      <c r="P64" s="270">
        <f>+T33/$U$42</f>
        <v>0</v>
      </c>
      <c r="Q64" s="270">
        <f t="shared" ref="Q64" si="31">+U33/$U$42</f>
        <v>0</v>
      </c>
      <c r="R64" s="270">
        <f>+J33/$U$42</f>
        <v>0</v>
      </c>
      <c r="S64" s="270">
        <f t="shared" ref="S64:U64" si="32">+K33/$U$42</f>
        <v>0</v>
      </c>
      <c r="T64" s="270">
        <f t="shared" si="32"/>
        <v>0</v>
      </c>
      <c r="U64" s="270">
        <f t="shared" si="32"/>
        <v>0</v>
      </c>
      <c r="W64" s="725">
        <f t="shared" si="30"/>
        <v>86.25</v>
      </c>
    </row>
    <row r="65" spans="2:24">
      <c r="B65" s="260"/>
      <c r="C65" s="260"/>
      <c r="L65" s="249" t="s">
        <v>404</v>
      </c>
      <c r="M65" s="249"/>
      <c r="N65" s="249"/>
      <c r="O65" s="249"/>
      <c r="P65" s="270">
        <f>SUM(T34:T35)/$U$42</f>
        <v>0</v>
      </c>
      <c r="Q65" s="270">
        <f>SUM(U34:U35)/$U$42</f>
        <v>0</v>
      </c>
      <c r="R65" s="270">
        <f>SUM(J34:J35)/$U$42</f>
        <v>0</v>
      </c>
      <c r="S65" s="270">
        <f t="shared" ref="S65:T65" si="33">SUM(K34:K35)/$U$42</f>
        <v>0</v>
      </c>
      <c r="T65" s="270">
        <f t="shared" si="33"/>
        <v>0</v>
      </c>
      <c r="U65" s="270">
        <f>SUM(M34:M35)/$U$42</f>
        <v>0</v>
      </c>
      <c r="W65" s="725">
        <f t="shared" si="30"/>
        <v>120.83333333333333</v>
      </c>
    </row>
    <row r="66" spans="2:24" ht="5.25" customHeight="1">
      <c r="B66" s="260"/>
      <c r="C66" s="260"/>
      <c r="W66" s="726"/>
    </row>
    <row r="67" spans="2:24">
      <c r="B67" s="260"/>
      <c r="C67" s="260"/>
      <c r="Q67" s="249"/>
      <c r="R67" s="249"/>
      <c r="S67" s="249"/>
      <c r="T67" s="249"/>
      <c r="U67" s="275" t="s">
        <v>428</v>
      </c>
      <c r="W67" s="727">
        <f>SUM(W62:W66)</f>
        <v>1249.7802314666667</v>
      </c>
    </row>
    <row r="68" spans="2:24">
      <c r="B68" s="260"/>
      <c r="C68" s="260"/>
      <c r="Q68" s="249"/>
      <c r="R68" s="249"/>
      <c r="S68" s="249"/>
      <c r="T68" s="249"/>
      <c r="U68" s="275" t="s">
        <v>429</v>
      </c>
      <c r="W68" s="728"/>
    </row>
    <row r="69" spans="2:24">
      <c r="B69" s="260"/>
      <c r="C69" s="260"/>
      <c r="Q69" s="249"/>
      <c r="R69" s="249"/>
      <c r="S69" s="249"/>
      <c r="T69" s="249"/>
      <c r="U69" s="276" t="s">
        <v>430</v>
      </c>
      <c r="W69" s="725">
        <f>+W67+W68</f>
        <v>1249.7802314666667</v>
      </c>
    </row>
    <row r="70" spans="2:24" ht="5.25" customHeight="1">
      <c r="B70" s="260"/>
      <c r="C70" s="260"/>
      <c r="W70" s="726"/>
    </row>
    <row r="71" spans="2:24">
      <c r="B71" s="260"/>
      <c r="C71" s="260"/>
      <c r="Q71" s="249"/>
      <c r="R71" s="249"/>
      <c r="S71" s="249"/>
      <c r="T71" s="249"/>
      <c r="U71" s="276" t="s">
        <v>431</v>
      </c>
      <c r="W71" s="725">
        <f>+W26/U42</f>
        <v>481.51034482758627</v>
      </c>
      <c r="X71" s="71" t="s">
        <v>432</v>
      </c>
    </row>
    <row r="72" spans="2:24">
      <c r="B72" s="260"/>
      <c r="C72" s="260"/>
      <c r="Q72" s="249"/>
      <c r="R72" s="249"/>
      <c r="S72" s="249"/>
      <c r="T72" s="249"/>
      <c r="U72" s="276" t="s">
        <v>431</v>
      </c>
      <c r="W72" s="274"/>
      <c r="X72" s="71" t="s">
        <v>433</v>
      </c>
    </row>
    <row r="73" spans="2:24">
      <c r="B73" s="260"/>
      <c r="C73" s="260"/>
      <c r="W73" s="277" t="s">
        <v>406</v>
      </c>
    </row>
    <row r="74" spans="2:24">
      <c r="B74" s="260"/>
      <c r="C74" s="260"/>
      <c r="Q74" s="853" t="s">
        <v>412</v>
      </c>
      <c r="R74" s="278" t="s">
        <v>407</v>
      </c>
      <c r="S74" s="279"/>
      <c r="T74" s="729">
        <f>+W72</f>
        <v>0</v>
      </c>
      <c r="U74" s="279" t="s">
        <v>100</v>
      </c>
      <c r="V74" s="279"/>
      <c r="W74" s="280"/>
    </row>
    <row r="75" spans="2:24">
      <c r="B75" s="260"/>
      <c r="C75" s="260"/>
      <c r="Q75" s="853"/>
      <c r="R75" s="281" t="s">
        <v>408</v>
      </c>
      <c r="S75" s="249"/>
      <c r="T75" s="734">
        <f>(+W62+W68)</f>
        <v>685.81356480000011</v>
      </c>
      <c r="U75" s="249" t="s">
        <v>409</v>
      </c>
      <c r="V75" s="249"/>
      <c r="W75" s="282"/>
    </row>
    <row r="76" spans="2:24">
      <c r="B76" s="260"/>
      <c r="C76" s="260"/>
      <c r="Q76" s="853"/>
      <c r="R76" s="283" t="s">
        <v>410</v>
      </c>
      <c r="S76" s="284"/>
      <c r="T76" s="735">
        <f>W63+W64+W65</f>
        <v>563.9666666666667</v>
      </c>
      <c r="U76" s="284" t="s">
        <v>427</v>
      </c>
      <c r="V76" s="284"/>
      <c r="W76" s="285"/>
    </row>
    <row r="77" spans="2:24">
      <c r="B77" s="260"/>
      <c r="C77" s="260"/>
      <c r="Q77" s="853"/>
      <c r="R77" s="283" t="s">
        <v>411</v>
      </c>
      <c r="S77" s="284"/>
      <c r="T77" s="284"/>
      <c r="U77" s="284"/>
      <c r="V77" s="284"/>
      <c r="W77" s="285"/>
    </row>
    <row r="78" spans="2:24">
      <c r="B78" s="260"/>
      <c r="C78" s="260"/>
      <c r="J78" s="286" t="e">
        <f>1*J82</f>
        <v>#VALUE!</v>
      </c>
    </row>
    <row r="79" spans="2:24" ht="14.5" thickBot="1">
      <c r="B79" s="260"/>
      <c r="C79" s="260"/>
    </row>
    <row r="80" spans="2:24">
      <c r="B80" s="260"/>
      <c r="C80" s="260"/>
      <c r="E80" s="854" t="s">
        <v>413</v>
      </c>
      <c r="F80" s="855"/>
      <c r="G80" s="855"/>
      <c r="H80" s="855"/>
      <c r="I80" s="856"/>
      <c r="J80" s="287" t="str">
        <f>+J9</f>
        <v>Sep 
(30 dg)</v>
      </c>
      <c r="K80" s="287" t="str">
        <f t="shared" ref="K80:U80" si="34">+K9</f>
        <v>Okt 
(31 dg)</v>
      </c>
      <c r="L80" s="287" t="str">
        <f t="shared" si="34"/>
        <v>Nov 
(30 dg)</v>
      </c>
      <c r="M80" s="287" t="str">
        <f t="shared" si="34"/>
        <v>Dec 
(31 dg)</v>
      </c>
      <c r="N80" s="287" t="str">
        <f t="shared" si="34"/>
        <v>Jan 
(31 dg)</v>
      </c>
      <c r="O80" s="287" t="str">
        <f t="shared" si="34"/>
        <v>Feb 
(28 dg)</v>
      </c>
      <c r="P80" s="287" t="str">
        <f t="shared" si="34"/>
        <v>Mar 
(31 dg)</v>
      </c>
      <c r="Q80" s="287" t="str">
        <f t="shared" si="34"/>
        <v>Apr 
(30 dg)</v>
      </c>
      <c r="R80" s="287" t="str">
        <f t="shared" si="34"/>
        <v>Maj 
(31 dg)</v>
      </c>
      <c r="S80" s="287" t="str">
        <f t="shared" si="34"/>
        <v>Jun 
(30 dg)</v>
      </c>
      <c r="T80" s="287" t="str">
        <f t="shared" si="34"/>
        <v>Jul 
(31 dg)</v>
      </c>
      <c r="U80" s="288" t="str">
        <f t="shared" si="34"/>
        <v>Aug 
(31 dg)</v>
      </c>
    </row>
    <row r="81" spans="2:23">
      <c r="B81" s="260"/>
      <c r="C81" s="260"/>
      <c r="E81" s="846" t="str">
        <f>+D13</f>
        <v>Sparad energi  pr. m2  fasadstängning pr. dag</v>
      </c>
      <c r="F81" s="847"/>
      <c r="G81" s="847"/>
      <c r="H81" s="847"/>
      <c r="I81" s="857"/>
      <c r="J81" s="289">
        <f t="shared" ref="J81:U81" si="35">+J13</f>
        <v>0.1310400000000001</v>
      </c>
      <c r="K81" s="289">
        <f t="shared" si="35"/>
        <v>0.52415999999999996</v>
      </c>
      <c r="L81" s="289">
        <f t="shared" si="35"/>
        <v>0.87696000000000007</v>
      </c>
      <c r="M81" s="289">
        <f t="shared" si="35"/>
        <v>1.2096000000000002</v>
      </c>
      <c r="N81" s="289">
        <f t="shared" si="35"/>
        <v>1.3708800000000001</v>
      </c>
      <c r="O81" s="289">
        <f t="shared" si="35"/>
        <v>1.4011200000000001</v>
      </c>
      <c r="P81" s="289">
        <f t="shared" si="35"/>
        <v>1.1592000000000002</v>
      </c>
      <c r="Q81" s="289">
        <f t="shared" si="35"/>
        <v>0.73584000000000005</v>
      </c>
      <c r="R81" s="289">
        <f t="shared" si="35"/>
        <v>0.37295999999999996</v>
      </c>
      <c r="S81" s="289">
        <f t="shared" si="35"/>
        <v>7.0559999999999942E-2</v>
      </c>
      <c r="T81" s="289">
        <f t="shared" si="35"/>
        <v>0</v>
      </c>
      <c r="U81" s="290">
        <f t="shared" si="35"/>
        <v>0</v>
      </c>
    </row>
    <row r="82" spans="2:23">
      <c r="B82" s="260"/>
      <c r="C82" s="260"/>
      <c r="E82" s="846" t="s">
        <v>414</v>
      </c>
      <c r="F82" s="847"/>
      <c r="G82" s="847"/>
      <c r="H82" s="847"/>
      <c r="I82" s="857"/>
      <c r="J82" s="291" t="str">
        <f>+J16</f>
        <v/>
      </c>
      <c r="K82" s="291" t="str">
        <f t="shared" ref="K82:U82" si="36">+K16</f>
        <v/>
      </c>
      <c r="L82" s="291" t="str">
        <f t="shared" si="36"/>
        <v/>
      </c>
      <c r="M82" s="291" t="str">
        <f t="shared" si="36"/>
        <v>+</v>
      </c>
      <c r="N82" s="291" t="str">
        <f t="shared" si="36"/>
        <v>+</v>
      </c>
      <c r="O82" s="291" t="str">
        <f t="shared" si="36"/>
        <v>+</v>
      </c>
      <c r="P82" s="291" t="str">
        <f t="shared" si="36"/>
        <v>+</v>
      </c>
      <c r="Q82" s="291" t="str">
        <f t="shared" si="36"/>
        <v/>
      </c>
      <c r="R82" s="291" t="str">
        <f t="shared" si="36"/>
        <v/>
      </c>
      <c r="S82" s="291" t="str">
        <f t="shared" si="36"/>
        <v/>
      </c>
      <c r="T82" s="291" t="str">
        <f t="shared" si="36"/>
        <v/>
      </c>
      <c r="U82" s="291" t="str">
        <f t="shared" si="36"/>
        <v/>
      </c>
    </row>
    <row r="83" spans="2:23">
      <c r="B83" s="260"/>
      <c r="C83" s="260"/>
      <c r="E83" s="846" t="s">
        <v>415</v>
      </c>
      <c r="F83" s="847"/>
      <c r="G83" s="847"/>
      <c r="H83" s="847"/>
      <c r="I83" s="857"/>
      <c r="J83" s="292">
        <f t="shared" ref="J83" si="37">IF(J82="",0,J8*J81)</f>
        <v>0</v>
      </c>
      <c r="K83" s="292">
        <f>IF(K82="",0,K8*K81)</f>
        <v>0</v>
      </c>
      <c r="L83" s="292">
        <f t="shared" ref="L83:U83" si="38">IF(L82="",0,L8*L81)</f>
        <v>0</v>
      </c>
      <c r="M83" s="292">
        <f t="shared" si="38"/>
        <v>37.497600000000006</v>
      </c>
      <c r="N83" s="292">
        <f t="shared" si="38"/>
        <v>42.497280000000003</v>
      </c>
      <c r="O83" s="292">
        <f t="shared" si="38"/>
        <v>39.231360000000002</v>
      </c>
      <c r="P83" s="292">
        <f t="shared" si="38"/>
        <v>35.935200000000009</v>
      </c>
      <c r="Q83" s="292">
        <f t="shared" si="38"/>
        <v>0</v>
      </c>
      <c r="R83" s="292">
        <f t="shared" si="38"/>
        <v>0</v>
      </c>
      <c r="S83" s="292">
        <f t="shared" si="38"/>
        <v>0</v>
      </c>
      <c r="T83" s="292">
        <f t="shared" si="38"/>
        <v>0</v>
      </c>
      <c r="U83" s="292">
        <f t="shared" si="38"/>
        <v>0</v>
      </c>
    </row>
    <row r="84" spans="2:23">
      <c r="B84" s="260"/>
      <c r="C84" s="260"/>
      <c r="D84" s="293" t="s">
        <v>416</v>
      </c>
      <c r="E84" s="858">
        <f>+U42</f>
        <v>1200</v>
      </c>
      <c r="F84" s="859"/>
      <c r="G84" s="859"/>
      <c r="H84" s="859"/>
      <c r="I84" s="860"/>
      <c r="J84" s="294">
        <f>+J83*$E$84</f>
        <v>0</v>
      </c>
      <c r="K84" s="294">
        <f t="shared" ref="K84:U84" si="39">+K83*$E$84</f>
        <v>0</v>
      </c>
      <c r="L84" s="294">
        <f t="shared" si="39"/>
        <v>0</v>
      </c>
      <c r="M84" s="294">
        <f t="shared" si="39"/>
        <v>44997.12000000001</v>
      </c>
      <c r="N84" s="294">
        <f t="shared" si="39"/>
        <v>50996.736000000004</v>
      </c>
      <c r="O84" s="294">
        <f t="shared" si="39"/>
        <v>47077.632000000005</v>
      </c>
      <c r="P84" s="294">
        <f t="shared" si="39"/>
        <v>43122.240000000013</v>
      </c>
      <c r="Q84" s="294">
        <f t="shared" si="39"/>
        <v>0</v>
      </c>
      <c r="R84" s="294">
        <f t="shared" si="39"/>
        <v>0</v>
      </c>
      <c r="S84" s="294">
        <f t="shared" si="39"/>
        <v>0</v>
      </c>
      <c r="T84" s="294">
        <f t="shared" si="39"/>
        <v>0</v>
      </c>
      <c r="U84" s="295">
        <f t="shared" si="39"/>
        <v>0</v>
      </c>
      <c r="W84" s="819">
        <f>SUM(J84:V84)</f>
        <v>186193.72800000003</v>
      </c>
    </row>
    <row r="85" spans="2:23" ht="14.5" thickBot="1">
      <c r="B85" s="260"/>
      <c r="C85" s="260"/>
      <c r="E85" s="296"/>
      <c r="F85" s="297"/>
      <c r="G85" s="297"/>
      <c r="H85" s="297"/>
      <c r="I85" s="298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300"/>
    </row>
    <row r="86" spans="2:23" ht="30.75" customHeight="1">
      <c r="B86" s="260"/>
      <c r="C86" s="260"/>
      <c r="E86" s="861" t="s">
        <v>417</v>
      </c>
      <c r="F86" s="862"/>
      <c r="G86" s="862"/>
      <c r="H86" s="862"/>
      <c r="I86" s="863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2"/>
    </row>
    <row r="87" spans="2:23">
      <c r="B87" s="260"/>
      <c r="C87" s="260"/>
      <c r="E87" s="846" t="s">
        <v>60</v>
      </c>
      <c r="F87" s="847"/>
      <c r="G87" s="303" t="s">
        <v>419</v>
      </c>
      <c r="H87" s="839">
        <f>SUM(J87:U87)</f>
        <v>7820.1365760000026</v>
      </c>
      <c r="I87" s="848"/>
      <c r="J87" s="304">
        <f t="shared" ref="J87:U92" si="40">+J$84*$H106</f>
        <v>0</v>
      </c>
      <c r="K87" s="304">
        <f t="shared" si="40"/>
        <v>0</v>
      </c>
      <c r="L87" s="304">
        <f>+L$84*$H106</f>
        <v>0</v>
      </c>
      <c r="M87" s="304">
        <f t="shared" si="40"/>
        <v>1889.8790400000005</v>
      </c>
      <c r="N87" s="304">
        <f t="shared" si="40"/>
        <v>2141.8629120000005</v>
      </c>
      <c r="O87" s="304">
        <f t="shared" si="40"/>
        <v>1977.2605440000004</v>
      </c>
      <c r="P87" s="304">
        <f t="shared" si="40"/>
        <v>1811.1340800000007</v>
      </c>
      <c r="Q87" s="304">
        <f t="shared" si="40"/>
        <v>0</v>
      </c>
      <c r="R87" s="304">
        <f t="shared" si="40"/>
        <v>0</v>
      </c>
      <c r="S87" s="304">
        <f t="shared" si="40"/>
        <v>0</v>
      </c>
      <c r="T87" s="304">
        <f t="shared" si="40"/>
        <v>0</v>
      </c>
      <c r="U87" s="305">
        <f t="shared" si="40"/>
        <v>0</v>
      </c>
    </row>
    <row r="88" spans="2:23">
      <c r="B88" s="260"/>
      <c r="C88" s="260"/>
      <c r="E88" s="846" t="s">
        <v>341</v>
      </c>
      <c r="F88" s="847"/>
      <c r="G88" s="303" t="s">
        <v>419</v>
      </c>
      <c r="H88" s="839">
        <f t="shared" ref="H88:H92" si="41">SUM(J88:U88)</f>
        <v>6516.7804800000013</v>
      </c>
      <c r="I88" s="848"/>
      <c r="J88" s="304">
        <f t="shared" si="40"/>
        <v>0</v>
      </c>
      <c r="K88" s="304">
        <f t="shared" si="40"/>
        <v>0</v>
      </c>
      <c r="L88" s="304">
        <f>+L$84*$H107</f>
        <v>0</v>
      </c>
      <c r="M88" s="304">
        <f t="shared" si="40"/>
        <v>1574.8992000000005</v>
      </c>
      <c r="N88" s="304">
        <f t="shared" si="40"/>
        <v>1784.8857600000003</v>
      </c>
      <c r="O88" s="304">
        <f t="shared" si="40"/>
        <v>1647.7171200000003</v>
      </c>
      <c r="P88" s="304">
        <f t="shared" si="40"/>
        <v>1509.2784000000006</v>
      </c>
      <c r="Q88" s="304">
        <f t="shared" si="40"/>
        <v>0</v>
      </c>
      <c r="R88" s="304">
        <f t="shared" si="40"/>
        <v>0</v>
      </c>
      <c r="S88" s="304">
        <f t="shared" si="40"/>
        <v>0</v>
      </c>
      <c r="T88" s="304">
        <f t="shared" si="40"/>
        <v>0</v>
      </c>
      <c r="U88" s="305">
        <f t="shared" si="40"/>
        <v>0</v>
      </c>
    </row>
    <row r="89" spans="2:23">
      <c r="B89" s="260"/>
      <c r="C89" s="260"/>
      <c r="E89" s="846" t="s">
        <v>61</v>
      </c>
      <c r="F89" s="847"/>
      <c r="G89" s="303" t="s">
        <v>419</v>
      </c>
      <c r="H89" s="839">
        <f t="shared" si="41"/>
        <v>38355.907968</v>
      </c>
      <c r="I89" s="848"/>
      <c r="J89" s="304">
        <f t="shared" si="40"/>
        <v>0</v>
      </c>
      <c r="K89" s="304">
        <f t="shared" si="40"/>
        <v>0</v>
      </c>
      <c r="L89" s="304">
        <f>+L$84*$H108</f>
        <v>0</v>
      </c>
      <c r="M89" s="304">
        <f t="shared" si="40"/>
        <v>9269.4067200000009</v>
      </c>
      <c r="N89" s="304">
        <f t="shared" si="40"/>
        <v>10505.327616</v>
      </c>
      <c r="O89" s="304">
        <f t="shared" si="40"/>
        <v>9697.9921919999997</v>
      </c>
      <c r="P89" s="304">
        <f t="shared" si="40"/>
        <v>8883.1814400000021</v>
      </c>
      <c r="Q89" s="304">
        <f t="shared" si="40"/>
        <v>0</v>
      </c>
      <c r="R89" s="304">
        <f t="shared" si="40"/>
        <v>0</v>
      </c>
      <c r="S89" s="304">
        <f t="shared" si="40"/>
        <v>0</v>
      </c>
      <c r="T89" s="304">
        <f t="shared" si="40"/>
        <v>0</v>
      </c>
      <c r="U89" s="305">
        <f t="shared" si="40"/>
        <v>0</v>
      </c>
    </row>
    <row r="90" spans="2:23">
      <c r="B90" s="260"/>
      <c r="C90" s="260"/>
      <c r="E90" s="846" t="s">
        <v>342</v>
      </c>
      <c r="F90" s="847"/>
      <c r="G90" s="303" t="s">
        <v>419</v>
      </c>
      <c r="H90" s="839">
        <f t="shared" si="41"/>
        <v>52879.018752000011</v>
      </c>
      <c r="I90" s="848"/>
      <c r="J90" s="304">
        <f t="shared" si="40"/>
        <v>0</v>
      </c>
      <c r="K90" s="304">
        <f t="shared" si="40"/>
        <v>0</v>
      </c>
      <c r="L90" s="304">
        <f t="shared" si="40"/>
        <v>0</v>
      </c>
      <c r="M90" s="304">
        <f t="shared" si="40"/>
        <v>12779.182080000002</v>
      </c>
      <c r="N90" s="304">
        <f t="shared" si="40"/>
        <v>14483.073023999999</v>
      </c>
      <c r="O90" s="304">
        <f t="shared" si="40"/>
        <v>13370.047488</v>
      </c>
      <c r="P90" s="304">
        <f t="shared" si="40"/>
        <v>12246.716160000002</v>
      </c>
      <c r="Q90" s="304">
        <f t="shared" si="40"/>
        <v>0</v>
      </c>
      <c r="R90" s="304">
        <f t="shared" si="40"/>
        <v>0</v>
      </c>
      <c r="S90" s="304">
        <f t="shared" si="40"/>
        <v>0</v>
      </c>
      <c r="T90" s="304">
        <f t="shared" si="40"/>
        <v>0</v>
      </c>
      <c r="U90" s="305">
        <f t="shared" si="40"/>
        <v>0</v>
      </c>
    </row>
    <row r="91" spans="2:23">
      <c r="B91" s="260"/>
      <c r="C91" s="260"/>
      <c r="E91" s="846" t="s">
        <v>62</v>
      </c>
      <c r="F91" s="847"/>
      <c r="G91" s="303" t="s">
        <v>419</v>
      </c>
      <c r="H91" s="839">
        <f t="shared" si="41"/>
        <v>49713.725376000009</v>
      </c>
      <c r="I91" s="848"/>
      <c r="J91" s="304">
        <f t="shared" si="40"/>
        <v>0</v>
      </c>
      <c r="K91" s="304">
        <f t="shared" si="40"/>
        <v>0</v>
      </c>
      <c r="L91" s="304">
        <f t="shared" si="40"/>
        <v>0</v>
      </c>
      <c r="M91" s="304">
        <f t="shared" si="40"/>
        <v>12014.231040000004</v>
      </c>
      <c r="N91" s="304">
        <f t="shared" si="40"/>
        <v>13616.128512000001</v>
      </c>
      <c r="O91" s="304">
        <f t="shared" si="40"/>
        <v>12569.727744000002</v>
      </c>
      <c r="P91" s="304">
        <f t="shared" si="40"/>
        <v>11513.638080000004</v>
      </c>
      <c r="Q91" s="304">
        <f t="shared" si="40"/>
        <v>0</v>
      </c>
      <c r="R91" s="304">
        <f t="shared" si="40"/>
        <v>0</v>
      </c>
      <c r="S91" s="304">
        <f t="shared" si="40"/>
        <v>0</v>
      </c>
      <c r="T91" s="304">
        <f t="shared" si="40"/>
        <v>0</v>
      </c>
      <c r="U91" s="305">
        <f t="shared" si="40"/>
        <v>0</v>
      </c>
    </row>
    <row r="92" spans="2:23">
      <c r="B92" s="260"/>
      <c r="C92" s="260"/>
      <c r="E92" s="849" t="s">
        <v>418</v>
      </c>
      <c r="F92" s="850"/>
      <c r="G92" s="306" t="s">
        <v>419</v>
      </c>
      <c r="H92" s="851">
        <f t="shared" si="41"/>
        <v>31057.113830400005</v>
      </c>
      <c r="I92" s="852"/>
      <c r="J92" s="307">
        <f t="shared" si="40"/>
        <v>0</v>
      </c>
      <c r="K92" s="307">
        <f t="shared" si="40"/>
        <v>0</v>
      </c>
      <c r="L92" s="307">
        <f t="shared" si="40"/>
        <v>0</v>
      </c>
      <c r="M92" s="307">
        <f t="shared" si="40"/>
        <v>7505.5196160000014</v>
      </c>
      <c r="N92" s="307">
        <f t="shared" si="40"/>
        <v>8506.2555648000016</v>
      </c>
      <c r="O92" s="307">
        <f t="shared" si="40"/>
        <v>7852.5490176000012</v>
      </c>
      <c r="P92" s="307">
        <f t="shared" si="40"/>
        <v>7192.7896320000018</v>
      </c>
      <c r="Q92" s="307">
        <f t="shared" si="40"/>
        <v>0</v>
      </c>
      <c r="R92" s="307">
        <f t="shared" si="40"/>
        <v>0</v>
      </c>
      <c r="S92" s="307">
        <f t="shared" si="40"/>
        <v>0</v>
      </c>
      <c r="T92" s="307">
        <f t="shared" si="40"/>
        <v>0</v>
      </c>
      <c r="U92" s="308">
        <f t="shared" si="40"/>
        <v>0</v>
      </c>
    </row>
    <row r="93" spans="2:23" ht="14.5" thickBot="1">
      <c r="B93" s="260"/>
      <c r="C93" s="260"/>
      <c r="E93" s="309"/>
      <c r="F93" s="310"/>
      <c r="G93" s="311"/>
      <c r="H93" s="312"/>
      <c r="I93" s="313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5"/>
    </row>
    <row r="94" spans="2:23">
      <c r="B94" s="260"/>
      <c r="C94" s="260"/>
      <c r="E94" s="316" t="s">
        <v>420</v>
      </c>
      <c r="F94" s="317"/>
      <c r="G94" s="318">
        <f>+'Värmeberäknare för Den Snabba  '!AB46</f>
        <v>0</v>
      </c>
      <c r="H94" s="319" t="s">
        <v>102</v>
      </c>
      <c r="I94" s="320"/>
      <c r="J94" s="321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5"/>
    </row>
    <row r="95" spans="2:23">
      <c r="B95" s="260"/>
      <c r="C95" s="260"/>
      <c r="E95" s="322" t="s">
        <v>421</v>
      </c>
      <c r="F95" s="323"/>
      <c r="G95" s="279">
        <f>+AB49</f>
        <v>120</v>
      </c>
      <c r="H95" s="324" t="s">
        <v>422</v>
      </c>
      <c r="I95" s="325"/>
      <c r="J95" s="321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5"/>
    </row>
    <row r="96" spans="2:23">
      <c r="B96" s="260"/>
      <c r="C96" s="260"/>
      <c r="E96" s="322" t="s">
        <v>423</v>
      </c>
      <c r="F96" s="323"/>
      <c r="G96" s="279"/>
      <c r="H96" s="324"/>
      <c r="I96" s="325"/>
      <c r="J96" s="321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5"/>
    </row>
    <row r="97" spans="2:21">
      <c r="B97" s="260"/>
      <c r="C97" s="260"/>
      <c r="E97" s="326" t="s">
        <v>60</v>
      </c>
      <c r="F97" s="327"/>
      <c r="G97" s="328" t="s">
        <v>101</v>
      </c>
      <c r="H97" s="839">
        <f>+$G$94/$G$95*H87</f>
        <v>0</v>
      </c>
      <c r="I97" s="840"/>
      <c r="J97" s="329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5"/>
    </row>
    <row r="98" spans="2:21">
      <c r="B98" s="260"/>
      <c r="C98" s="260"/>
      <c r="E98" s="326" t="s">
        <v>341</v>
      </c>
      <c r="F98" s="327"/>
      <c r="G98" s="328" t="s">
        <v>101</v>
      </c>
      <c r="H98" s="839">
        <f t="shared" ref="H98:H102" si="42">+$G$94/$G$95*H88</f>
        <v>0</v>
      </c>
      <c r="I98" s="840"/>
      <c r="J98" s="329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5"/>
    </row>
    <row r="99" spans="2:21">
      <c r="B99" s="260"/>
      <c r="C99" s="260"/>
      <c r="E99" s="326" t="s">
        <v>61</v>
      </c>
      <c r="F99" s="327"/>
      <c r="G99" s="328" t="s">
        <v>101</v>
      </c>
      <c r="H99" s="839">
        <f t="shared" si="42"/>
        <v>0</v>
      </c>
      <c r="I99" s="840"/>
      <c r="J99" s="329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5"/>
    </row>
    <row r="100" spans="2:21">
      <c r="B100" s="260"/>
      <c r="C100" s="260"/>
      <c r="E100" s="326" t="s">
        <v>342</v>
      </c>
      <c r="F100" s="327"/>
      <c r="G100" s="328" t="s">
        <v>101</v>
      </c>
      <c r="H100" s="839">
        <f t="shared" si="42"/>
        <v>0</v>
      </c>
      <c r="I100" s="840"/>
      <c r="J100" s="329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5"/>
    </row>
    <row r="101" spans="2:21">
      <c r="B101" s="260"/>
      <c r="C101" s="260"/>
      <c r="E101" s="326" t="s">
        <v>62</v>
      </c>
      <c r="F101" s="327"/>
      <c r="G101" s="328" t="s">
        <v>101</v>
      </c>
      <c r="H101" s="839">
        <f t="shared" si="42"/>
        <v>0</v>
      </c>
      <c r="I101" s="840"/>
      <c r="J101" s="329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5"/>
    </row>
    <row r="102" spans="2:21" ht="14.5" thickBot="1">
      <c r="B102" s="260"/>
      <c r="C102" s="260"/>
      <c r="E102" s="842" t="s">
        <v>418</v>
      </c>
      <c r="F102" s="843"/>
      <c r="G102" s="330" t="s">
        <v>101</v>
      </c>
      <c r="H102" s="844">
        <f t="shared" si="42"/>
        <v>0</v>
      </c>
      <c r="I102" s="845"/>
      <c r="J102" s="329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5"/>
    </row>
    <row r="103" spans="2:21" ht="14.5" thickBot="1">
      <c r="B103" s="260"/>
      <c r="C103" s="260"/>
      <c r="E103" s="331"/>
      <c r="F103" s="332"/>
      <c r="G103" s="332"/>
      <c r="H103" s="332"/>
      <c r="I103" s="333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300"/>
    </row>
    <row r="104" spans="2:21">
      <c r="B104" s="260"/>
      <c r="C104" s="260"/>
      <c r="E104" s="334" t="s">
        <v>424</v>
      </c>
      <c r="G104" s="335"/>
      <c r="H104" s="335"/>
    </row>
    <row r="105" spans="2:21">
      <c r="B105" s="260"/>
      <c r="C105" s="260"/>
      <c r="E105" s="336" t="s">
        <v>425</v>
      </c>
      <c r="G105" s="335"/>
      <c r="H105" s="336" t="s">
        <v>103</v>
      </c>
    </row>
    <row r="106" spans="2:21">
      <c r="B106" s="260"/>
      <c r="C106" s="260"/>
      <c r="E106" s="71" t="s">
        <v>60</v>
      </c>
      <c r="G106" s="335"/>
      <c r="H106" s="841">
        <v>4.2000000000000003E-2</v>
      </c>
      <c r="I106" s="841"/>
      <c r="J106" s="337"/>
    </row>
    <row r="107" spans="2:21">
      <c r="B107" s="260"/>
      <c r="C107" s="260"/>
      <c r="E107" s="71" t="s">
        <v>341</v>
      </c>
      <c r="G107" s="335"/>
      <c r="H107" s="841">
        <v>3.5000000000000003E-2</v>
      </c>
      <c r="I107" s="841"/>
    </row>
    <row r="108" spans="2:21">
      <c r="B108" s="260"/>
      <c r="C108" s="260"/>
      <c r="E108" s="71" t="s">
        <v>61</v>
      </c>
      <c r="G108" s="335"/>
      <c r="H108" s="841">
        <v>0.20599999999999999</v>
      </c>
      <c r="I108" s="841"/>
    </row>
    <row r="109" spans="2:21">
      <c r="B109" s="260"/>
      <c r="C109" s="260"/>
      <c r="E109" s="71" t="s">
        <v>342</v>
      </c>
      <c r="G109" s="335"/>
      <c r="H109" s="841">
        <v>0.28399999999999997</v>
      </c>
      <c r="I109" s="841"/>
    </row>
    <row r="110" spans="2:21">
      <c r="B110" s="260"/>
      <c r="C110" s="260"/>
      <c r="E110" s="338" t="s">
        <v>62</v>
      </c>
      <c r="F110" s="338"/>
      <c r="G110" s="339"/>
      <c r="H110" s="838">
        <v>0.26700000000000002</v>
      </c>
      <c r="I110" s="838"/>
    </row>
    <row r="111" spans="2:21">
      <c r="B111" s="260"/>
      <c r="C111" s="260"/>
      <c r="E111" s="338" t="s">
        <v>418</v>
      </c>
      <c r="F111" s="338"/>
      <c r="G111" s="339"/>
      <c r="H111" s="838">
        <f>AVERAGE(H106:I110)</f>
        <v>0.1668</v>
      </c>
      <c r="I111" s="838"/>
    </row>
    <row r="112" spans="2:21">
      <c r="B112" s="260"/>
      <c r="C112" s="260"/>
      <c r="G112" s="335"/>
      <c r="H112" s="335"/>
    </row>
    <row r="113" spans="2:26">
      <c r="B113" s="260"/>
      <c r="C113" s="260"/>
      <c r="G113" s="335"/>
      <c r="H113" s="335"/>
      <c r="Z113" s="340"/>
    </row>
    <row r="114" spans="2:26">
      <c r="B114" s="260"/>
      <c r="C114" s="260"/>
      <c r="G114" s="335"/>
      <c r="H114" s="335"/>
    </row>
    <row r="115" spans="2:26">
      <c r="B115" s="260"/>
      <c r="C115" s="260"/>
      <c r="G115" s="335"/>
      <c r="H115" s="335"/>
      <c r="Z115" s="341"/>
    </row>
    <row r="116" spans="2:26">
      <c r="B116" s="260"/>
      <c r="C116" s="260"/>
      <c r="G116" s="335"/>
      <c r="H116" s="335"/>
    </row>
    <row r="117" spans="2:26">
      <c r="B117" s="260"/>
      <c r="C117" s="260"/>
      <c r="G117" s="335"/>
      <c r="H117" s="335"/>
    </row>
    <row r="118" spans="2:26">
      <c r="B118" s="260"/>
      <c r="C118" s="260"/>
      <c r="G118" s="335"/>
      <c r="H118" s="335"/>
    </row>
    <row r="119" spans="2:26">
      <c r="B119" s="260"/>
      <c r="C119" s="260"/>
      <c r="G119" s="335"/>
      <c r="H119" s="335"/>
    </row>
    <row r="120" spans="2:26">
      <c r="B120" s="260"/>
      <c r="C120" s="260"/>
      <c r="G120" s="335"/>
      <c r="H120" s="335"/>
    </row>
    <row r="121" spans="2:26">
      <c r="B121" s="260"/>
      <c r="C121" s="260"/>
      <c r="G121" s="335"/>
      <c r="H121" s="335"/>
    </row>
    <row r="122" spans="2:26">
      <c r="B122" s="260"/>
      <c r="C122" s="260"/>
      <c r="G122" s="335"/>
      <c r="H122" s="335"/>
    </row>
    <row r="123" spans="2:26">
      <c r="B123" s="260"/>
      <c r="C123" s="260"/>
      <c r="G123" s="335"/>
      <c r="H123" s="335"/>
    </row>
    <row r="124" spans="2:26">
      <c r="B124" s="260"/>
      <c r="C124" s="260"/>
      <c r="G124" s="335"/>
      <c r="H124" s="335"/>
    </row>
    <row r="125" spans="2:26">
      <c r="B125" s="260"/>
      <c r="C125" s="260"/>
      <c r="E125" s="260"/>
      <c r="F125" s="260"/>
      <c r="G125" s="342"/>
      <c r="H125" s="342"/>
      <c r="I125" s="262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0"/>
    </row>
    <row r="126" spans="2:26">
      <c r="B126" s="260"/>
      <c r="C126" s="260"/>
      <c r="E126" s="260"/>
      <c r="F126" s="260"/>
      <c r="G126" s="342"/>
      <c r="H126" s="342"/>
      <c r="I126" s="262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0"/>
    </row>
    <row r="127" spans="2:26">
      <c r="B127" s="260"/>
      <c r="C127" s="260"/>
      <c r="E127" s="260"/>
      <c r="F127" s="260"/>
      <c r="G127" s="342"/>
      <c r="H127" s="342"/>
      <c r="I127" s="262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0"/>
    </row>
    <row r="128" spans="2:26">
      <c r="B128" s="260"/>
      <c r="C128" s="260"/>
      <c r="E128" s="260"/>
      <c r="F128" s="260"/>
      <c r="G128" s="342"/>
      <c r="H128" s="342"/>
      <c r="I128" s="262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0"/>
    </row>
    <row r="129" spans="2:24">
      <c r="B129" s="260"/>
      <c r="C129" s="260"/>
      <c r="E129" s="260"/>
      <c r="F129" s="260"/>
      <c r="G129" s="342"/>
      <c r="H129" s="342"/>
      <c r="I129" s="262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0"/>
    </row>
    <row r="130" spans="2:24">
      <c r="B130" s="260"/>
      <c r="C130" s="260"/>
      <c r="E130" s="260"/>
      <c r="F130" s="260"/>
      <c r="G130" s="342"/>
      <c r="H130" s="342"/>
      <c r="I130" s="262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0"/>
    </row>
    <row r="131" spans="2:24">
      <c r="B131" s="260"/>
      <c r="C131" s="260"/>
      <c r="E131" s="260"/>
      <c r="F131" s="260"/>
      <c r="G131" s="342"/>
      <c r="H131" s="342"/>
      <c r="I131" s="262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0"/>
    </row>
    <row r="132" spans="2:24">
      <c r="B132" s="260"/>
      <c r="C132" s="260"/>
      <c r="D132" s="260"/>
      <c r="E132" s="260"/>
      <c r="F132" s="260"/>
      <c r="G132" s="342"/>
      <c r="H132" s="342"/>
      <c r="I132" s="262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0"/>
    </row>
    <row r="133" spans="2:24">
      <c r="B133" s="260"/>
      <c r="C133" s="260"/>
      <c r="D133" s="260"/>
      <c r="E133" s="260"/>
      <c r="F133" s="260"/>
      <c r="G133" s="342"/>
      <c r="H133" s="342"/>
      <c r="I133" s="262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0"/>
    </row>
    <row r="134" spans="2:24">
      <c r="B134" s="260"/>
      <c r="C134" s="260"/>
      <c r="D134" s="260"/>
      <c r="E134" s="260"/>
      <c r="F134" s="260"/>
      <c r="G134" s="342"/>
      <c r="H134" s="342"/>
      <c r="I134" s="262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0"/>
    </row>
    <row r="135" spans="2:24">
      <c r="B135" s="260"/>
      <c r="C135" s="260"/>
      <c r="D135" s="260"/>
      <c r="E135" s="260"/>
      <c r="F135" s="260"/>
      <c r="G135" s="342"/>
      <c r="H135" s="342"/>
      <c r="I135" s="262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0"/>
    </row>
    <row r="136" spans="2:24">
      <c r="B136" s="260"/>
      <c r="C136" s="260"/>
      <c r="D136" s="260"/>
      <c r="E136" s="260"/>
      <c r="F136" s="260"/>
      <c r="G136" s="342"/>
      <c r="H136" s="342"/>
      <c r="I136" s="262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0"/>
    </row>
    <row r="137" spans="2:24">
      <c r="B137" s="260"/>
      <c r="C137" s="260"/>
      <c r="D137" s="260"/>
      <c r="E137" s="260"/>
      <c r="F137" s="260"/>
      <c r="G137" s="342"/>
      <c r="H137" s="342"/>
      <c r="I137" s="262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0"/>
    </row>
    <row r="138" spans="2:24">
      <c r="B138" s="260"/>
      <c r="C138" s="260"/>
      <c r="D138" s="260"/>
      <c r="E138" s="260"/>
      <c r="F138" s="260"/>
      <c r="G138" s="342"/>
      <c r="H138" s="342"/>
      <c r="I138" s="262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0"/>
    </row>
    <row r="139" spans="2:24">
      <c r="B139" s="260"/>
      <c r="C139" s="260"/>
      <c r="D139" s="260"/>
      <c r="E139" s="260"/>
      <c r="F139" s="260"/>
      <c r="G139" s="342"/>
      <c r="H139" s="342"/>
      <c r="I139" s="262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0"/>
    </row>
    <row r="140" spans="2:24">
      <c r="B140" s="260"/>
      <c r="C140" s="260"/>
      <c r="D140" s="260"/>
      <c r="E140" s="260"/>
      <c r="F140" s="260"/>
      <c r="G140" s="261"/>
      <c r="H140" s="261"/>
      <c r="I140" s="262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0"/>
    </row>
    <row r="141" spans="2:24">
      <c r="B141" s="260"/>
      <c r="C141" s="260"/>
      <c r="D141" s="260"/>
      <c r="E141" s="260"/>
      <c r="F141" s="260"/>
      <c r="G141" s="261"/>
      <c r="H141" s="261"/>
      <c r="I141" s="262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0"/>
    </row>
    <row r="142" spans="2:24">
      <c r="B142" s="260"/>
      <c r="C142" s="260"/>
      <c r="D142" s="260"/>
      <c r="E142" s="260"/>
      <c r="F142" s="260"/>
      <c r="G142" s="261"/>
      <c r="H142" s="261"/>
      <c r="I142" s="262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0"/>
    </row>
    <row r="143" spans="2:24">
      <c r="B143" s="260"/>
      <c r="C143" s="260"/>
      <c r="D143" s="260"/>
      <c r="E143" s="260"/>
      <c r="F143" s="260"/>
      <c r="G143" s="261"/>
      <c r="H143" s="261"/>
      <c r="I143" s="262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0"/>
    </row>
    <row r="144" spans="2:24">
      <c r="B144" s="260"/>
      <c r="C144" s="260"/>
      <c r="D144" s="260"/>
      <c r="E144" s="260"/>
      <c r="F144" s="260"/>
      <c r="G144" s="261"/>
      <c r="H144" s="261"/>
      <c r="I144" s="262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263"/>
      <c r="X144" s="260"/>
    </row>
    <row r="145" spans="2:24">
      <c r="B145" s="260"/>
      <c r="C145" s="260"/>
      <c r="D145" s="260"/>
      <c r="E145" s="260"/>
      <c r="F145" s="260"/>
      <c r="G145" s="261"/>
      <c r="H145" s="261"/>
      <c r="I145" s="262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0"/>
    </row>
    <row r="146" spans="2:24">
      <c r="B146" s="260"/>
      <c r="C146" s="260"/>
      <c r="D146" s="260"/>
      <c r="E146" s="260"/>
      <c r="F146" s="260"/>
      <c r="G146" s="261"/>
      <c r="H146" s="261"/>
      <c r="I146" s="262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0"/>
    </row>
    <row r="147" spans="2:24">
      <c r="B147" s="260"/>
      <c r="C147" s="260"/>
      <c r="D147" s="260"/>
      <c r="E147" s="260"/>
      <c r="F147" s="260"/>
      <c r="G147" s="261"/>
      <c r="H147" s="261"/>
      <c r="I147" s="262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0"/>
    </row>
    <row r="148" spans="2:24">
      <c r="B148" s="260"/>
      <c r="C148" s="260"/>
      <c r="D148" s="260"/>
      <c r="E148" s="260"/>
      <c r="F148" s="260"/>
      <c r="G148" s="261"/>
      <c r="H148" s="261"/>
      <c r="I148" s="262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0"/>
    </row>
    <row r="149" spans="2:24">
      <c r="B149" s="260"/>
      <c r="C149" s="260"/>
      <c r="D149" s="260"/>
      <c r="E149" s="260"/>
      <c r="F149" s="260"/>
      <c r="G149" s="261"/>
      <c r="H149" s="261"/>
      <c r="I149" s="262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0"/>
    </row>
    <row r="150" spans="2:24">
      <c r="B150" s="260"/>
      <c r="C150" s="260"/>
      <c r="D150" s="260"/>
      <c r="E150" s="260"/>
      <c r="F150" s="260"/>
      <c r="G150" s="261"/>
      <c r="H150" s="261"/>
      <c r="I150" s="262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0"/>
    </row>
    <row r="151" spans="2:24">
      <c r="B151" s="260"/>
      <c r="C151" s="260"/>
      <c r="D151" s="260"/>
      <c r="E151" s="260"/>
      <c r="F151" s="260"/>
      <c r="G151" s="261"/>
      <c r="H151" s="261"/>
      <c r="I151" s="262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0"/>
    </row>
    <row r="152" spans="2:24">
      <c r="B152" s="260"/>
      <c r="C152" s="260"/>
      <c r="D152" s="260"/>
      <c r="E152" s="260"/>
      <c r="F152" s="260"/>
      <c r="G152" s="261"/>
      <c r="H152" s="261"/>
      <c r="I152" s="262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0"/>
    </row>
    <row r="153" spans="2:24">
      <c r="B153" s="260"/>
      <c r="C153" s="260"/>
      <c r="D153" s="260"/>
      <c r="E153" s="260"/>
      <c r="F153" s="260"/>
      <c r="G153" s="261"/>
      <c r="H153" s="261"/>
      <c r="I153" s="262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0"/>
    </row>
    <row r="154" spans="2:24">
      <c r="B154" s="260"/>
      <c r="C154" s="260"/>
      <c r="D154" s="260"/>
      <c r="E154" s="260"/>
      <c r="F154" s="260"/>
      <c r="G154" s="261"/>
      <c r="H154" s="261"/>
      <c r="I154" s="262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0"/>
    </row>
    <row r="155" spans="2:24">
      <c r="B155" s="260"/>
      <c r="C155" s="260"/>
      <c r="D155" s="260"/>
      <c r="E155" s="260"/>
      <c r="F155" s="260"/>
      <c r="G155" s="261"/>
      <c r="H155" s="261"/>
      <c r="I155" s="262"/>
      <c r="J155" s="263"/>
      <c r="K155" s="263"/>
      <c r="L155" s="263"/>
      <c r="M155" s="263"/>
      <c r="N155" s="263"/>
      <c r="O155" s="263"/>
      <c r="P155" s="263"/>
      <c r="Q155" s="263"/>
      <c r="R155" s="263"/>
      <c r="S155" s="263"/>
      <c r="T155" s="263"/>
      <c r="U155" s="263"/>
      <c r="V155" s="263"/>
      <c r="W155" s="263"/>
      <c r="X155" s="260"/>
    </row>
    <row r="156" spans="2:24">
      <c r="B156" s="260"/>
      <c r="C156" s="260"/>
      <c r="D156" s="260"/>
      <c r="E156" s="260"/>
      <c r="F156" s="260"/>
      <c r="G156" s="261"/>
      <c r="H156" s="261"/>
      <c r="I156" s="262"/>
      <c r="J156" s="263"/>
      <c r="K156" s="263"/>
      <c r="L156" s="263"/>
      <c r="M156" s="263"/>
      <c r="N156" s="263"/>
      <c r="O156" s="263"/>
      <c r="P156" s="263"/>
      <c r="Q156" s="263"/>
      <c r="R156" s="263"/>
      <c r="S156" s="263"/>
      <c r="T156" s="263"/>
      <c r="U156" s="263"/>
      <c r="V156" s="263"/>
      <c r="W156" s="263"/>
      <c r="X156" s="260"/>
    </row>
    <row r="157" spans="2:24">
      <c r="B157" s="260"/>
      <c r="C157" s="260"/>
      <c r="D157" s="260"/>
      <c r="E157" s="260"/>
      <c r="F157" s="260"/>
      <c r="G157" s="261"/>
      <c r="H157" s="261"/>
      <c r="I157" s="262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0"/>
    </row>
    <row r="158" spans="2:24">
      <c r="B158" s="260"/>
      <c r="C158" s="260"/>
      <c r="D158" s="260"/>
      <c r="E158" s="260"/>
      <c r="F158" s="260"/>
      <c r="G158" s="261"/>
      <c r="H158" s="261"/>
      <c r="I158" s="262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0"/>
    </row>
    <row r="159" spans="2:24">
      <c r="B159" s="260"/>
      <c r="C159" s="260"/>
      <c r="D159" s="260"/>
      <c r="E159" s="260"/>
      <c r="F159" s="260"/>
      <c r="G159" s="261"/>
      <c r="H159" s="261"/>
      <c r="I159" s="262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0"/>
    </row>
    <row r="160" spans="2:24">
      <c r="B160" s="260"/>
      <c r="C160" s="260"/>
      <c r="D160" s="260"/>
      <c r="E160" s="260"/>
      <c r="F160" s="260"/>
      <c r="G160" s="261"/>
      <c r="H160" s="261"/>
      <c r="I160" s="262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0"/>
    </row>
    <row r="161" spans="2:24">
      <c r="B161" s="260"/>
      <c r="C161" s="260"/>
      <c r="D161" s="260"/>
      <c r="E161" s="260"/>
      <c r="F161" s="260"/>
      <c r="G161" s="261"/>
      <c r="H161" s="261"/>
      <c r="I161" s="262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0"/>
    </row>
    <row r="162" spans="2:24">
      <c r="B162" s="260"/>
      <c r="C162" s="260"/>
      <c r="D162" s="260"/>
      <c r="E162" s="260"/>
      <c r="F162" s="260"/>
      <c r="G162" s="261"/>
      <c r="H162" s="261"/>
      <c r="I162" s="262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0"/>
    </row>
    <row r="163" spans="2:24">
      <c r="B163" s="260"/>
      <c r="C163" s="260"/>
      <c r="D163" s="260"/>
      <c r="E163" s="260"/>
      <c r="F163" s="260"/>
      <c r="G163" s="261"/>
      <c r="H163" s="261"/>
      <c r="I163" s="262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0"/>
    </row>
    <row r="164" spans="2:24">
      <c r="B164" s="260"/>
      <c r="C164" s="260"/>
      <c r="D164" s="260"/>
      <c r="E164" s="260"/>
      <c r="F164" s="260"/>
      <c r="G164" s="261"/>
      <c r="H164" s="261"/>
      <c r="I164" s="262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0"/>
    </row>
    <row r="165" spans="2:24">
      <c r="B165" s="260"/>
      <c r="C165" s="260"/>
      <c r="D165" s="260"/>
      <c r="E165" s="260"/>
      <c r="F165" s="260"/>
      <c r="G165" s="261"/>
      <c r="H165" s="261"/>
      <c r="I165" s="262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0"/>
    </row>
    <row r="166" spans="2:24">
      <c r="B166" s="260"/>
      <c r="C166" s="260"/>
      <c r="D166" s="260"/>
      <c r="E166" s="260"/>
      <c r="F166" s="260"/>
      <c r="G166" s="261"/>
      <c r="H166" s="261"/>
      <c r="I166" s="262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0"/>
    </row>
    <row r="167" spans="2:24">
      <c r="B167" s="260"/>
      <c r="C167" s="260"/>
      <c r="D167" s="260"/>
      <c r="E167" s="260"/>
      <c r="F167" s="260"/>
      <c r="G167" s="261"/>
      <c r="H167" s="261"/>
      <c r="I167" s="262"/>
      <c r="J167" s="263"/>
      <c r="K167" s="263"/>
      <c r="L167" s="263"/>
      <c r="M167" s="263"/>
      <c r="N167" s="263"/>
      <c r="O167" s="263"/>
      <c r="P167" s="263"/>
      <c r="Q167" s="263"/>
      <c r="R167" s="263"/>
      <c r="S167" s="263"/>
      <c r="T167" s="263"/>
      <c r="U167" s="263"/>
      <c r="V167" s="263"/>
      <c r="W167" s="263"/>
      <c r="X167" s="260"/>
    </row>
    <row r="168" spans="2:24">
      <c r="B168" s="260"/>
      <c r="C168" s="260"/>
      <c r="D168" s="260"/>
      <c r="E168" s="260"/>
      <c r="F168" s="260"/>
      <c r="G168" s="261"/>
      <c r="H168" s="261"/>
      <c r="I168" s="262"/>
      <c r="J168" s="263"/>
      <c r="K168" s="263"/>
      <c r="L168" s="263"/>
      <c r="M168" s="263"/>
      <c r="N168" s="263"/>
      <c r="O168" s="263"/>
      <c r="P168" s="263"/>
      <c r="Q168" s="263"/>
      <c r="R168" s="263"/>
      <c r="S168" s="263"/>
      <c r="T168" s="263"/>
      <c r="U168" s="263"/>
      <c r="V168" s="263"/>
      <c r="W168" s="263"/>
      <c r="X168" s="260"/>
    </row>
    <row r="169" spans="2:24">
      <c r="B169" s="260"/>
      <c r="C169" s="260"/>
      <c r="D169" s="260"/>
      <c r="E169" s="260"/>
      <c r="F169" s="260"/>
      <c r="G169" s="261"/>
      <c r="H169" s="261"/>
      <c r="I169" s="262"/>
      <c r="J169" s="263"/>
      <c r="K169" s="263"/>
      <c r="L169" s="263"/>
      <c r="M169" s="263"/>
      <c r="N169" s="263"/>
      <c r="O169" s="263"/>
      <c r="P169" s="263"/>
      <c r="Q169" s="263"/>
      <c r="R169" s="263"/>
      <c r="S169" s="263"/>
      <c r="T169" s="263"/>
      <c r="U169" s="263"/>
      <c r="V169" s="263"/>
      <c r="W169" s="263"/>
      <c r="X169" s="260"/>
    </row>
    <row r="170" spans="2:24">
      <c r="B170" s="260"/>
      <c r="C170" s="260"/>
      <c r="D170" s="260"/>
      <c r="E170" s="260"/>
      <c r="F170" s="260"/>
      <c r="G170" s="261"/>
      <c r="H170" s="261"/>
      <c r="I170" s="262"/>
      <c r="J170" s="263"/>
      <c r="K170" s="263"/>
      <c r="L170" s="263"/>
      <c r="M170" s="263"/>
      <c r="N170" s="263"/>
      <c r="O170" s="263"/>
      <c r="P170" s="263"/>
      <c r="Q170" s="263"/>
      <c r="R170" s="263"/>
      <c r="S170" s="263"/>
      <c r="T170" s="263"/>
      <c r="U170" s="263"/>
      <c r="V170" s="263"/>
      <c r="W170" s="263"/>
      <c r="X170" s="260"/>
    </row>
    <row r="171" spans="2:24">
      <c r="B171" s="260"/>
      <c r="C171" s="260"/>
      <c r="D171" s="260"/>
      <c r="E171" s="260"/>
      <c r="F171" s="260"/>
      <c r="G171" s="261"/>
      <c r="H171" s="261"/>
      <c r="I171" s="262"/>
      <c r="J171" s="263"/>
      <c r="K171" s="263"/>
      <c r="L171" s="263"/>
      <c r="M171" s="263"/>
      <c r="N171" s="263"/>
      <c r="O171" s="263"/>
      <c r="P171" s="263"/>
      <c r="Q171" s="263"/>
      <c r="R171" s="263"/>
      <c r="S171" s="263"/>
      <c r="T171" s="263"/>
      <c r="U171" s="263"/>
      <c r="V171" s="263"/>
      <c r="W171" s="263"/>
      <c r="X171" s="260"/>
    </row>
    <row r="172" spans="2:24">
      <c r="B172" s="260"/>
      <c r="C172" s="260"/>
      <c r="D172" s="260"/>
      <c r="E172" s="260"/>
      <c r="F172" s="260"/>
      <c r="G172" s="261"/>
      <c r="H172" s="261"/>
      <c r="I172" s="262"/>
      <c r="J172" s="263"/>
      <c r="K172" s="263"/>
      <c r="L172" s="263"/>
      <c r="M172" s="263"/>
      <c r="N172" s="263"/>
      <c r="O172" s="263"/>
      <c r="P172" s="263"/>
      <c r="Q172" s="263"/>
      <c r="R172" s="263"/>
      <c r="S172" s="263"/>
      <c r="T172" s="263"/>
      <c r="U172" s="263"/>
      <c r="V172" s="263"/>
      <c r="W172" s="263"/>
      <c r="X172" s="260"/>
    </row>
    <row r="173" spans="2:24">
      <c r="B173" s="260"/>
      <c r="C173" s="260"/>
      <c r="D173" s="260"/>
      <c r="E173" s="260"/>
      <c r="F173" s="260"/>
      <c r="G173" s="261"/>
      <c r="H173" s="261"/>
      <c r="I173" s="262"/>
      <c r="J173" s="263"/>
      <c r="K173" s="263"/>
      <c r="L173" s="263"/>
      <c r="M173" s="263"/>
      <c r="N173" s="263"/>
      <c r="O173" s="263"/>
      <c r="P173" s="263"/>
      <c r="Q173" s="263"/>
      <c r="R173" s="263"/>
      <c r="S173" s="263"/>
      <c r="T173" s="263"/>
      <c r="U173" s="263"/>
      <c r="V173" s="263"/>
      <c r="W173" s="263"/>
      <c r="X173" s="260"/>
    </row>
    <row r="174" spans="2:24">
      <c r="B174" s="260"/>
      <c r="C174" s="260"/>
      <c r="D174" s="260"/>
      <c r="E174" s="260"/>
      <c r="F174" s="260"/>
      <c r="G174" s="261"/>
      <c r="H174" s="261"/>
      <c r="I174" s="262"/>
      <c r="J174" s="263"/>
      <c r="K174" s="263"/>
      <c r="L174" s="263"/>
      <c r="M174" s="263"/>
      <c r="N174" s="263"/>
      <c r="O174" s="263"/>
      <c r="P174" s="263"/>
      <c r="Q174" s="263"/>
      <c r="R174" s="263"/>
      <c r="S174" s="263"/>
      <c r="T174" s="263"/>
      <c r="U174" s="263"/>
      <c r="V174" s="263"/>
      <c r="W174" s="263"/>
      <c r="X174" s="260"/>
    </row>
    <row r="175" spans="2:24">
      <c r="B175" s="260"/>
      <c r="C175" s="260"/>
      <c r="D175" s="260"/>
      <c r="E175" s="260"/>
      <c r="F175" s="260"/>
      <c r="G175" s="261"/>
      <c r="H175" s="261"/>
      <c r="I175" s="262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0"/>
    </row>
    <row r="176" spans="2:24">
      <c r="B176" s="260"/>
      <c r="C176" s="260"/>
      <c r="D176" s="260"/>
      <c r="E176" s="260"/>
      <c r="F176" s="260"/>
      <c r="G176" s="261"/>
      <c r="H176" s="261"/>
      <c r="I176" s="262"/>
      <c r="J176" s="263"/>
      <c r="K176" s="263"/>
      <c r="L176" s="263"/>
      <c r="M176" s="263"/>
      <c r="N176" s="263"/>
      <c r="O176" s="263"/>
      <c r="P176" s="263"/>
      <c r="Q176" s="263"/>
      <c r="R176" s="263"/>
      <c r="S176" s="263"/>
      <c r="T176" s="263"/>
      <c r="U176" s="263"/>
      <c r="V176" s="263"/>
      <c r="W176" s="263"/>
      <c r="X176" s="260"/>
    </row>
    <row r="177" spans="2:24">
      <c r="B177" s="260"/>
      <c r="C177" s="260"/>
      <c r="D177" s="260"/>
      <c r="E177" s="260"/>
      <c r="F177" s="260"/>
      <c r="G177" s="261"/>
      <c r="H177" s="261"/>
      <c r="I177" s="262"/>
      <c r="J177" s="263"/>
      <c r="K177" s="263"/>
      <c r="L177" s="263"/>
      <c r="M177" s="263"/>
      <c r="N177" s="263"/>
      <c r="O177" s="263"/>
      <c r="P177" s="263"/>
      <c r="Q177" s="263"/>
      <c r="R177" s="263"/>
      <c r="S177" s="263"/>
      <c r="T177" s="263"/>
      <c r="U177" s="263"/>
      <c r="V177" s="263"/>
      <c r="W177" s="263"/>
      <c r="X177" s="260"/>
    </row>
    <row r="178" spans="2:24">
      <c r="B178" s="260"/>
      <c r="C178" s="260"/>
      <c r="D178" s="260"/>
      <c r="E178" s="260"/>
      <c r="F178" s="260"/>
      <c r="G178" s="261"/>
      <c r="H178" s="261"/>
      <c r="I178" s="262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0"/>
    </row>
    <row r="179" spans="2:24">
      <c r="B179" s="260"/>
      <c r="C179" s="260"/>
      <c r="D179" s="260"/>
      <c r="E179" s="260"/>
      <c r="F179" s="260"/>
      <c r="G179" s="261"/>
      <c r="H179" s="261"/>
      <c r="I179" s="262"/>
      <c r="J179" s="263"/>
      <c r="K179" s="263"/>
      <c r="L179" s="263"/>
      <c r="M179" s="263"/>
      <c r="N179" s="263"/>
      <c r="O179" s="263"/>
      <c r="P179" s="263"/>
      <c r="Q179" s="263"/>
      <c r="R179" s="263"/>
      <c r="S179" s="263"/>
      <c r="T179" s="263"/>
      <c r="U179" s="263"/>
      <c r="V179" s="263"/>
      <c r="W179" s="263"/>
      <c r="X179" s="260"/>
    </row>
    <row r="180" spans="2:24">
      <c r="B180" s="260"/>
      <c r="C180" s="260"/>
      <c r="D180" s="260"/>
      <c r="E180" s="260"/>
      <c r="F180" s="260"/>
      <c r="G180" s="261"/>
      <c r="H180" s="261"/>
      <c r="I180" s="262"/>
      <c r="J180" s="263"/>
      <c r="K180" s="26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  <c r="W180" s="263"/>
      <c r="X180" s="260"/>
    </row>
    <row r="181" spans="2:24">
      <c r="B181" s="260"/>
      <c r="C181" s="260"/>
      <c r="D181" s="260"/>
      <c r="E181" s="260"/>
      <c r="F181" s="260"/>
      <c r="G181" s="261"/>
      <c r="H181" s="261"/>
      <c r="I181" s="262"/>
      <c r="J181" s="263"/>
      <c r="K181" s="263"/>
      <c r="L181" s="263"/>
      <c r="M181" s="263"/>
      <c r="N181" s="263"/>
      <c r="O181" s="263"/>
      <c r="P181" s="263"/>
      <c r="Q181" s="263"/>
      <c r="R181" s="263"/>
      <c r="S181" s="263"/>
      <c r="T181" s="263"/>
      <c r="U181" s="263"/>
      <c r="V181" s="263"/>
      <c r="W181" s="263"/>
      <c r="X181" s="260"/>
    </row>
    <row r="182" spans="2:24">
      <c r="B182" s="260"/>
      <c r="C182" s="260"/>
      <c r="D182" s="260"/>
      <c r="E182" s="260"/>
      <c r="F182" s="260"/>
      <c r="G182" s="261"/>
      <c r="H182" s="261"/>
      <c r="I182" s="262"/>
      <c r="J182" s="263"/>
      <c r="K182" s="263"/>
      <c r="L182" s="263"/>
      <c r="M182" s="263"/>
      <c r="N182" s="263"/>
      <c r="O182" s="263"/>
      <c r="P182" s="263"/>
      <c r="Q182" s="263"/>
      <c r="R182" s="263"/>
      <c r="S182" s="263"/>
      <c r="T182" s="263"/>
      <c r="U182" s="263"/>
      <c r="V182" s="263"/>
      <c r="W182" s="263"/>
      <c r="X182" s="260"/>
    </row>
    <row r="183" spans="2:24">
      <c r="B183" s="260"/>
      <c r="C183" s="260"/>
      <c r="D183" s="260"/>
      <c r="E183" s="260"/>
      <c r="F183" s="260"/>
      <c r="G183" s="261"/>
      <c r="H183" s="261"/>
      <c r="I183" s="262"/>
      <c r="J183" s="263"/>
      <c r="K183" s="263"/>
      <c r="L183" s="263"/>
      <c r="M183" s="263"/>
      <c r="N183" s="263"/>
      <c r="O183" s="263"/>
      <c r="P183" s="263"/>
      <c r="Q183" s="263"/>
      <c r="R183" s="263"/>
      <c r="S183" s="263"/>
      <c r="T183" s="263"/>
      <c r="U183" s="263"/>
      <c r="V183" s="263"/>
      <c r="W183" s="263"/>
      <c r="X183" s="260"/>
    </row>
    <row r="184" spans="2:24">
      <c r="B184" s="260"/>
      <c r="C184" s="260"/>
      <c r="D184" s="260"/>
      <c r="E184" s="260"/>
      <c r="F184" s="260"/>
      <c r="G184" s="261"/>
      <c r="H184" s="261"/>
      <c r="I184" s="262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0"/>
    </row>
    <row r="185" spans="2:24">
      <c r="B185" s="260"/>
      <c r="C185" s="260"/>
      <c r="D185" s="260"/>
      <c r="E185" s="260"/>
      <c r="F185" s="260"/>
      <c r="G185" s="261"/>
      <c r="H185" s="261"/>
      <c r="I185" s="262"/>
      <c r="J185" s="263"/>
      <c r="K185" s="263"/>
      <c r="L185" s="263"/>
      <c r="M185" s="263"/>
      <c r="N185" s="263"/>
      <c r="O185" s="263"/>
      <c r="P185" s="263"/>
      <c r="Q185" s="263"/>
      <c r="R185" s="263"/>
      <c r="S185" s="263"/>
      <c r="T185" s="263"/>
      <c r="U185" s="263"/>
      <c r="V185" s="263"/>
      <c r="W185" s="263"/>
      <c r="X185" s="260"/>
    </row>
    <row r="186" spans="2:24">
      <c r="B186" s="260"/>
      <c r="C186" s="260"/>
      <c r="D186" s="260"/>
      <c r="E186" s="260"/>
      <c r="F186" s="260"/>
      <c r="G186" s="261"/>
      <c r="H186" s="261"/>
      <c r="I186" s="262"/>
      <c r="J186" s="263"/>
      <c r="K186" s="263"/>
      <c r="L186" s="263"/>
      <c r="M186" s="263"/>
      <c r="N186" s="263"/>
      <c r="O186" s="263"/>
      <c r="P186" s="263"/>
      <c r="Q186" s="263"/>
      <c r="R186" s="263"/>
      <c r="S186" s="263"/>
      <c r="T186" s="263"/>
      <c r="U186" s="263"/>
      <c r="V186" s="263"/>
      <c r="W186" s="263"/>
      <c r="X186" s="260"/>
    </row>
    <row r="187" spans="2:24">
      <c r="B187" s="260"/>
      <c r="C187" s="260"/>
      <c r="D187" s="260"/>
      <c r="E187" s="260"/>
      <c r="F187" s="260"/>
      <c r="G187" s="261"/>
      <c r="H187" s="261"/>
      <c r="I187" s="262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0"/>
    </row>
    <row r="188" spans="2:24">
      <c r="B188" s="260"/>
      <c r="C188" s="260"/>
      <c r="D188" s="260"/>
      <c r="E188" s="260"/>
      <c r="F188" s="260"/>
      <c r="G188" s="261"/>
      <c r="H188" s="261"/>
      <c r="I188" s="262"/>
      <c r="J188" s="263"/>
      <c r="K188" s="263"/>
      <c r="L188" s="263"/>
      <c r="M188" s="263"/>
      <c r="N188" s="263"/>
      <c r="O188" s="263"/>
      <c r="P188" s="263"/>
      <c r="Q188" s="263"/>
      <c r="R188" s="263"/>
      <c r="S188" s="263"/>
      <c r="T188" s="263"/>
      <c r="U188" s="263"/>
      <c r="V188" s="263"/>
      <c r="W188" s="263"/>
      <c r="X188" s="260"/>
    </row>
    <row r="189" spans="2:24">
      <c r="B189" s="260"/>
      <c r="C189" s="260"/>
      <c r="D189" s="260"/>
      <c r="E189" s="260"/>
      <c r="F189" s="260"/>
      <c r="G189" s="261"/>
      <c r="H189" s="261"/>
      <c r="I189" s="262"/>
      <c r="J189" s="263"/>
      <c r="K189" s="263"/>
      <c r="L189" s="263"/>
      <c r="M189" s="263"/>
      <c r="N189" s="263"/>
      <c r="O189" s="263"/>
      <c r="P189" s="263"/>
      <c r="Q189" s="263"/>
      <c r="R189" s="263"/>
      <c r="S189" s="263"/>
      <c r="T189" s="263"/>
      <c r="U189" s="263"/>
      <c r="V189" s="263"/>
      <c r="W189" s="263"/>
      <c r="X189" s="260"/>
    </row>
    <row r="190" spans="2:24">
      <c r="B190" s="260"/>
      <c r="C190" s="260"/>
      <c r="D190" s="260"/>
      <c r="E190" s="260"/>
      <c r="F190" s="260"/>
      <c r="G190" s="261"/>
      <c r="H190" s="261"/>
      <c r="I190" s="262"/>
      <c r="J190" s="263"/>
      <c r="K190" s="263"/>
      <c r="L190" s="263"/>
      <c r="M190" s="263"/>
      <c r="N190" s="263"/>
      <c r="O190" s="263"/>
      <c r="P190" s="263"/>
      <c r="Q190" s="263"/>
      <c r="R190" s="263"/>
      <c r="S190" s="263"/>
      <c r="T190" s="263"/>
      <c r="U190" s="263"/>
      <c r="V190" s="263"/>
      <c r="W190" s="263"/>
      <c r="X190" s="260"/>
    </row>
    <row r="191" spans="2:24">
      <c r="B191" s="260"/>
      <c r="C191" s="260"/>
      <c r="D191" s="260"/>
      <c r="E191" s="260"/>
      <c r="F191" s="260"/>
      <c r="G191" s="261"/>
      <c r="H191" s="261"/>
      <c r="I191" s="262"/>
      <c r="J191" s="263"/>
      <c r="K191" s="263"/>
      <c r="L191" s="263"/>
      <c r="M191" s="263"/>
      <c r="N191" s="263"/>
      <c r="O191" s="263"/>
      <c r="P191" s="263"/>
      <c r="Q191" s="263"/>
      <c r="R191" s="263"/>
      <c r="S191" s="263"/>
      <c r="T191" s="263"/>
      <c r="U191" s="263"/>
      <c r="V191" s="263"/>
      <c r="W191" s="263"/>
      <c r="X191" s="260"/>
    </row>
    <row r="192" spans="2:24">
      <c r="B192" s="260"/>
      <c r="C192" s="260"/>
      <c r="D192" s="260"/>
      <c r="E192" s="260"/>
      <c r="F192" s="260"/>
      <c r="G192" s="261"/>
      <c r="H192" s="261"/>
      <c r="I192" s="262"/>
      <c r="J192" s="263"/>
      <c r="K192" s="263"/>
      <c r="L192" s="263"/>
      <c r="M192" s="263"/>
      <c r="N192" s="263"/>
      <c r="O192" s="263"/>
      <c r="P192" s="263"/>
      <c r="Q192" s="263"/>
      <c r="R192" s="263"/>
      <c r="S192" s="263"/>
      <c r="T192" s="263"/>
      <c r="U192" s="263"/>
      <c r="V192" s="263"/>
      <c r="W192" s="263"/>
      <c r="X192" s="260"/>
    </row>
    <row r="193" spans="2:24">
      <c r="B193" s="260"/>
      <c r="C193" s="260"/>
      <c r="D193" s="260"/>
      <c r="E193" s="260"/>
      <c r="F193" s="260"/>
      <c r="G193" s="261"/>
      <c r="H193" s="261"/>
      <c r="I193" s="262"/>
      <c r="J193" s="263"/>
      <c r="K193" s="263"/>
      <c r="L193" s="263"/>
      <c r="M193" s="263"/>
      <c r="N193" s="263"/>
      <c r="O193" s="263"/>
      <c r="P193" s="263"/>
      <c r="Q193" s="263"/>
      <c r="R193" s="263"/>
      <c r="S193" s="263"/>
      <c r="T193" s="263"/>
      <c r="U193" s="263"/>
      <c r="V193" s="263"/>
      <c r="W193" s="263"/>
      <c r="X193" s="260"/>
    </row>
    <row r="194" spans="2:24">
      <c r="B194" s="260"/>
      <c r="C194" s="260"/>
      <c r="D194" s="260"/>
      <c r="E194" s="260"/>
      <c r="F194" s="260"/>
      <c r="G194" s="261"/>
      <c r="H194" s="261"/>
      <c r="I194" s="262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0"/>
    </row>
    <row r="195" spans="2:24">
      <c r="B195" s="260"/>
      <c r="C195" s="260"/>
      <c r="D195" s="260"/>
      <c r="E195" s="260"/>
      <c r="F195" s="260"/>
      <c r="G195" s="261"/>
      <c r="H195" s="261"/>
      <c r="I195" s="262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0"/>
    </row>
    <row r="196" spans="2:24">
      <c r="B196" s="260"/>
      <c r="C196" s="260"/>
      <c r="D196" s="260"/>
      <c r="E196" s="260"/>
      <c r="F196" s="260"/>
      <c r="G196" s="261"/>
      <c r="H196" s="261"/>
      <c r="I196" s="262"/>
      <c r="J196" s="263"/>
      <c r="K196" s="263"/>
      <c r="L196" s="263"/>
      <c r="M196" s="263"/>
      <c r="N196" s="263"/>
      <c r="O196" s="263"/>
      <c r="P196" s="263"/>
      <c r="Q196" s="263"/>
      <c r="R196" s="263"/>
      <c r="S196" s="263"/>
      <c r="T196" s="263"/>
      <c r="U196" s="263"/>
      <c r="V196" s="263"/>
      <c r="W196" s="263"/>
      <c r="X196" s="260"/>
    </row>
    <row r="197" spans="2:24">
      <c r="B197" s="260"/>
      <c r="C197" s="260"/>
      <c r="D197" s="260"/>
      <c r="E197" s="260"/>
      <c r="F197" s="260"/>
      <c r="G197" s="261"/>
      <c r="H197" s="261"/>
      <c r="I197" s="262"/>
      <c r="J197" s="263"/>
      <c r="K197" s="263"/>
      <c r="L197" s="263"/>
      <c r="M197" s="263"/>
      <c r="N197" s="263"/>
      <c r="O197" s="263"/>
      <c r="P197" s="263"/>
      <c r="Q197" s="263"/>
      <c r="R197" s="263"/>
      <c r="S197" s="263"/>
      <c r="T197" s="263"/>
      <c r="U197" s="263"/>
      <c r="V197" s="263"/>
      <c r="W197" s="263"/>
      <c r="X197" s="260"/>
    </row>
    <row r="198" spans="2:24">
      <c r="B198" s="260"/>
      <c r="C198" s="260"/>
      <c r="D198" s="260"/>
      <c r="E198" s="260"/>
      <c r="F198" s="260"/>
      <c r="G198" s="261"/>
      <c r="H198" s="261"/>
      <c r="I198" s="262"/>
      <c r="J198" s="263"/>
      <c r="K198" s="263"/>
      <c r="L198" s="263"/>
      <c r="M198" s="263"/>
      <c r="N198" s="263"/>
      <c r="O198" s="263"/>
      <c r="P198" s="263"/>
      <c r="Q198" s="263"/>
      <c r="R198" s="263"/>
      <c r="S198" s="263"/>
      <c r="T198" s="263"/>
      <c r="U198" s="263"/>
      <c r="V198" s="263"/>
      <c r="W198" s="263"/>
      <c r="X198" s="260"/>
    </row>
    <row r="199" spans="2:24">
      <c r="B199" s="260"/>
      <c r="C199" s="260"/>
      <c r="D199" s="260"/>
      <c r="E199" s="260"/>
      <c r="F199" s="260"/>
      <c r="G199" s="261"/>
      <c r="H199" s="261"/>
      <c r="I199" s="262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3"/>
      <c r="U199" s="263"/>
      <c r="V199" s="263"/>
      <c r="W199" s="263"/>
      <c r="X199" s="260"/>
    </row>
    <row r="200" spans="2:24">
      <c r="B200" s="260"/>
      <c r="C200" s="260"/>
      <c r="D200" s="260"/>
      <c r="E200" s="260"/>
      <c r="F200" s="260"/>
      <c r="G200" s="261"/>
      <c r="H200" s="261"/>
      <c r="I200" s="262"/>
      <c r="J200" s="263"/>
      <c r="K200" s="263"/>
      <c r="L200" s="263"/>
      <c r="M200" s="263"/>
      <c r="N200" s="263"/>
      <c r="O200" s="263"/>
      <c r="P200" s="263"/>
      <c r="Q200" s="263"/>
      <c r="R200" s="263"/>
      <c r="S200" s="263"/>
      <c r="T200" s="263"/>
      <c r="U200" s="263"/>
      <c r="V200" s="263"/>
      <c r="W200" s="263"/>
      <c r="X200" s="260"/>
    </row>
    <row r="201" spans="2:24">
      <c r="B201" s="260"/>
      <c r="C201" s="260"/>
      <c r="D201" s="260"/>
      <c r="E201" s="260"/>
      <c r="F201" s="260"/>
      <c r="G201" s="261"/>
      <c r="H201" s="261"/>
      <c r="I201" s="262"/>
      <c r="J201" s="263"/>
      <c r="K201" s="263"/>
      <c r="L201" s="263"/>
      <c r="M201" s="263"/>
      <c r="N201" s="263"/>
      <c r="O201" s="263"/>
      <c r="P201" s="263"/>
      <c r="Q201" s="263"/>
      <c r="R201" s="263"/>
      <c r="S201" s="263"/>
      <c r="T201" s="263"/>
      <c r="U201" s="263"/>
      <c r="V201" s="263"/>
      <c r="W201" s="263"/>
      <c r="X201" s="260"/>
    </row>
    <row r="202" spans="2:24">
      <c r="B202" s="260"/>
      <c r="C202" s="260"/>
      <c r="D202" s="260"/>
      <c r="E202" s="260"/>
      <c r="F202" s="260"/>
      <c r="G202" s="261"/>
      <c r="H202" s="261"/>
      <c r="I202" s="262"/>
      <c r="J202" s="263"/>
      <c r="K202" s="263"/>
      <c r="L202" s="263"/>
      <c r="M202" s="263"/>
      <c r="N202" s="263"/>
      <c r="O202" s="263"/>
      <c r="P202" s="263"/>
      <c r="Q202" s="263"/>
      <c r="R202" s="263"/>
      <c r="S202" s="263"/>
      <c r="T202" s="263"/>
      <c r="U202" s="263"/>
      <c r="V202" s="263"/>
      <c r="W202" s="263"/>
      <c r="X202" s="260"/>
    </row>
    <row r="203" spans="2:24">
      <c r="B203" s="260"/>
      <c r="C203" s="260"/>
      <c r="D203" s="260"/>
      <c r="E203" s="260"/>
      <c r="F203" s="260"/>
      <c r="G203" s="261"/>
      <c r="H203" s="261"/>
      <c r="I203" s="262"/>
      <c r="J203" s="263"/>
      <c r="K203" s="263"/>
      <c r="L203" s="263"/>
      <c r="M203" s="263"/>
      <c r="N203" s="263"/>
      <c r="O203" s="263"/>
      <c r="P203" s="263"/>
      <c r="Q203" s="263"/>
      <c r="R203" s="263"/>
      <c r="S203" s="263"/>
      <c r="T203" s="263"/>
      <c r="U203" s="263"/>
      <c r="V203" s="263"/>
      <c r="W203" s="263"/>
      <c r="X203" s="260"/>
    </row>
    <row r="204" spans="2:24">
      <c r="B204" s="260"/>
      <c r="C204" s="260"/>
      <c r="D204" s="260"/>
      <c r="E204" s="260"/>
      <c r="F204" s="260"/>
      <c r="G204" s="261"/>
      <c r="H204" s="261"/>
      <c r="I204" s="262"/>
      <c r="J204" s="263"/>
      <c r="K204" s="263"/>
      <c r="L204" s="263"/>
      <c r="M204" s="263"/>
      <c r="N204" s="263"/>
      <c r="O204" s="263"/>
      <c r="P204" s="263"/>
      <c r="Q204" s="263"/>
      <c r="R204" s="263"/>
      <c r="S204" s="263"/>
      <c r="T204" s="263"/>
      <c r="U204" s="263"/>
      <c r="V204" s="263"/>
      <c r="W204" s="263"/>
      <c r="X204" s="260"/>
    </row>
    <row r="205" spans="2:24">
      <c r="B205" s="260"/>
      <c r="C205" s="260"/>
      <c r="D205" s="260"/>
      <c r="E205" s="260"/>
      <c r="F205" s="260"/>
      <c r="G205" s="261"/>
      <c r="H205" s="261"/>
      <c r="I205" s="262"/>
      <c r="J205" s="263"/>
      <c r="K205" s="263"/>
      <c r="L205" s="263"/>
      <c r="M205" s="263"/>
      <c r="N205" s="263"/>
      <c r="O205" s="263"/>
      <c r="P205" s="263"/>
      <c r="Q205" s="263"/>
      <c r="R205" s="263"/>
      <c r="S205" s="263"/>
      <c r="T205" s="263"/>
      <c r="U205" s="263"/>
      <c r="V205" s="263"/>
      <c r="W205" s="263"/>
      <c r="X205" s="260"/>
    </row>
    <row r="206" spans="2:24">
      <c r="B206" s="260"/>
      <c r="C206" s="260"/>
      <c r="D206" s="260"/>
      <c r="E206" s="260"/>
      <c r="F206" s="260"/>
      <c r="G206" s="261"/>
      <c r="H206" s="261"/>
      <c r="I206" s="262"/>
      <c r="J206" s="263"/>
      <c r="K206" s="263"/>
      <c r="L206" s="263"/>
      <c r="M206" s="263"/>
      <c r="N206" s="263"/>
      <c r="O206" s="263"/>
      <c r="P206" s="263"/>
      <c r="Q206" s="263"/>
      <c r="R206" s="263"/>
      <c r="S206" s="263"/>
      <c r="T206" s="263"/>
      <c r="U206" s="263"/>
      <c r="V206" s="263"/>
      <c r="W206" s="263"/>
      <c r="X206" s="260"/>
    </row>
    <row r="207" spans="2:24">
      <c r="B207" s="260"/>
      <c r="C207" s="260"/>
      <c r="D207" s="260"/>
      <c r="E207" s="260"/>
      <c r="F207" s="260"/>
      <c r="G207" s="261"/>
      <c r="H207" s="261"/>
      <c r="I207" s="262"/>
      <c r="J207" s="263"/>
      <c r="K207" s="263"/>
      <c r="L207" s="263"/>
      <c r="M207" s="263"/>
      <c r="N207" s="263"/>
      <c r="O207" s="263"/>
      <c r="P207" s="263"/>
      <c r="Q207" s="263"/>
      <c r="R207" s="263"/>
      <c r="S207" s="263"/>
      <c r="T207" s="263"/>
      <c r="U207" s="263"/>
      <c r="V207" s="263"/>
      <c r="W207" s="263"/>
      <c r="X207" s="260"/>
    </row>
    <row r="208" spans="2:24">
      <c r="B208" s="260"/>
      <c r="C208" s="260"/>
      <c r="D208" s="260"/>
      <c r="E208" s="260"/>
      <c r="F208" s="260"/>
      <c r="G208" s="261"/>
      <c r="H208" s="261"/>
      <c r="I208" s="262"/>
      <c r="J208" s="263"/>
      <c r="K208" s="263"/>
      <c r="L208" s="263"/>
      <c r="M208" s="263"/>
      <c r="N208" s="263"/>
      <c r="O208" s="263"/>
      <c r="P208" s="263"/>
      <c r="Q208" s="263"/>
      <c r="R208" s="263"/>
      <c r="S208" s="263"/>
      <c r="T208" s="263"/>
      <c r="U208" s="263"/>
      <c r="V208" s="263"/>
      <c r="W208" s="263"/>
      <c r="X208" s="260"/>
    </row>
    <row r="209" spans="2:24">
      <c r="B209" s="260"/>
      <c r="C209" s="260"/>
      <c r="D209" s="260"/>
      <c r="E209" s="260"/>
      <c r="F209" s="260"/>
      <c r="G209" s="261"/>
      <c r="H209" s="261"/>
      <c r="I209" s="262"/>
      <c r="J209" s="263"/>
      <c r="K209" s="263"/>
      <c r="L209" s="263"/>
      <c r="M209" s="263"/>
      <c r="N209" s="263"/>
      <c r="O209" s="263"/>
      <c r="P209" s="263"/>
      <c r="Q209" s="263"/>
      <c r="R209" s="263"/>
      <c r="S209" s="263"/>
      <c r="T209" s="263"/>
      <c r="U209" s="263"/>
      <c r="V209" s="263"/>
      <c r="W209" s="263"/>
      <c r="X209" s="260"/>
    </row>
    <row r="210" spans="2:24">
      <c r="B210" s="260"/>
      <c r="C210" s="260"/>
      <c r="D210" s="260"/>
      <c r="E210" s="260"/>
      <c r="F210" s="260"/>
      <c r="G210" s="261"/>
      <c r="H210" s="261"/>
      <c r="I210" s="262"/>
      <c r="J210" s="263"/>
      <c r="K210" s="263"/>
      <c r="L210" s="263"/>
      <c r="M210" s="263"/>
      <c r="N210" s="263"/>
      <c r="O210" s="263"/>
      <c r="P210" s="263"/>
      <c r="Q210" s="263"/>
      <c r="R210" s="263"/>
      <c r="S210" s="263"/>
      <c r="T210" s="263"/>
      <c r="U210" s="263"/>
      <c r="V210" s="263"/>
      <c r="W210" s="263"/>
      <c r="X210" s="260"/>
    </row>
    <row r="211" spans="2:24">
      <c r="B211" s="260"/>
      <c r="C211" s="260"/>
      <c r="D211" s="260"/>
      <c r="E211" s="260"/>
      <c r="F211" s="260"/>
      <c r="G211" s="261"/>
      <c r="H211" s="261"/>
      <c r="I211" s="262"/>
      <c r="J211" s="263"/>
      <c r="K211" s="263"/>
      <c r="L211" s="263"/>
      <c r="M211" s="263"/>
      <c r="N211" s="263"/>
      <c r="O211" s="263"/>
      <c r="P211" s="263"/>
      <c r="Q211" s="263"/>
      <c r="R211" s="263"/>
      <c r="S211" s="263"/>
      <c r="T211" s="263"/>
      <c r="U211" s="263"/>
      <c r="V211" s="263"/>
      <c r="W211" s="263"/>
      <c r="X211" s="260"/>
    </row>
    <row r="212" spans="2:24">
      <c r="B212" s="260"/>
      <c r="C212" s="260"/>
      <c r="D212" s="260"/>
      <c r="E212" s="260"/>
      <c r="F212" s="260"/>
      <c r="G212" s="261"/>
      <c r="H212" s="261"/>
      <c r="I212" s="262"/>
      <c r="J212" s="263"/>
      <c r="K212" s="263"/>
      <c r="L212" s="263"/>
      <c r="M212" s="263"/>
      <c r="N212" s="263"/>
      <c r="O212" s="263"/>
      <c r="P212" s="263"/>
      <c r="Q212" s="263"/>
      <c r="R212" s="263"/>
      <c r="S212" s="263"/>
      <c r="T212" s="263"/>
      <c r="U212" s="263"/>
      <c r="V212" s="263"/>
      <c r="W212" s="263"/>
      <c r="X212" s="260"/>
    </row>
    <row r="213" spans="2:24">
      <c r="B213" s="260"/>
      <c r="C213" s="260"/>
      <c r="D213" s="260"/>
      <c r="E213" s="260"/>
      <c r="F213" s="260"/>
      <c r="G213" s="261"/>
      <c r="H213" s="261"/>
      <c r="I213" s="262"/>
      <c r="J213" s="263"/>
      <c r="K213" s="263"/>
      <c r="L213" s="263"/>
      <c r="M213" s="263"/>
      <c r="N213" s="263"/>
      <c r="O213" s="263"/>
      <c r="P213" s="263"/>
      <c r="Q213" s="263"/>
      <c r="R213" s="263"/>
      <c r="S213" s="263"/>
      <c r="T213" s="263"/>
      <c r="U213" s="263"/>
      <c r="V213" s="263"/>
      <c r="W213" s="263"/>
      <c r="X213" s="260"/>
    </row>
    <row r="214" spans="2:24">
      <c r="B214" s="260"/>
      <c r="C214" s="260"/>
      <c r="D214" s="260"/>
      <c r="E214" s="260"/>
      <c r="F214" s="260"/>
      <c r="G214" s="261"/>
      <c r="H214" s="261"/>
      <c r="I214" s="262"/>
      <c r="J214" s="263"/>
      <c r="K214" s="263"/>
      <c r="L214" s="263"/>
      <c r="M214" s="263"/>
      <c r="N214" s="263"/>
      <c r="O214" s="263"/>
      <c r="P214" s="263"/>
      <c r="Q214" s="263"/>
      <c r="R214" s="263"/>
      <c r="S214" s="263"/>
      <c r="T214" s="263"/>
      <c r="U214" s="263"/>
      <c r="V214" s="263"/>
      <c r="W214" s="263"/>
      <c r="X214" s="260"/>
    </row>
    <row r="215" spans="2:24">
      <c r="B215" s="260"/>
      <c r="C215" s="260"/>
      <c r="D215" s="260"/>
      <c r="E215" s="260"/>
      <c r="F215" s="260"/>
      <c r="G215" s="261"/>
      <c r="H215" s="261"/>
      <c r="I215" s="262"/>
      <c r="J215" s="263"/>
      <c r="K215" s="263"/>
      <c r="L215" s="263"/>
      <c r="M215" s="263"/>
      <c r="N215" s="263"/>
      <c r="O215" s="263"/>
      <c r="P215" s="263"/>
      <c r="Q215" s="263"/>
      <c r="R215" s="263"/>
      <c r="S215" s="263"/>
      <c r="T215" s="263"/>
      <c r="U215" s="263"/>
      <c r="V215" s="263"/>
      <c r="W215" s="263"/>
      <c r="X215" s="260"/>
    </row>
    <row r="216" spans="2:24">
      <c r="B216" s="260"/>
      <c r="C216" s="260"/>
      <c r="D216" s="260"/>
      <c r="E216" s="260"/>
      <c r="F216" s="260"/>
      <c r="G216" s="261"/>
      <c r="H216" s="261"/>
      <c r="I216" s="262"/>
      <c r="J216" s="263"/>
      <c r="K216" s="263"/>
      <c r="L216" s="263"/>
      <c r="M216" s="263"/>
      <c r="N216" s="263"/>
      <c r="O216" s="263"/>
      <c r="P216" s="263"/>
      <c r="Q216" s="263"/>
      <c r="R216" s="263"/>
      <c r="S216" s="263"/>
      <c r="T216" s="263"/>
      <c r="U216" s="263"/>
      <c r="V216" s="263"/>
      <c r="W216" s="263"/>
      <c r="X216" s="260"/>
    </row>
    <row r="217" spans="2:24">
      <c r="B217" s="260"/>
      <c r="C217" s="260"/>
      <c r="D217" s="260"/>
      <c r="E217" s="260"/>
      <c r="F217" s="260"/>
      <c r="G217" s="261"/>
      <c r="H217" s="261"/>
      <c r="I217" s="262"/>
      <c r="J217" s="263"/>
      <c r="K217" s="263"/>
      <c r="L217" s="263"/>
      <c r="M217" s="263"/>
      <c r="N217" s="263"/>
      <c r="O217" s="263"/>
      <c r="P217" s="263"/>
      <c r="Q217" s="263"/>
      <c r="R217" s="263"/>
      <c r="S217" s="263"/>
      <c r="T217" s="263"/>
      <c r="U217" s="263"/>
      <c r="V217" s="263"/>
      <c r="W217" s="263"/>
      <c r="X217" s="260"/>
    </row>
    <row r="218" spans="2:24">
      <c r="B218" s="260"/>
      <c r="C218" s="260"/>
      <c r="D218" s="260"/>
      <c r="E218" s="260"/>
      <c r="F218" s="260"/>
      <c r="G218" s="261"/>
      <c r="H218" s="261"/>
      <c r="I218" s="262"/>
      <c r="J218" s="263"/>
      <c r="K218" s="263"/>
      <c r="L218" s="263"/>
      <c r="M218" s="263"/>
      <c r="N218" s="263"/>
      <c r="O218" s="263"/>
      <c r="P218" s="263"/>
      <c r="Q218" s="263"/>
      <c r="R218" s="263"/>
      <c r="S218" s="263"/>
      <c r="T218" s="263"/>
      <c r="U218" s="263"/>
      <c r="V218" s="263"/>
      <c r="W218" s="263"/>
      <c r="X218" s="260"/>
    </row>
    <row r="219" spans="2:24">
      <c r="B219" s="260"/>
      <c r="C219" s="260"/>
      <c r="D219" s="260"/>
      <c r="E219" s="260"/>
      <c r="F219" s="260"/>
      <c r="G219" s="261"/>
      <c r="H219" s="261"/>
      <c r="I219" s="262"/>
      <c r="J219" s="263"/>
      <c r="K219" s="263"/>
      <c r="L219" s="263"/>
      <c r="M219" s="263"/>
      <c r="N219" s="263"/>
      <c r="O219" s="263"/>
      <c r="P219" s="263"/>
      <c r="Q219" s="263"/>
      <c r="R219" s="263"/>
      <c r="S219" s="263"/>
      <c r="T219" s="263"/>
      <c r="U219" s="263"/>
      <c r="V219" s="263"/>
      <c r="W219" s="263"/>
      <c r="X219" s="260"/>
    </row>
    <row r="220" spans="2:24">
      <c r="B220" s="260"/>
      <c r="C220" s="260"/>
      <c r="D220" s="260"/>
      <c r="E220" s="260"/>
      <c r="F220" s="260"/>
      <c r="G220" s="261"/>
      <c r="H220" s="261"/>
      <c r="I220" s="262"/>
      <c r="J220" s="263"/>
      <c r="K220" s="263"/>
      <c r="L220" s="263"/>
      <c r="M220" s="263"/>
      <c r="N220" s="263"/>
      <c r="O220" s="263"/>
      <c r="P220" s="263"/>
      <c r="Q220" s="263"/>
      <c r="R220" s="263"/>
      <c r="S220" s="263"/>
      <c r="T220" s="263"/>
      <c r="U220" s="263"/>
      <c r="V220" s="263"/>
      <c r="W220" s="263"/>
      <c r="X220" s="260"/>
    </row>
    <row r="221" spans="2:24">
      <c r="B221" s="260"/>
      <c r="C221" s="260"/>
      <c r="D221" s="260"/>
      <c r="E221" s="260"/>
      <c r="F221" s="260"/>
      <c r="G221" s="261"/>
      <c r="H221" s="261"/>
      <c r="I221" s="262"/>
      <c r="J221" s="263"/>
      <c r="K221" s="263"/>
      <c r="L221" s="263"/>
      <c r="M221" s="263"/>
      <c r="N221" s="263"/>
      <c r="O221" s="263"/>
      <c r="P221" s="263"/>
      <c r="Q221" s="263"/>
      <c r="R221" s="263"/>
      <c r="S221" s="263"/>
      <c r="T221" s="263"/>
      <c r="U221" s="263"/>
      <c r="V221" s="263"/>
      <c r="W221" s="263"/>
      <c r="X221" s="260"/>
    </row>
    <row r="222" spans="2:24">
      <c r="B222" s="260"/>
      <c r="C222" s="260"/>
      <c r="D222" s="260"/>
      <c r="E222" s="260"/>
      <c r="F222" s="260"/>
      <c r="G222" s="261"/>
      <c r="H222" s="261"/>
      <c r="I222" s="262"/>
      <c r="J222" s="263"/>
      <c r="K222" s="263"/>
      <c r="L222" s="263"/>
      <c r="M222" s="263"/>
      <c r="N222" s="263"/>
      <c r="O222" s="263"/>
      <c r="P222" s="263"/>
      <c r="Q222" s="263"/>
      <c r="R222" s="263"/>
      <c r="S222" s="263"/>
      <c r="T222" s="263"/>
      <c r="U222" s="263"/>
      <c r="V222" s="263"/>
      <c r="W222" s="263"/>
      <c r="X222" s="260"/>
    </row>
    <row r="223" spans="2:24">
      <c r="B223" s="260"/>
      <c r="C223" s="260"/>
      <c r="D223" s="260"/>
      <c r="E223" s="260"/>
      <c r="F223" s="260"/>
      <c r="G223" s="261"/>
      <c r="H223" s="261"/>
      <c r="I223" s="262"/>
      <c r="J223" s="263"/>
      <c r="K223" s="263"/>
      <c r="L223" s="263"/>
      <c r="M223" s="263"/>
      <c r="N223" s="263"/>
      <c r="O223" s="263"/>
      <c r="P223" s="263"/>
      <c r="Q223" s="263"/>
      <c r="R223" s="263"/>
      <c r="S223" s="263"/>
      <c r="T223" s="263"/>
      <c r="U223" s="263"/>
      <c r="V223" s="263"/>
      <c r="W223" s="263"/>
      <c r="X223" s="260"/>
    </row>
    <row r="224" spans="2:24">
      <c r="B224" s="260"/>
      <c r="C224" s="260"/>
      <c r="D224" s="260"/>
      <c r="E224" s="260"/>
      <c r="F224" s="260"/>
      <c r="G224" s="261"/>
      <c r="H224" s="261"/>
      <c r="I224" s="262"/>
      <c r="J224" s="263"/>
      <c r="K224" s="263"/>
      <c r="L224" s="263"/>
      <c r="M224" s="263"/>
      <c r="N224" s="263"/>
      <c r="O224" s="263"/>
      <c r="P224" s="263"/>
      <c r="Q224" s="263"/>
      <c r="R224" s="263"/>
      <c r="S224" s="263"/>
      <c r="T224" s="263"/>
      <c r="U224" s="263"/>
      <c r="V224" s="263"/>
      <c r="W224" s="263"/>
      <c r="X224" s="260"/>
    </row>
    <row r="225" spans="2:24">
      <c r="B225" s="260"/>
      <c r="C225" s="260"/>
      <c r="D225" s="260"/>
      <c r="E225" s="260"/>
      <c r="F225" s="260"/>
      <c r="G225" s="261"/>
      <c r="H225" s="261"/>
      <c r="I225" s="262"/>
      <c r="J225" s="263"/>
      <c r="K225" s="263"/>
      <c r="L225" s="263"/>
      <c r="M225" s="263"/>
      <c r="N225" s="263"/>
      <c r="O225" s="263"/>
      <c r="P225" s="263"/>
      <c r="Q225" s="263"/>
      <c r="R225" s="263"/>
      <c r="S225" s="263"/>
      <c r="T225" s="263"/>
      <c r="U225" s="263"/>
      <c r="V225" s="263"/>
      <c r="W225" s="263"/>
      <c r="X225" s="260"/>
    </row>
    <row r="226" spans="2:24">
      <c r="B226" s="260"/>
      <c r="C226" s="260"/>
      <c r="D226" s="260"/>
      <c r="E226" s="260"/>
      <c r="F226" s="260"/>
      <c r="G226" s="261"/>
      <c r="H226" s="261"/>
      <c r="I226" s="262"/>
      <c r="J226" s="263"/>
      <c r="K226" s="263"/>
      <c r="L226" s="263"/>
      <c r="M226" s="263"/>
      <c r="N226" s="263"/>
      <c r="O226" s="263"/>
      <c r="P226" s="263"/>
      <c r="Q226" s="263"/>
      <c r="R226" s="263"/>
      <c r="S226" s="263"/>
      <c r="T226" s="263"/>
      <c r="U226" s="263"/>
      <c r="V226" s="263"/>
      <c r="W226" s="263"/>
      <c r="X226" s="260"/>
    </row>
    <row r="227" spans="2:24">
      <c r="B227" s="260"/>
      <c r="C227" s="260"/>
      <c r="D227" s="260"/>
      <c r="E227" s="260"/>
      <c r="F227" s="260"/>
      <c r="G227" s="261"/>
      <c r="H227" s="261"/>
      <c r="I227" s="262"/>
      <c r="J227" s="263"/>
      <c r="K227" s="263"/>
      <c r="L227" s="263"/>
      <c r="M227" s="263"/>
      <c r="N227" s="263"/>
      <c r="O227" s="263"/>
      <c r="P227" s="263"/>
      <c r="Q227" s="263"/>
      <c r="R227" s="263"/>
      <c r="S227" s="263"/>
      <c r="T227" s="263"/>
      <c r="U227" s="263"/>
      <c r="V227" s="263"/>
      <c r="W227" s="263"/>
      <c r="X227" s="260"/>
    </row>
    <row r="228" spans="2:24">
      <c r="B228" s="260"/>
      <c r="C228" s="260"/>
      <c r="D228" s="260"/>
      <c r="E228" s="260"/>
      <c r="F228" s="260"/>
      <c r="G228" s="261"/>
      <c r="H228" s="261"/>
      <c r="I228" s="262"/>
      <c r="J228" s="263"/>
      <c r="K228" s="263"/>
      <c r="L228" s="263"/>
      <c r="M228" s="263"/>
      <c r="N228" s="263"/>
      <c r="O228" s="263"/>
      <c r="P228" s="263"/>
      <c r="Q228" s="263"/>
      <c r="R228" s="263"/>
      <c r="S228" s="263"/>
      <c r="T228" s="263"/>
      <c r="U228" s="263"/>
      <c r="V228" s="263"/>
      <c r="W228" s="263"/>
      <c r="X228" s="260"/>
    </row>
    <row r="229" spans="2:24">
      <c r="B229" s="260"/>
      <c r="C229" s="260"/>
      <c r="D229" s="260"/>
      <c r="E229" s="260"/>
      <c r="F229" s="260"/>
      <c r="G229" s="261"/>
      <c r="H229" s="261"/>
      <c r="I229" s="262"/>
      <c r="J229" s="263"/>
      <c r="K229" s="263"/>
      <c r="L229" s="263"/>
      <c r="M229" s="263"/>
      <c r="N229" s="263"/>
      <c r="O229" s="263"/>
      <c r="P229" s="263"/>
      <c r="Q229" s="263"/>
      <c r="R229" s="263"/>
      <c r="S229" s="263"/>
      <c r="T229" s="263"/>
      <c r="U229" s="263"/>
      <c r="V229" s="263"/>
      <c r="W229" s="263"/>
      <c r="X229" s="260"/>
    </row>
    <row r="230" spans="2:24">
      <c r="B230" s="260"/>
      <c r="C230" s="260"/>
      <c r="D230" s="260"/>
      <c r="E230" s="260"/>
      <c r="F230" s="260"/>
      <c r="G230" s="261"/>
      <c r="H230" s="261"/>
      <c r="I230" s="262"/>
      <c r="J230" s="263"/>
      <c r="K230" s="263"/>
      <c r="L230" s="263"/>
      <c r="M230" s="263"/>
      <c r="N230" s="263"/>
      <c r="O230" s="263"/>
      <c r="P230" s="263"/>
      <c r="Q230" s="263"/>
      <c r="R230" s="263"/>
      <c r="S230" s="263"/>
      <c r="T230" s="263"/>
      <c r="U230" s="263"/>
      <c r="V230" s="263"/>
      <c r="W230" s="263"/>
      <c r="X230" s="260"/>
    </row>
    <row r="231" spans="2:24">
      <c r="B231" s="260"/>
      <c r="C231" s="260"/>
      <c r="D231" s="260"/>
      <c r="E231" s="260"/>
      <c r="F231" s="260"/>
      <c r="G231" s="261"/>
      <c r="H231" s="261"/>
      <c r="I231" s="262"/>
      <c r="J231" s="263"/>
      <c r="K231" s="263"/>
      <c r="L231" s="263"/>
      <c r="M231" s="263"/>
      <c r="N231" s="263"/>
      <c r="O231" s="263"/>
      <c r="P231" s="263"/>
      <c r="Q231" s="263"/>
      <c r="R231" s="263"/>
      <c r="S231" s="263"/>
      <c r="T231" s="263"/>
      <c r="U231" s="263"/>
      <c r="V231" s="263"/>
      <c r="W231" s="263"/>
      <c r="X231" s="260"/>
    </row>
    <row r="232" spans="2:24">
      <c r="B232" s="260"/>
      <c r="C232" s="260"/>
      <c r="D232" s="260"/>
      <c r="E232" s="260"/>
      <c r="F232" s="260"/>
      <c r="G232" s="261"/>
      <c r="H232" s="261"/>
      <c r="I232" s="262"/>
      <c r="J232" s="263"/>
      <c r="K232" s="263"/>
      <c r="L232" s="263"/>
      <c r="M232" s="263"/>
      <c r="N232" s="263"/>
      <c r="O232" s="263"/>
      <c r="P232" s="263"/>
      <c r="Q232" s="263"/>
      <c r="R232" s="263"/>
      <c r="S232" s="263"/>
      <c r="T232" s="263"/>
      <c r="U232" s="263"/>
      <c r="V232" s="263"/>
      <c r="W232" s="263"/>
      <c r="X232" s="260"/>
    </row>
    <row r="233" spans="2:24">
      <c r="B233" s="260"/>
      <c r="C233" s="260"/>
      <c r="D233" s="260"/>
      <c r="E233" s="260"/>
      <c r="F233" s="260"/>
      <c r="G233" s="261"/>
      <c r="H233" s="261"/>
      <c r="I233" s="262"/>
      <c r="J233" s="263"/>
      <c r="K233" s="263"/>
      <c r="L233" s="263"/>
      <c r="M233" s="263"/>
      <c r="N233" s="263"/>
      <c r="O233" s="263"/>
      <c r="P233" s="263"/>
      <c r="Q233" s="263"/>
      <c r="R233" s="263"/>
      <c r="S233" s="263"/>
      <c r="T233" s="263"/>
      <c r="U233" s="263"/>
      <c r="V233" s="263"/>
      <c r="W233" s="263"/>
      <c r="X233" s="260"/>
    </row>
    <row r="234" spans="2:24">
      <c r="B234" s="260"/>
      <c r="C234" s="260"/>
      <c r="D234" s="260"/>
      <c r="E234" s="260"/>
      <c r="F234" s="260"/>
      <c r="G234" s="261"/>
      <c r="H234" s="261"/>
      <c r="I234" s="262"/>
      <c r="J234" s="263"/>
      <c r="K234" s="263"/>
      <c r="L234" s="263"/>
      <c r="M234" s="263"/>
      <c r="N234" s="263"/>
      <c r="O234" s="263"/>
      <c r="P234" s="263"/>
      <c r="Q234" s="263"/>
      <c r="R234" s="263"/>
      <c r="S234" s="263"/>
      <c r="T234" s="263"/>
      <c r="U234" s="263"/>
      <c r="V234" s="263"/>
      <c r="W234" s="263"/>
      <c r="X234" s="260"/>
    </row>
    <row r="235" spans="2:24">
      <c r="B235" s="260"/>
      <c r="C235" s="260"/>
      <c r="D235" s="260"/>
      <c r="E235" s="260"/>
      <c r="F235" s="260"/>
      <c r="G235" s="261"/>
      <c r="H235" s="261"/>
      <c r="I235" s="262"/>
      <c r="J235" s="263"/>
      <c r="K235" s="263"/>
      <c r="L235" s="263"/>
      <c r="M235" s="263"/>
      <c r="N235" s="263"/>
      <c r="O235" s="263"/>
      <c r="P235" s="263"/>
      <c r="Q235" s="263"/>
      <c r="R235" s="263"/>
      <c r="S235" s="263"/>
      <c r="T235" s="263"/>
      <c r="U235" s="263"/>
      <c r="V235" s="263"/>
      <c r="W235" s="263"/>
      <c r="X235" s="260"/>
    </row>
    <row r="236" spans="2:24">
      <c r="B236" s="260"/>
      <c r="C236" s="260"/>
      <c r="D236" s="260"/>
      <c r="E236" s="260"/>
      <c r="F236" s="260"/>
      <c r="G236" s="261"/>
      <c r="H236" s="261"/>
      <c r="I236" s="262"/>
      <c r="J236" s="263"/>
      <c r="K236" s="263"/>
      <c r="L236" s="263"/>
      <c r="M236" s="263"/>
      <c r="N236" s="263"/>
      <c r="O236" s="263"/>
      <c r="P236" s="263"/>
      <c r="Q236" s="263"/>
      <c r="R236" s="263"/>
      <c r="S236" s="263"/>
      <c r="T236" s="263"/>
      <c r="U236" s="263"/>
      <c r="V236" s="263"/>
      <c r="W236" s="263"/>
      <c r="X236" s="260"/>
    </row>
    <row r="237" spans="2:24">
      <c r="B237" s="260"/>
      <c r="C237" s="260"/>
      <c r="D237" s="260"/>
      <c r="E237" s="260"/>
      <c r="F237" s="260"/>
      <c r="G237" s="261"/>
      <c r="H237" s="261"/>
      <c r="I237" s="262"/>
      <c r="J237" s="263"/>
      <c r="K237" s="263"/>
      <c r="L237" s="263"/>
      <c r="M237" s="263"/>
      <c r="N237" s="263"/>
      <c r="O237" s="263"/>
      <c r="P237" s="263"/>
      <c r="Q237" s="263"/>
      <c r="R237" s="263"/>
      <c r="S237" s="263"/>
      <c r="T237" s="263"/>
      <c r="U237" s="263"/>
      <c r="V237" s="263"/>
      <c r="W237" s="263"/>
      <c r="X237" s="260"/>
    </row>
    <row r="238" spans="2:24">
      <c r="B238" s="260"/>
      <c r="C238" s="260"/>
      <c r="D238" s="260"/>
      <c r="E238" s="260"/>
      <c r="F238" s="260"/>
      <c r="G238" s="261"/>
      <c r="H238" s="261"/>
      <c r="I238" s="262"/>
      <c r="J238" s="263"/>
      <c r="K238" s="263"/>
      <c r="L238" s="263"/>
      <c r="M238" s="263"/>
      <c r="N238" s="263"/>
      <c r="O238" s="263"/>
      <c r="P238" s="263"/>
      <c r="Q238" s="263"/>
      <c r="R238" s="263"/>
      <c r="S238" s="263"/>
      <c r="T238" s="263"/>
      <c r="U238" s="263"/>
      <c r="V238" s="263"/>
      <c r="W238" s="263"/>
      <c r="X238" s="260"/>
    </row>
    <row r="239" spans="2:24">
      <c r="B239" s="260"/>
      <c r="C239" s="260"/>
      <c r="D239" s="260"/>
      <c r="E239" s="260"/>
      <c r="F239" s="260"/>
      <c r="G239" s="261"/>
      <c r="H239" s="261"/>
      <c r="I239" s="262"/>
      <c r="J239" s="263"/>
      <c r="K239" s="263"/>
      <c r="L239" s="263"/>
      <c r="M239" s="263"/>
      <c r="N239" s="263"/>
      <c r="O239" s="263"/>
      <c r="P239" s="263"/>
      <c r="Q239" s="263"/>
      <c r="R239" s="263"/>
      <c r="S239" s="263"/>
      <c r="T239" s="263"/>
      <c r="U239" s="263"/>
      <c r="V239" s="263"/>
      <c r="W239" s="263"/>
      <c r="X239" s="260"/>
    </row>
    <row r="240" spans="2:24">
      <c r="B240" s="260"/>
      <c r="C240" s="260"/>
      <c r="D240" s="260"/>
      <c r="E240" s="260"/>
      <c r="F240" s="260"/>
      <c r="G240" s="261"/>
      <c r="H240" s="261"/>
      <c r="I240" s="262"/>
      <c r="J240" s="263"/>
      <c r="K240" s="263"/>
      <c r="L240" s="263"/>
      <c r="M240" s="263"/>
      <c r="N240" s="263"/>
      <c r="O240" s="263"/>
      <c r="P240" s="263"/>
      <c r="Q240" s="263"/>
      <c r="R240" s="263"/>
      <c r="S240" s="263"/>
      <c r="T240" s="263"/>
      <c r="U240" s="263"/>
      <c r="V240" s="263"/>
      <c r="W240" s="263"/>
      <c r="X240" s="260"/>
    </row>
    <row r="241" spans="2:24">
      <c r="B241" s="260"/>
      <c r="C241" s="260"/>
      <c r="D241" s="260"/>
      <c r="E241" s="260"/>
      <c r="F241" s="260"/>
      <c r="G241" s="261"/>
      <c r="H241" s="261"/>
      <c r="I241" s="262"/>
      <c r="J241" s="263"/>
      <c r="K241" s="263"/>
      <c r="L241" s="263"/>
      <c r="M241" s="263"/>
      <c r="N241" s="263"/>
      <c r="O241" s="263"/>
      <c r="P241" s="263"/>
      <c r="Q241" s="263"/>
      <c r="R241" s="263"/>
      <c r="S241" s="263"/>
      <c r="T241" s="263"/>
      <c r="U241" s="263"/>
      <c r="V241" s="263"/>
      <c r="W241" s="263"/>
      <c r="X241" s="260"/>
    </row>
    <row r="242" spans="2:24">
      <c r="B242" s="260"/>
      <c r="C242" s="260"/>
      <c r="D242" s="260"/>
      <c r="E242" s="260"/>
      <c r="F242" s="260"/>
      <c r="G242" s="261"/>
      <c r="H242" s="261"/>
      <c r="I242" s="262"/>
      <c r="J242" s="263"/>
      <c r="K242" s="263"/>
      <c r="L242" s="263"/>
      <c r="M242" s="263"/>
      <c r="N242" s="263"/>
      <c r="O242" s="263"/>
      <c r="P242" s="263"/>
      <c r="Q242" s="263"/>
      <c r="R242" s="263"/>
      <c r="S242" s="263"/>
      <c r="T242" s="263"/>
      <c r="U242" s="263"/>
      <c r="V242" s="263"/>
      <c r="W242" s="263"/>
      <c r="X242" s="260"/>
    </row>
    <row r="243" spans="2:24">
      <c r="B243" s="260"/>
      <c r="C243" s="260"/>
      <c r="D243" s="260"/>
      <c r="E243" s="260"/>
      <c r="F243" s="260"/>
      <c r="G243" s="261"/>
      <c r="H243" s="261"/>
      <c r="I243" s="262"/>
      <c r="J243" s="263"/>
      <c r="K243" s="263"/>
      <c r="L243" s="263"/>
      <c r="M243" s="263"/>
      <c r="N243" s="263"/>
      <c r="O243" s="263"/>
      <c r="P243" s="263"/>
      <c r="Q243" s="263"/>
      <c r="R243" s="263"/>
      <c r="S243" s="263"/>
      <c r="T243" s="263"/>
      <c r="U243" s="263"/>
      <c r="V243" s="263"/>
      <c r="W243" s="263"/>
      <c r="X243" s="260"/>
    </row>
    <row r="244" spans="2:24">
      <c r="B244" s="260"/>
      <c r="C244" s="260"/>
      <c r="D244" s="260"/>
      <c r="E244" s="260"/>
      <c r="F244" s="260"/>
      <c r="G244" s="261"/>
      <c r="H244" s="261"/>
      <c r="I244" s="262"/>
      <c r="J244" s="263"/>
      <c r="K244" s="263"/>
      <c r="L244" s="263"/>
      <c r="M244" s="263"/>
      <c r="N244" s="263"/>
      <c r="O244" s="263"/>
      <c r="P244" s="263"/>
      <c r="Q244" s="263"/>
      <c r="R244" s="263"/>
      <c r="S244" s="263"/>
      <c r="T244" s="263"/>
      <c r="U244" s="263"/>
      <c r="V244" s="263"/>
      <c r="W244" s="263"/>
      <c r="X244" s="260"/>
    </row>
    <row r="245" spans="2:24">
      <c r="B245" s="260"/>
      <c r="C245" s="260"/>
      <c r="D245" s="260"/>
      <c r="E245" s="260"/>
      <c r="F245" s="260"/>
      <c r="G245" s="261"/>
      <c r="H245" s="261"/>
      <c r="I245" s="262"/>
      <c r="J245" s="263"/>
      <c r="K245" s="263"/>
      <c r="L245" s="263"/>
      <c r="M245" s="263"/>
      <c r="N245" s="263"/>
      <c r="O245" s="263"/>
      <c r="P245" s="263"/>
      <c r="Q245" s="263"/>
      <c r="R245" s="263"/>
      <c r="S245" s="263"/>
      <c r="T245" s="263"/>
      <c r="U245" s="263"/>
      <c r="V245" s="263"/>
      <c r="W245" s="263"/>
      <c r="X245" s="260"/>
    </row>
    <row r="246" spans="2:24">
      <c r="B246" s="260"/>
      <c r="C246" s="260"/>
      <c r="D246" s="260"/>
      <c r="E246" s="260"/>
      <c r="F246" s="260"/>
      <c r="G246" s="261"/>
      <c r="H246" s="261"/>
      <c r="I246" s="262"/>
      <c r="J246" s="263"/>
      <c r="K246" s="263"/>
      <c r="L246" s="263"/>
      <c r="M246" s="263"/>
      <c r="N246" s="263"/>
      <c r="O246" s="263"/>
      <c r="P246" s="263"/>
      <c r="Q246" s="263"/>
      <c r="R246" s="263"/>
      <c r="S246" s="263"/>
      <c r="T246" s="263"/>
      <c r="U246" s="263"/>
      <c r="V246" s="263"/>
      <c r="W246" s="263"/>
      <c r="X246" s="260"/>
    </row>
    <row r="247" spans="2:24">
      <c r="B247" s="260"/>
      <c r="C247" s="260"/>
      <c r="D247" s="260"/>
      <c r="E247" s="260"/>
      <c r="F247" s="260"/>
      <c r="G247" s="261"/>
      <c r="H247" s="261"/>
      <c r="I247" s="262"/>
      <c r="J247" s="263"/>
      <c r="K247" s="263"/>
      <c r="L247" s="263"/>
      <c r="M247" s="263"/>
      <c r="N247" s="263"/>
      <c r="O247" s="263"/>
      <c r="P247" s="263"/>
      <c r="Q247" s="263"/>
      <c r="R247" s="263"/>
      <c r="S247" s="263"/>
      <c r="T247" s="263"/>
      <c r="U247" s="263"/>
      <c r="V247" s="263"/>
      <c r="W247" s="263"/>
      <c r="X247" s="260"/>
    </row>
    <row r="248" spans="2:24">
      <c r="B248" s="260"/>
      <c r="C248" s="260"/>
      <c r="D248" s="260"/>
      <c r="E248" s="260"/>
      <c r="F248" s="260"/>
      <c r="G248" s="261"/>
      <c r="H248" s="261"/>
      <c r="I248" s="262"/>
      <c r="J248" s="263"/>
      <c r="K248" s="263"/>
      <c r="L248" s="263"/>
      <c r="M248" s="263"/>
      <c r="N248" s="263"/>
      <c r="O248" s="263"/>
      <c r="P248" s="263"/>
      <c r="Q248" s="263"/>
      <c r="R248" s="263"/>
      <c r="S248" s="263"/>
      <c r="T248" s="263"/>
      <c r="U248" s="263"/>
      <c r="V248" s="263"/>
      <c r="W248" s="263"/>
      <c r="X248" s="260"/>
    </row>
    <row r="249" spans="2:24">
      <c r="B249" s="260"/>
      <c r="C249" s="260"/>
      <c r="D249" s="260"/>
      <c r="E249" s="260"/>
      <c r="F249" s="260"/>
      <c r="G249" s="261"/>
      <c r="H249" s="261"/>
      <c r="I249" s="262"/>
      <c r="J249" s="263"/>
      <c r="K249" s="263"/>
      <c r="L249" s="263"/>
      <c r="M249" s="263"/>
      <c r="N249" s="263"/>
      <c r="O249" s="263"/>
      <c r="P249" s="263"/>
      <c r="Q249" s="263"/>
      <c r="R249" s="263"/>
      <c r="S249" s="263"/>
      <c r="T249" s="263"/>
      <c r="U249" s="263"/>
      <c r="V249" s="263"/>
      <c r="W249" s="263"/>
      <c r="X249" s="260"/>
    </row>
    <row r="250" spans="2:24">
      <c r="B250" s="260"/>
      <c r="C250" s="260"/>
      <c r="D250" s="260"/>
      <c r="E250" s="260"/>
      <c r="F250" s="260"/>
      <c r="G250" s="261"/>
      <c r="H250" s="261"/>
      <c r="I250" s="262"/>
      <c r="J250" s="263"/>
      <c r="K250" s="263"/>
      <c r="L250" s="263"/>
      <c r="M250" s="263"/>
      <c r="N250" s="263"/>
      <c r="O250" s="263"/>
      <c r="P250" s="263"/>
      <c r="Q250" s="263"/>
      <c r="R250" s="263"/>
      <c r="S250" s="263"/>
      <c r="T250" s="263"/>
      <c r="U250" s="263"/>
      <c r="V250" s="263"/>
      <c r="W250" s="263"/>
      <c r="X250" s="260"/>
    </row>
    <row r="251" spans="2:24">
      <c r="B251" s="260"/>
      <c r="C251" s="260"/>
      <c r="D251" s="260"/>
      <c r="E251" s="260"/>
      <c r="F251" s="260"/>
      <c r="G251" s="261"/>
      <c r="H251" s="261"/>
      <c r="I251" s="262"/>
      <c r="J251" s="263"/>
      <c r="K251" s="263"/>
      <c r="L251" s="263"/>
      <c r="M251" s="263"/>
      <c r="N251" s="263"/>
      <c r="O251" s="263"/>
      <c r="P251" s="263"/>
      <c r="Q251" s="263"/>
      <c r="R251" s="263"/>
      <c r="S251" s="263"/>
      <c r="T251" s="263"/>
      <c r="U251" s="263"/>
      <c r="V251" s="263"/>
      <c r="W251" s="263"/>
      <c r="X251" s="260"/>
    </row>
    <row r="252" spans="2:24">
      <c r="B252" s="260"/>
      <c r="C252" s="260"/>
      <c r="D252" s="260"/>
      <c r="E252" s="260"/>
      <c r="F252" s="260"/>
      <c r="G252" s="261"/>
      <c r="H252" s="261"/>
      <c r="I252" s="262"/>
      <c r="J252" s="263"/>
      <c r="K252" s="263"/>
      <c r="L252" s="263"/>
      <c r="M252" s="263"/>
      <c r="N252" s="263"/>
      <c r="O252" s="263"/>
      <c r="P252" s="263"/>
      <c r="Q252" s="263"/>
      <c r="R252" s="263"/>
      <c r="S252" s="263"/>
      <c r="T252" s="263"/>
      <c r="U252" s="263"/>
      <c r="V252" s="263"/>
      <c r="W252" s="263"/>
      <c r="X252" s="260"/>
    </row>
    <row r="253" spans="2:24">
      <c r="B253" s="260"/>
      <c r="C253" s="260"/>
      <c r="D253" s="260"/>
      <c r="E253" s="260"/>
      <c r="F253" s="260"/>
      <c r="G253" s="261"/>
      <c r="H253" s="261"/>
      <c r="I253" s="262"/>
      <c r="J253" s="263"/>
      <c r="K253" s="263"/>
      <c r="L253" s="263"/>
      <c r="M253" s="263"/>
      <c r="N253" s="263"/>
      <c r="O253" s="263"/>
      <c r="P253" s="263"/>
      <c r="Q253" s="263"/>
      <c r="R253" s="263"/>
      <c r="S253" s="263"/>
      <c r="T253" s="263"/>
      <c r="U253" s="263"/>
      <c r="V253" s="263"/>
      <c r="W253" s="263"/>
      <c r="X253" s="260"/>
    </row>
    <row r="254" spans="2:24">
      <c r="B254" s="260"/>
      <c r="C254" s="260"/>
      <c r="D254" s="260"/>
      <c r="E254" s="260"/>
      <c r="F254" s="260"/>
      <c r="G254" s="261"/>
      <c r="H254" s="261"/>
      <c r="I254" s="262"/>
      <c r="J254" s="263"/>
      <c r="K254" s="263"/>
      <c r="L254" s="263"/>
      <c r="M254" s="263"/>
      <c r="N254" s="263"/>
      <c r="O254" s="263"/>
      <c r="P254" s="263"/>
      <c r="Q254" s="263"/>
      <c r="R254" s="263"/>
      <c r="S254" s="263"/>
      <c r="T254" s="263"/>
      <c r="U254" s="263"/>
      <c r="V254" s="263"/>
      <c r="W254" s="263"/>
      <c r="X254" s="260"/>
    </row>
    <row r="255" spans="2:24">
      <c r="B255" s="260"/>
      <c r="C255" s="260"/>
      <c r="D255" s="260"/>
      <c r="E255" s="260"/>
      <c r="F255" s="260"/>
      <c r="G255" s="261"/>
      <c r="H255" s="261"/>
      <c r="I255" s="262"/>
      <c r="J255" s="263"/>
      <c r="K255" s="263"/>
      <c r="L255" s="263"/>
      <c r="M255" s="263"/>
      <c r="N255" s="263"/>
      <c r="O255" s="263"/>
      <c r="P255" s="263"/>
      <c r="Q255" s="263"/>
      <c r="R255" s="263"/>
      <c r="S255" s="263"/>
      <c r="T255" s="263"/>
      <c r="U255" s="263"/>
      <c r="V255" s="263"/>
      <c r="W255" s="263"/>
      <c r="X255" s="260"/>
    </row>
    <row r="256" spans="2:24">
      <c r="B256" s="260"/>
      <c r="C256" s="260"/>
      <c r="D256" s="260"/>
      <c r="E256" s="260"/>
      <c r="F256" s="260"/>
      <c r="G256" s="261"/>
      <c r="H256" s="261"/>
      <c r="I256" s="262"/>
      <c r="J256" s="263"/>
      <c r="K256" s="263"/>
      <c r="L256" s="263"/>
      <c r="M256" s="263"/>
      <c r="N256" s="263"/>
      <c r="O256" s="263"/>
      <c r="P256" s="263"/>
      <c r="Q256" s="263"/>
      <c r="R256" s="263"/>
      <c r="S256" s="263"/>
      <c r="T256" s="263"/>
      <c r="U256" s="263"/>
      <c r="V256" s="263"/>
      <c r="W256" s="263"/>
      <c r="X256" s="260"/>
    </row>
    <row r="257" spans="2:24">
      <c r="B257" s="260"/>
      <c r="C257" s="260"/>
      <c r="D257" s="260"/>
      <c r="E257" s="260"/>
      <c r="F257" s="260"/>
      <c r="G257" s="261"/>
      <c r="H257" s="261"/>
      <c r="I257" s="262"/>
      <c r="J257" s="263"/>
      <c r="K257" s="263"/>
      <c r="L257" s="263"/>
      <c r="M257" s="263"/>
      <c r="N257" s="263"/>
      <c r="O257" s="263"/>
      <c r="P257" s="263"/>
      <c r="Q257" s="263"/>
      <c r="R257" s="263"/>
      <c r="S257" s="263"/>
      <c r="T257" s="263"/>
      <c r="U257" s="263"/>
      <c r="V257" s="263"/>
      <c r="W257" s="263"/>
      <c r="X257" s="260"/>
    </row>
    <row r="258" spans="2:24">
      <c r="B258" s="260"/>
      <c r="C258" s="260"/>
      <c r="D258" s="260"/>
      <c r="E258" s="260"/>
      <c r="F258" s="260"/>
      <c r="G258" s="261"/>
      <c r="H258" s="261"/>
      <c r="I258" s="262"/>
      <c r="J258" s="263"/>
      <c r="K258" s="263"/>
      <c r="L258" s="263"/>
      <c r="M258" s="263"/>
      <c r="N258" s="263"/>
      <c r="O258" s="263"/>
      <c r="P258" s="263"/>
      <c r="Q258" s="263"/>
      <c r="R258" s="263"/>
      <c r="S258" s="263"/>
      <c r="T258" s="263"/>
      <c r="U258" s="263"/>
      <c r="V258" s="263"/>
      <c r="W258" s="263"/>
      <c r="X258" s="260"/>
    </row>
    <row r="259" spans="2:24">
      <c r="B259" s="260"/>
      <c r="C259" s="260"/>
      <c r="D259" s="260"/>
      <c r="E259" s="260"/>
      <c r="F259" s="260"/>
      <c r="G259" s="261"/>
      <c r="H259" s="261"/>
      <c r="I259" s="262"/>
      <c r="J259" s="263"/>
      <c r="K259" s="263"/>
      <c r="L259" s="263"/>
      <c r="M259" s="263"/>
      <c r="N259" s="263"/>
      <c r="O259" s="263"/>
      <c r="P259" s="263"/>
      <c r="Q259" s="263"/>
      <c r="R259" s="263"/>
      <c r="S259" s="263"/>
      <c r="T259" s="263"/>
      <c r="U259" s="263"/>
      <c r="V259" s="263"/>
      <c r="W259" s="263"/>
      <c r="X259" s="260"/>
    </row>
    <row r="260" spans="2:24">
      <c r="B260" s="260"/>
      <c r="C260" s="260"/>
      <c r="D260" s="260"/>
      <c r="E260" s="260"/>
      <c r="F260" s="260"/>
      <c r="G260" s="261"/>
      <c r="H260" s="261"/>
      <c r="I260" s="262"/>
      <c r="J260" s="263"/>
      <c r="K260" s="263"/>
      <c r="L260" s="263"/>
      <c r="M260" s="263"/>
      <c r="N260" s="263"/>
      <c r="O260" s="263"/>
      <c r="P260" s="263"/>
      <c r="Q260" s="263"/>
      <c r="R260" s="263"/>
      <c r="S260" s="263"/>
      <c r="T260" s="263"/>
      <c r="U260" s="263"/>
      <c r="V260" s="263"/>
      <c r="W260" s="263"/>
      <c r="X260" s="260"/>
    </row>
    <row r="261" spans="2:24">
      <c r="B261" s="260"/>
      <c r="C261" s="260"/>
      <c r="D261" s="260"/>
      <c r="E261" s="260"/>
      <c r="F261" s="260"/>
      <c r="G261" s="261"/>
      <c r="H261" s="261"/>
      <c r="I261" s="262"/>
      <c r="J261" s="263"/>
      <c r="K261" s="263"/>
      <c r="L261" s="263"/>
      <c r="M261" s="263"/>
      <c r="N261" s="263"/>
      <c r="O261" s="263"/>
      <c r="P261" s="263"/>
      <c r="Q261" s="263"/>
      <c r="R261" s="263"/>
      <c r="S261" s="263"/>
      <c r="T261" s="263"/>
      <c r="U261" s="263"/>
      <c r="V261" s="263"/>
      <c r="W261" s="263"/>
      <c r="X261" s="260"/>
    </row>
    <row r="262" spans="2:24">
      <c r="B262" s="260"/>
      <c r="C262" s="260"/>
      <c r="D262" s="260"/>
      <c r="E262" s="260"/>
      <c r="F262" s="260"/>
      <c r="G262" s="261"/>
      <c r="H262" s="261"/>
      <c r="I262" s="262"/>
      <c r="J262" s="263"/>
      <c r="K262" s="263"/>
      <c r="L262" s="263"/>
      <c r="M262" s="263"/>
      <c r="N262" s="263"/>
      <c r="O262" s="263"/>
      <c r="P262" s="263"/>
      <c r="Q262" s="263"/>
      <c r="R262" s="263"/>
      <c r="S262" s="263"/>
      <c r="T262" s="263"/>
      <c r="U262" s="263"/>
      <c r="V262" s="263"/>
      <c r="W262" s="263"/>
      <c r="X262" s="260"/>
    </row>
    <row r="263" spans="2:24">
      <c r="B263" s="260"/>
      <c r="C263" s="260"/>
      <c r="D263" s="260"/>
      <c r="E263" s="260"/>
      <c r="F263" s="260"/>
      <c r="G263" s="261"/>
      <c r="H263" s="261"/>
      <c r="I263" s="262"/>
      <c r="J263" s="263"/>
      <c r="K263" s="263"/>
      <c r="L263" s="263"/>
      <c r="M263" s="263"/>
      <c r="N263" s="263"/>
      <c r="O263" s="263"/>
      <c r="P263" s="263"/>
      <c r="Q263" s="263"/>
      <c r="R263" s="263"/>
      <c r="S263" s="263"/>
      <c r="T263" s="263"/>
      <c r="U263" s="263"/>
      <c r="V263" s="263"/>
      <c r="W263" s="263"/>
      <c r="X263" s="260"/>
    </row>
    <row r="264" spans="2:24">
      <c r="B264" s="260"/>
      <c r="C264" s="260"/>
      <c r="D264" s="260"/>
      <c r="E264" s="260"/>
      <c r="F264" s="260"/>
      <c r="G264" s="261"/>
      <c r="H264" s="261"/>
      <c r="I264" s="262"/>
      <c r="J264" s="263"/>
      <c r="K264" s="263"/>
      <c r="L264" s="263"/>
      <c r="M264" s="263"/>
      <c r="N264" s="263"/>
      <c r="O264" s="263"/>
      <c r="P264" s="263"/>
      <c r="Q264" s="263"/>
      <c r="R264" s="263"/>
      <c r="S264" s="263"/>
      <c r="T264" s="263"/>
      <c r="U264" s="263"/>
      <c r="V264" s="263"/>
      <c r="W264" s="263"/>
      <c r="X264" s="260"/>
    </row>
    <row r="265" spans="2:24">
      <c r="B265" s="260"/>
      <c r="C265" s="260"/>
      <c r="D265" s="260"/>
      <c r="E265" s="260"/>
      <c r="F265" s="260"/>
      <c r="G265" s="261"/>
      <c r="H265" s="261"/>
      <c r="I265" s="262"/>
      <c r="J265" s="263"/>
      <c r="K265" s="263"/>
      <c r="L265" s="263"/>
      <c r="M265" s="263"/>
      <c r="N265" s="263"/>
      <c r="O265" s="263"/>
      <c r="P265" s="263"/>
      <c r="Q265" s="263"/>
      <c r="R265" s="263"/>
      <c r="S265" s="263"/>
      <c r="T265" s="263"/>
      <c r="U265" s="263"/>
      <c r="V265" s="263"/>
      <c r="W265" s="263"/>
      <c r="X265" s="260"/>
    </row>
    <row r="266" spans="2:24">
      <c r="B266" s="260"/>
      <c r="C266" s="260"/>
      <c r="D266" s="260"/>
      <c r="E266" s="260"/>
      <c r="F266" s="260"/>
      <c r="G266" s="261"/>
      <c r="H266" s="261"/>
      <c r="I266" s="262"/>
      <c r="J266" s="263"/>
      <c r="K266" s="263"/>
      <c r="L266" s="263"/>
      <c r="M266" s="263"/>
      <c r="N266" s="263"/>
      <c r="O266" s="263"/>
      <c r="P266" s="263"/>
      <c r="Q266" s="263"/>
      <c r="R266" s="263"/>
      <c r="S266" s="263"/>
      <c r="T266" s="263"/>
      <c r="U266" s="263"/>
      <c r="V266" s="263"/>
      <c r="W266" s="263"/>
      <c r="X266" s="260"/>
    </row>
    <row r="267" spans="2:24">
      <c r="B267" s="260"/>
      <c r="C267" s="260"/>
      <c r="D267" s="260"/>
      <c r="E267" s="260"/>
      <c r="F267" s="260"/>
      <c r="G267" s="261"/>
      <c r="H267" s="261"/>
      <c r="I267" s="262"/>
      <c r="J267" s="263"/>
      <c r="K267" s="263"/>
      <c r="L267" s="263"/>
      <c r="M267" s="263"/>
      <c r="N267" s="263"/>
      <c r="O267" s="263"/>
      <c r="P267" s="263"/>
      <c r="Q267" s="263"/>
      <c r="R267" s="263"/>
      <c r="S267" s="263"/>
      <c r="T267" s="263"/>
      <c r="U267" s="263"/>
      <c r="V267" s="263"/>
      <c r="W267" s="263"/>
      <c r="X267" s="260"/>
    </row>
    <row r="268" spans="2:24">
      <c r="B268" s="260"/>
      <c r="C268" s="260"/>
      <c r="D268" s="260"/>
      <c r="E268" s="260"/>
      <c r="F268" s="260"/>
      <c r="G268" s="261"/>
      <c r="H268" s="261"/>
      <c r="I268" s="262"/>
      <c r="J268" s="263"/>
      <c r="K268" s="263"/>
      <c r="L268" s="263"/>
      <c r="M268" s="263"/>
      <c r="N268" s="263"/>
      <c r="O268" s="263"/>
      <c r="P268" s="263"/>
      <c r="Q268" s="263"/>
      <c r="R268" s="263"/>
      <c r="S268" s="263"/>
      <c r="T268" s="263"/>
      <c r="U268" s="263"/>
      <c r="V268" s="263"/>
      <c r="W268" s="263"/>
      <c r="X268" s="260"/>
    </row>
    <row r="269" spans="2:24">
      <c r="B269" s="260"/>
      <c r="C269" s="260"/>
      <c r="D269" s="260"/>
      <c r="E269" s="260"/>
      <c r="F269" s="260"/>
      <c r="G269" s="261"/>
      <c r="H269" s="261"/>
      <c r="I269" s="262"/>
      <c r="J269" s="263"/>
      <c r="K269" s="263"/>
      <c r="L269" s="263"/>
      <c r="M269" s="263"/>
      <c r="N269" s="263"/>
      <c r="O269" s="263"/>
      <c r="P269" s="263"/>
      <c r="Q269" s="263"/>
      <c r="R269" s="263"/>
      <c r="S269" s="263"/>
      <c r="T269" s="263"/>
      <c r="U269" s="263"/>
      <c r="V269" s="263"/>
      <c r="W269" s="263"/>
      <c r="X269" s="260"/>
    </row>
    <row r="270" spans="2:24">
      <c r="B270" s="260"/>
      <c r="C270" s="260"/>
      <c r="D270" s="260"/>
      <c r="E270" s="260"/>
      <c r="F270" s="260"/>
      <c r="G270" s="261"/>
      <c r="H270" s="261"/>
      <c r="I270" s="262"/>
      <c r="J270" s="263"/>
      <c r="K270" s="263"/>
      <c r="L270" s="263"/>
      <c r="M270" s="263"/>
      <c r="N270" s="263"/>
      <c r="O270" s="263"/>
      <c r="P270" s="263"/>
      <c r="Q270" s="263"/>
      <c r="R270" s="263"/>
      <c r="S270" s="263"/>
      <c r="T270" s="263"/>
      <c r="U270" s="263"/>
      <c r="V270" s="263"/>
      <c r="W270" s="263"/>
      <c r="X270" s="260"/>
    </row>
    <row r="271" spans="2:24">
      <c r="B271" s="260"/>
      <c r="C271" s="260"/>
      <c r="D271" s="260"/>
      <c r="E271" s="260"/>
      <c r="F271" s="260"/>
      <c r="G271" s="261"/>
      <c r="H271" s="261"/>
      <c r="I271" s="262"/>
      <c r="J271" s="263"/>
      <c r="K271" s="263"/>
      <c r="L271" s="263"/>
      <c r="M271" s="263"/>
      <c r="N271" s="263"/>
      <c r="O271" s="263"/>
      <c r="P271" s="263"/>
      <c r="Q271" s="263"/>
      <c r="R271" s="263"/>
      <c r="S271" s="263"/>
      <c r="T271" s="263"/>
      <c r="U271" s="263"/>
      <c r="V271" s="263"/>
      <c r="W271" s="263"/>
      <c r="X271" s="260"/>
    </row>
    <row r="272" spans="2:24">
      <c r="B272" s="260"/>
      <c r="C272" s="260"/>
      <c r="D272" s="260"/>
      <c r="E272" s="260"/>
      <c r="F272" s="260"/>
      <c r="G272" s="261"/>
      <c r="H272" s="261"/>
      <c r="I272" s="262"/>
      <c r="J272" s="263"/>
      <c r="K272" s="263"/>
      <c r="L272" s="263"/>
      <c r="M272" s="263"/>
      <c r="N272" s="263"/>
      <c r="O272" s="263"/>
      <c r="P272" s="263"/>
      <c r="Q272" s="263"/>
      <c r="R272" s="263"/>
      <c r="S272" s="263"/>
      <c r="T272" s="263"/>
      <c r="U272" s="263"/>
      <c r="V272" s="263"/>
      <c r="W272" s="263"/>
      <c r="X272" s="260"/>
    </row>
    <row r="273" spans="2:24">
      <c r="B273" s="260"/>
      <c r="C273" s="260"/>
      <c r="D273" s="260"/>
      <c r="E273" s="260"/>
      <c r="F273" s="260"/>
      <c r="G273" s="261"/>
      <c r="H273" s="261"/>
      <c r="I273" s="262"/>
      <c r="J273" s="263"/>
      <c r="K273" s="263"/>
      <c r="L273" s="263"/>
      <c r="M273" s="263"/>
      <c r="N273" s="263"/>
      <c r="O273" s="263"/>
      <c r="P273" s="263"/>
      <c r="Q273" s="263"/>
      <c r="R273" s="263"/>
      <c r="S273" s="263"/>
      <c r="T273" s="263"/>
      <c r="U273" s="263"/>
      <c r="V273" s="263"/>
      <c r="W273" s="263"/>
      <c r="X273" s="260"/>
    </row>
    <row r="274" spans="2:24">
      <c r="B274" s="260"/>
      <c r="C274" s="260"/>
      <c r="D274" s="260"/>
      <c r="E274" s="260"/>
      <c r="F274" s="260"/>
      <c r="G274" s="261"/>
      <c r="H274" s="261"/>
      <c r="I274" s="262"/>
      <c r="J274" s="263"/>
      <c r="K274" s="263"/>
      <c r="L274" s="263"/>
      <c r="M274" s="263"/>
      <c r="N274" s="263"/>
      <c r="O274" s="263"/>
      <c r="P274" s="263"/>
      <c r="Q274" s="263"/>
      <c r="R274" s="263"/>
      <c r="S274" s="263"/>
      <c r="T274" s="263"/>
      <c r="U274" s="263"/>
      <c r="V274" s="263"/>
      <c r="W274" s="263"/>
      <c r="X274" s="260"/>
    </row>
    <row r="275" spans="2:24">
      <c r="B275" s="260"/>
      <c r="C275" s="260"/>
      <c r="D275" s="260"/>
      <c r="E275" s="260"/>
      <c r="F275" s="260"/>
      <c r="G275" s="261"/>
      <c r="H275" s="261"/>
      <c r="I275" s="262"/>
      <c r="J275" s="263"/>
      <c r="K275" s="263"/>
      <c r="L275" s="263"/>
      <c r="M275" s="263"/>
      <c r="N275" s="263"/>
      <c r="O275" s="263"/>
      <c r="P275" s="263"/>
      <c r="Q275" s="263"/>
      <c r="R275" s="263"/>
      <c r="S275" s="263"/>
      <c r="T275" s="263"/>
      <c r="U275" s="263"/>
      <c r="V275" s="263"/>
      <c r="W275" s="263"/>
      <c r="X275" s="260"/>
    </row>
    <row r="276" spans="2:24">
      <c r="B276" s="260"/>
      <c r="C276" s="260"/>
      <c r="D276" s="260"/>
      <c r="E276" s="260"/>
      <c r="F276" s="260"/>
      <c r="G276" s="261"/>
      <c r="H276" s="261"/>
      <c r="I276" s="262"/>
      <c r="J276" s="263"/>
      <c r="K276" s="263"/>
      <c r="L276" s="263"/>
      <c r="M276" s="263"/>
      <c r="N276" s="263"/>
      <c r="O276" s="263"/>
      <c r="P276" s="263"/>
      <c r="Q276" s="263"/>
      <c r="R276" s="263"/>
      <c r="S276" s="263"/>
      <c r="T276" s="263"/>
      <c r="U276" s="263"/>
      <c r="V276" s="263"/>
      <c r="W276" s="263"/>
      <c r="X276" s="260"/>
    </row>
    <row r="277" spans="2:24">
      <c r="B277" s="260"/>
      <c r="C277" s="260"/>
      <c r="D277" s="260"/>
      <c r="E277" s="260"/>
      <c r="F277" s="260"/>
      <c r="G277" s="261"/>
      <c r="H277" s="261"/>
      <c r="I277" s="262"/>
      <c r="J277" s="263"/>
      <c r="K277" s="263"/>
      <c r="L277" s="263"/>
      <c r="M277" s="263"/>
      <c r="N277" s="263"/>
      <c r="O277" s="263"/>
      <c r="P277" s="263"/>
      <c r="Q277" s="263"/>
      <c r="R277" s="263"/>
      <c r="S277" s="263"/>
      <c r="T277" s="263"/>
      <c r="U277" s="263"/>
      <c r="V277" s="263"/>
      <c r="W277" s="263"/>
      <c r="X277" s="260"/>
    </row>
    <row r="278" spans="2:24">
      <c r="B278" s="260"/>
      <c r="C278" s="260"/>
      <c r="D278" s="260"/>
      <c r="E278" s="260"/>
      <c r="F278" s="260"/>
      <c r="G278" s="261"/>
      <c r="H278" s="261"/>
      <c r="I278" s="262"/>
      <c r="J278" s="263"/>
      <c r="K278" s="263"/>
      <c r="L278" s="263"/>
      <c r="M278" s="263"/>
      <c r="N278" s="263"/>
      <c r="O278" s="263"/>
      <c r="P278" s="263"/>
      <c r="Q278" s="263"/>
      <c r="R278" s="263"/>
      <c r="S278" s="263"/>
      <c r="T278" s="263"/>
      <c r="U278" s="263"/>
      <c r="V278" s="263"/>
      <c r="W278" s="263"/>
      <c r="X278" s="260"/>
    </row>
    <row r="279" spans="2:24">
      <c r="B279" s="260"/>
      <c r="C279" s="260"/>
      <c r="D279" s="260"/>
      <c r="E279" s="260"/>
      <c r="F279" s="260"/>
      <c r="G279" s="261"/>
      <c r="H279" s="261"/>
      <c r="I279" s="262"/>
      <c r="J279" s="263"/>
      <c r="K279" s="263"/>
      <c r="L279" s="263"/>
      <c r="M279" s="263"/>
      <c r="N279" s="263"/>
      <c r="O279" s="263"/>
      <c r="P279" s="263"/>
      <c r="Q279" s="263"/>
      <c r="R279" s="263"/>
      <c r="S279" s="263"/>
      <c r="T279" s="263"/>
      <c r="U279" s="263"/>
      <c r="V279" s="263"/>
      <c r="W279" s="263"/>
      <c r="X279" s="260"/>
    </row>
    <row r="280" spans="2:24">
      <c r="B280" s="260"/>
      <c r="C280" s="260"/>
      <c r="D280" s="260"/>
      <c r="E280" s="260"/>
      <c r="F280" s="260"/>
      <c r="G280" s="261"/>
      <c r="H280" s="261"/>
      <c r="I280" s="262"/>
      <c r="J280" s="263"/>
      <c r="K280" s="263"/>
      <c r="L280" s="263"/>
      <c r="M280" s="263"/>
      <c r="N280" s="263"/>
      <c r="O280" s="263"/>
      <c r="P280" s="263"/>
      <c r="Q280" s="263"/>
      <c r="R280" s="263"/>
      <c r="S280" s="263"/>
      <c r="T280" s="263"/>
      <c r="U280" s="263"/>
      <c r="V280" s="263"/>
      <c r="W280" s="263"/>
      <c r="X280" s="260"/>
    </row>
    <row r="281" spans="2:24">
      <c r="B281" s="260"/>
      <c r="C281" s="260"/>
      <c r="D281" s="260"/>
      <c r="E281" s="260"/>
      <c r="F281" s="260"/>
      <c r="G281" s="261"/>
      <c r="H281" s="261"/>
      <c r="I281" s="262"/>
      <c r="J281" s="263"/>
      <c r="K281" s="263"/>
      <c r="L281" s="263"/>
      <c r="M281" s="263"/>
      <c r="N281" s="263"/>
      <c r="O281" s="263"/>
      <c r="P281" s="263"/>
      <c r="Q281" s="263"/>
      <c r="R281" s="263"/>
      <c r="S281" s="263"/>
      <c r="T281" s="263"/>
      <c r="U281" s="263"/>
      <c r="V281" s="263"/>
      <c r="W281" s="263"/>
      <c r="X281" s="260"/>
    </row>
    <row r="282" spans="2:24">
      <c r="B282" s="260"/>
      <c r="C282" s="260"/>
      <c r="D282" s="260"/>
      <c r="E282" s="260"/>
      <c r="F282" s="260"/>
      <c r="G282" s="261"/>
      <c r="H282" s="261"/>
      <c r="I282" s="262"/>
      <c r="J282" s="263"/>
      <c r="K282" s="263"/>
      <c r="L282" s="263"/>
      <c r="M282" s="263"/>
      <c r="N282" s="263"/>
      <c r="O282" s="263"/>
      <c r="P282" s="263"/>
      <c r="Q282" s="263"/>
      <c r="R282" s="263"/>
      <c r="S282" s="263"/>
      <c r="T282" s="263"/>
      <c r="U282" s="263"/>
      <c r="V282" s="263"/>
      <c r="W282" s="263"/>
      <c r="X282" s="260"/>
    </row>
    <row r="283" spans="2:24">
      <c r="B283" s="260"/>
      <c r="C283" s="260"/>
      <c r="D283" s="260"/>
      <c r="E283" s="260"/>
      <c r="F283" s="260"/>
      <c r="G283" s="261"/>
      <c r="H283" s="261"/>
      <c r="I283" s="262"/>
      <c r="J283" s="263"/>
      <c r="K283" s="263"/>
      <c r="L283" s="263"/>
      <c r="M283" s="263"/>
      <c r="N283" s="263"/>
      <c r="O283" s="263"/>
      <c r="P283" s="263"/>
      <c r="Q283" s="263"/>
      <c r="R283" s="263"/>
      <c r="S283" s="263"/>
      <c r="T283" s="263"/>
      <c r="U283" s="263"/>
      <c r="V283" s="263"/>
      <c r="W283" s="263"/>
      <c r="X283" s="260"/>
    </row>
    <row r="284" spans="2:24">
      <c r="B284" s="260"/>
      <c r="C284" s="260"/>
      <c r="D284" s="260"/>
      <c r="E284" s="260"/>
      <c r="F284" s="260"/>
      <c r="G284" s="261"/>
      <c r="H284" s="261"/>
      <c r="I284" s="262"/>
      <c r="J284" s="263"/>
      <c r="K284" s="263"/>
      <c r="L284" s="263"/>
      <c r="M284" s="263"/>
      <c r="N284" s="263"/>
      <c r="O284" s="263"/>
      <c r="P284" s="263"/>
      <c r="Q284" s="263"/>
      <c r="R284" s="263"/>
      <c r="S284" s="263"/>
      <c r="T284" s="263"/>
      <c r="U284" s="263"/>
      <c r="V284" s="263"/>
      <c r="W284" s="263"/>
      <c r="X284" s="260"/>
    </row>
    <row r="285" spans="2:24">
      <c r="B285" s="260"/>
      <c r="C285" s="260"/>
      <c r="D285" s="260"/>
      <c r="E285" s="260"/>
      <c r="F285" s="260"/>
      <c r="G285" s="261"/>
      <c r="H285" s="261"/>
      <c r="I285" s="262"/>
      <c r="J285" s="263"/>
      <c r="K285" s="263"/>
      <c r="L285" s="263"/>
      <c r="M285" s="263"/>
      <c r="N285" s="263"/>
      <c r="O285" s="263"/>
      <c r="P285" s="263"/>
      <c r="Q285" s="263"/>
      <c r="R285" s="263"/>
      <c r="S285" s="263"/>
      <c r="T285" s="263"/>
      <c r="U285" s="263"/>
      <c r="V285" s="263"/>
      <c r="W285" s="263"/>
      <c r="X285" s="260"/>
    </row>
    <row r="286" spans="2:24">
      <c r="B286" s="260"/>
      <c r="C286" s="260"/>
      <c r="D286" s="260"/>
      <c r="E286" s="260"/>
      <c r="F286" s="260"/>
      <c r="G286" s="261"/>
      <c r="H286" s="261"/>
      <c r="I286" s="262"/>
      <c r="J286" s="263"/>
      <c r="K286" s="263"/>
      <c r="L286" s="263"/>
      <c r="M286" s="263"/>
      <c r="N286" s="263"/>
      <c r="O286" s="263"/>
      <c r="P286" s="263"/>
      <c r="Q286" s="263"/>
      <c r="R286" s="263"/>
      <c r="S286" s="263"/>
      <c r="T286" s="263"/>
      <c r="U286" s="263"/>
      <c r="V286" s="263"/>
      <c r="W286" s="263"/>
      <c r="X286" s="260"/>
    </row>
    <row r="287" spans="2:24">
      <c r="B287" s="260"/>
      <c r="C287" s="260"/>
      <c r="D287" s="260"/>
      <c r="E287" s="260"/>
      <c r="F287" s="260"/>
      <c r="G287" s="261"/>
      <c r="H287" s="261"/>
      <c r="I287" s="262"/>
      <c r="J287" s="263"/>
      <c r="K287" s="263"/>
      <c r="L287" s="263"/>
      <c r="M287" s="263"/>
      <c r="N287" s="263"/>
      <c r="O287" s="263"/>
      <c r="P287" s="263"/>
      <c r="Q287" s="263"/>
      <c r="R287" s="263"/>
      <c r="S287" s="263"/>
      <c r="T287" s="263"/>
      <c r="U287" s="263"/>
      <c r="V287" s="263"/>
      <c r="W287" s="263"/>
      <c r="X287" s="260"/>
    </row>
    <row r="288" spans="2:24">
      <c r="B288" s="260"/>
      <c r="C288" s="260"/>
      <c r="D288" s="260"/>
      <c r="E288" s="260"/>
      <c r="F288" s="260"/>
      <c r="G288" s="261"/>
      <c r="H288" s="261"/>
      <c r="I288" s="262"/>
      <c r="J288" s="263"/>
      <c r="K288" s="263"/>
      <c r="L288" s="263"/>
      <c r="M288" s="263"/>
      <c r="N288" s="263"/>
      <c r="O288" s="263"/>
      <c r="P288" s="263"/>
      <c r="Q288" s="263"/>
      <c r="R288" s="263"/>
      <c r="S288" s="263"/>
      <c r="T288" s="263"/>
      <c r="U288" s="263"/>
      <c r="V288" s="263"/>
      <c r="W288" s="263"/>
      <c r="X288" s="260"/>
    </row>
    <row r="289" spans="2:24">
      <c r="B289" s="260"/>
      <c r="C289" s="260"/>
      <c r="D289" s="260"/>
      <c r="E289" s="260"/>
      <c r="F289" s="260"/>
      <c r="G289" s="261"/>
      <c r="H289" s="261"/>
      <c r="I289" s="262"/>
      <c r="J289" s="263"/>
      <c r="K289" s="263"/>
      <c r="L289" s="263"/>
      <c r="M289" s="263"/>
      <c r="N289" s="263"/>
      <c r="O289" s="263"/>
      <c r="P289" s="263"/>
      <c r="Q289" s="263"/>
      <c r="R289" s="263"/>
      <c r="S289" s="263"/>
      <c r="T289" s="263"/>
      <c r="U289" s="263"/>
      <c r="V289" s="263"/>
      <c r="W289" s="263"/>
      <c r="X289" s="260"/>
    </row>
    <row r="290" spans="2:24">
      <c r="B290" s="260"/>
      <c r="C290" s="260"/>
      <c r="D290" s="260"/>
      <c r="E290" s="260"/>
      <c r="F290" s="260"/>
      <c r="G290" s="261"/>
      <c r="H290" s="261"/>
      <c r="I290" s="262"/>
      <c r="J290" s="263"/>
      <c r="K290" s="263"/>
      <c r="L290" s="263"/>
      <c r="M290" s="263"/>
      <c r="N290" s="263"/>
      <c r="O290" s="263"/>
      <c r="P290" s="263"/>
      <c r="Q290" s="263"/>
      <c r="R290" s="263"/>
      <c r="S290" s="263"/>
      <c r="T290" s="263"/>
      <c r="U290" s="263"/>
      <c r="V290" s="263"/>
      <c r="W290" s="263"/>
      <c r="X290" s="260"/>
    </row>
    <row r="291" spans="2:24">
      <c r="B291" s="260"/>
      <c r="C291" s="260"/>
      <c r="D291" s="260"/>
      <c r="E291" s="260"/>
      <c r="F291" s="260"/>
      <c r="G291" s="261"/>
      <c r="H291" s="261"/>
      <c r="I291" s="262"/>
      <c r="J291" s="263"/>
      <c r="K291" s="263"/>
      <c r="L291" s="263"/>
      <c r="M291" s="263"/>
      <c r="N291" s="263"/>
      <c r="O291" s="263"/>
      <c r="P291" s="263"/>
      <c r="Q291" s="263"/>
      <c r="R291" s="263"/>
      <c r="S291" s="263"/>
      <c r="T291" s="263"/>
      <c r="U291" s="263"/>
      <c r="V291" s="263"/>
      <c r="W291" s="263"/>
      <c r="X291" s="260"/>
    </row>
    <row r="292" spans="2:24">
      <c r="B292" s="260"/>
      <c r="C292" s="260"/>
      <c r="D292" s="260"/>
      <c r="E292" s="260"/>
      <c r="F292" s="260"/>
      <c r="G292" s="261"/>
      <c r="H292" s="261"/>
      <c r="I292" s="262"/>
      <c r="J292" s="263"/>
      <c r="K292" s="263"/>
      <c r="L292" s="263"/>
      <c r="M292" s="263"/>
      <c r="N292" s="263"/>
      <c r="O292" s="263"/>
      <c r="P292" s="263"/>
      <c r="Q292" s="263"/>
      <c r="R292" s="263"/>
      <c r="S292" s="263"/>
      <c r="T292" s="263"/>
      <c r="U292" s="263"/>
      <c r="V292" s="263"/>
      <c r="W292" s="263"/>
      <c r="X292" s="260"/>
    </row>
    <row r="293" spans="2:24">
      <c r="B293" s="260"/>
      <c r="C293" s="260"/>
      <c r="D293" s="260"/>
      <c r="E293" s="260"/>
      <c r="F293" s="260"/>
      <c r="G293" s="261"/>
      <c r="H293" s="261"/>
      <c r="I293" s="262"/>
      <c r="J293" s="263"/>
      <c r="K293" s="263"/>
      <c r="L293" s="263"/>
      <c r="M293" s="263"/>
      <c r="N293" s="263"/>
      <c r="O293" s="263"/>
      <c r="P293" s="263"/>
      <c r="Q293" s="263"/>
      <c r="R293" s="263"/>
      <c r="S293" s="263"/>
      <c r="T293" s="263"/>
      <c r="U293" s="263"/>
      <c r="V293" s="263"/>
      <c r="W293" s="263"/>
      <c r="X293" s="260"/>
    </row>
    <row r="294" spans="2:24">
      <c r="B294" s="260"/>
      <c r="C294" s="260"/>
      <c r="D294" s="260"/>
      <c r="E294" s="260"/>
      <c r="F294" s="260"/>
      <c r="G294" s="261"/>
      <c r="H294" s="261"/>
      <c r="I294" s="262"/>
      <c r="J294" s="263"/>
      <c r="K294" s="263"/>
      <c r="L294" s="263"/>
      <c r="M294" s="263"/>
      <c r="N294" s="263"/>
      <c r="O294" s="263"/>
      <c r="P294" s="263"/>
      <c r="Q294" s="263"/>
      <c r="R294" s="263"/>
      <c r="S294" s="263"/>
      <c r="T294" s="263"/>
      <c r="U294" s="263"/>
      <c r="V294" s="263"/>
      <c r="W294" s="263"/>
      <c r="X294" s="260"/>
    </row>
    <row r="295" spans="2:24">
      <c r="B295" s="260"/>
      <c r="C295" s="260"/>
      <c r="D295" s="260"/>
      <c r="E295" s="260"/>
      <c r="F295" s="260"/>
      <c r="G295" s="261"/>
      <c r="H295" s="261"/>
      <c r="I295" s="262"/>
      <c r="J295" s="263"/>
      <c r="K295" s="263"/>
      <c r="L295" s="263"/>
      <c r="M295" s="263"/>
      <c r="N295" s="263"/>
      <c r="O295" s="263"/>
      <c r="P295" s="263"/>
      <c r="Q295" s="263"/>
      <c r="R295" s="263"/>
      <c r="S295" s="263"/>
      <c r="T295" s="263"/>
      <c r="U295" s="263"/>
      <c r="V295" s="263"/>
      <c r="W295" s="263"/>
      <c r="X295" s="260"/>
    </row>
    <row r="296" spans="2:24">
      <c r="B296" s="260"/>
      <c r="C296" s="260"/>
      <c r="D296" s="260"/>
      <c r="E296" s="260"/>
      <c r="F296" s="260"/>
      <c r="G296" s="261"/>
      <c r="H296" s="261"/>
      <c r="I296" s="262"/>
      <c r="J296" s="263"/>
      <c r="K296" s="263"/>
      <c r="L296" s="263"/>
      <c r="M296" s="263"/>
      <c r="N296" s="263"/>
      <c r="O296" s="263"/>
      <c r="P296" s="263"/>
      <c r="Q296" s="263"/>
      <c r="R296" s="263"/>
      <c r="S296" s="263"/>
      <c r="T296" s="263"/>
      <c r="U296" s="263"/>
      <c r="V296" s="263"/>
      <c r="W296" s="263"/>
      <c r="X296" s="260"/>
    </row>
    <row r="297" spans="2:24">
      <c r="B297" s="260"/>
      <c r="C297" s="260"/>
      <c r="D297" s="260"/>
      <c r="E297" s="260"/>
      <c r="F297" s="260"/>
      <c r="G297" s="261"/>
      <c r="H297" s="261"/>
      <c r="I297" s="262"/>
      <c r="J297" s="263"/>
      <c r="K297" s="263"/>
      <c r="L297" s="263"/>
      <c r="M297" s="263"/>
      <c r="N297" s="263"/>
      <c r="O297" s="263"/>
      <c r="P297" s="263"/>
      <c r="Q297" s="263"/>
      <c r="R297" s="263"/>
      <c r="S297" s="263"/>
      <c r="T297" s="263"/>
      <c r="U297" s="263"/>
      <c r="V297" s="263"/>
      <c r="W297" s="263"/>
      <c r="X297" s="260"/>
    </row>
    <row r="298" spans="2:24">
      <c r="B298" s="260"/>
      <c r="C298" s="260"/>
      <c r="D298" s="260"/>
      <c r="E298" s="260"/>
      <c r="F298" s="260"/>
      <c r="G298" s="261"/>
      <c r="H298" s="261"/>
      <c r="I298" s="262"/>
      <c r="J298" s="263"/>
      <c r="K298" s="263"/>
      <c r="L298" s="263"/>
      <c r="M298" s="263"/>
      <c r="N298" s="263"/>
      <c r="O298" s="263"/>
      <c r="P298" s="263"/>
      <c r="Q298" s="263"/>
      <c r="R298" s="263"/>
      <c r="S298" s="263"/>
      <c r="T298" s="263"/>
      <c r="U298" s="263"/>
      <c r="V298" s="263"/>
      <c r="W298" s="263"/>
      <c r="X298" s="260"/>
    </row>
    <row r="299" spans="2:24">
      <c r="B299" s="260"/>
      <c r="C299" s="260"/>
      <c r="D299" s="260"/>
      <c r="E299" s="260"/>
      <c r="F299" s="260"/>
      <c r="G299" s="261"/>
      <c r="H299" s="261"/>
      <c r="I299" s="262"/>
      <c r="J299" s="263"/>
      <c r="K299" s="263"/>
      <c r="L299" s="263"/>
      <c r="M299" s="263"/>
      <c r="N299" s="263"/>
      <c r="O299" s="263"/>
      <c r="P299" s="263"/>
      <c r="Q299" s="263"/>
      <c r="R299" s="263"/>
      <c r="S299" s="263"/>
      <c r="T299" s="263"/>
      <c r="U299" s="263"/>
      <c r="V299" s="263"/>
      <c r="W299" s="263"/>
      <c r="X299" s="260"/>
    </row>
    <row r="300" spans="2:24">
      <c r="B300" s="260"/>
      <c r="C300" s="260"/>
      <c r="D300" s="260"/>
      <c r="E300" s="260"/>
      <c r="F300" s="260"/>
      <c r="G300" s="261"/>
      <c r="H300" s="261"/>
      <c r="I300" s="262"/>
      <c r="J300" s="263"/>
      <c r="K300" s="263"/>
      <c r="L300" s="263"/>
      <c r="M300" s="263"/>
      <c r="N300" s="263"/>
      <c r="O300" s="263"/>
      <c r="P300" s="263"/>
      <c r="Q300" s="263"/>
      <c r="R300" s="263"/>
      <c r="S300" s="263"/>
      <c r="T300" s="263"/>
      <c r="U300" s="263"/>
      <c r="V300" s="263"/>
      <c r="W300" s="263"/>
      <c r="X300" s="260"/>
    </row>
    <row r="301" spans="2:24">
      <c r="B301" s="260"/>
      <c r="C301" s="260"/>
      <c r="D301" s="260"/>
      <c r="E301" s="260"/>
      <c r="F301" s="260"/>
      <c r="G301" s="261"/>
      <c r="H301" s="261"/>
      <c r="I301" s="262"/>
      <c r="J301" s="263"/>
      <c r="K301" s="263"/>
      <c r="L301" s="263"/>
      <c r="M301" s="263"/>
      <c r="N301" s="263"/>
      <c r="O301" s="263"/>
      <c r="P301" s="263"/>
      <c r="Q301" s="263"/>
      <c r="R301" s="263"/>
      <c r="S301" s="263"/>
      <c r="T301" s="263"/>
      <c r="U301" s="263"/>
      <c r="V301" s="263"/>
      <c r="W301" s="263"/>
      <c r="X301" s="260"/>
    </row>
    <row r="302" spans="2:24">
      <c r="B302" s="260"/>
      <c r="C302" s="260"/>
      <c r="D302" s="260"/>
      <c r="E302" s="260"/>
      <c r="F302" s="260"/>
      <c r="G302" s="261"/>
      <c r="H302" s="261"/>
      <c r="I302" s="262"/>
      <c r="J302" s="263"/>
      <c r="K302" s="263"/>
      <c r="L302" s="263"/>
      <c r="M302" s="263"/>
      <c r="N302" s="263"/>
      <c r="O302" s="263"/>
      <c r="P302" s="263"/>
      <c r="Q302" s="263"/>
      <c r="R302" s="263"/>
      <c r="S302" s="263"/>
      <c r="T302" s="263"/>
      <c r="U302" s="263"/>
      <c r="V302" s="263"/>
      <c r="W302" s="263"/>
      <c r="X302" s="260"/>
    </row>
    <row r="303" spans="2:24">
      <c r="B303" s="260"/>
      <c r="C303" s="260"/>
      <c r="D303" s="260"/>
      <c r="E303" s="260"/>
      <c r="F303" s="260"/>
      <c r="G303" s="261"/>
      <c r="H303" s="261"/>
      <c r="I303" s="262"/>
      <c r="J303" s="263"/>
      <c r="K303" s="263"/>
      <c r="L303" s="263"/>
      <c r="M303" s="263"/>
      <c r="N303" s="263"/>
      <c r="O303" s="263"/>
      <c r="P303" s="263"/>
      <c r="Q303" s="263"/>
      <c r="R303" s="263"/>
      <c r="S303" s="263"/>
      <c r="T303" s="263"/>
      <c r="U303" s="263"/>
      <c r="V303" s="263"/>
      <c r="W303" s="263"/>
      <c r="X303" s="260"/>
    </row>
    <row r="304" spans="2:24">
      <c r="B304" s="260"/>
      <c r="C304" s="260"/>
      <c r="D304" s="260"/>
      <c r="E304" s="260"/>
      <c r="F304" s="260"/>
      <c r="G304" s="261"/>
      <c r="H304" s="261"/>
      <c r="I304" s="262"/>
      <c r="J304" s="263"/>
      <c r="K304" s="263"/>
      <c r="L304" s="263"/>
      <c r="M304" s="263"/>
      <c r="N304" s="263"/>
      <c r="O304" s="263"/>
      <c r="P304" s="263"/>
      <c r="Q304" s="263"/>
      <c r="R304" s="263"/>
      <c r="S304" s="263"/>
      <c r="T304" s="263"/>
      <c r="U304" s="263"/>
      <c r="V304" s="263"/>
      <c r="W304" s="263"/>
      <c r="X304" s="260"/>
    </row>
    <row r="305" spans="2:24">
      <c r="B305" s="260"/>
      <c r="C305" s="260"/>
      <c r="D305" s="260"/>
      <c r="E305" s="260"/>
      <c r="F305" s="260"/>
      <c r="G305" s="261"/>
      <c r="H305" s="261"/>
      <c r="I305" s="262"/>
      <c r="J305" s="263"/>
      <c r="K305" s="263"/>
      <c r="L305" s="263"/>
      <c r="M305" s="263"/>
      <c r="N305" s="263"/>
      <c r="O305" s="263"/>
      <c r="P305" s="263"/>
      <c r="Q305" s="263"/>
      <c r="R305" s="263"/>
      <c r="S305" s="263"/>
      <c r="T305" s="263"/>
      <c r="U305" s="263"/>
      <c r="V305" s="263"/>
      <c r="W305" s="263"/>
      <c r="X305" s="260"/>
    </row>
    <row r="306" spans="2:24">
      <c r="B306" s="260"/>
      <c r="C306" s="260"/>
      <c r="D306" s="260"/>
      <c r="E306" s="260"/>
      <c r="F306" s="260"/>
      <c r="G306" s="261"/>
      <c r="H306" s="261"/>
      <c r="I306" s="262"/>
      <c r="J306" s="263"/>
      <c r="K306" s="263"/>
      <c r="L306" s="263"/>
      <c r="M306" s="263"/>
      <c r="N306" s="263"/>
      <c r="O306" s="263"/>
      <c r="P306" s="263"/>
      <c r="Q306" s="263"/>
      <c r="R306" s="263"/>
      <c r="S306" s="263"/>
      <c r="T306" s="263"/>
      <c r="U306" s="263"/>
      <c r="V306" s="263"/>
      <c r="W306" s="263"/>
      <c r="X306" s="260"/>
    </row>
    <row r="307" spans="2:24">
      <c r="B307" s="260"/>
      <c r="C307" s="260"/>
      <c r="D307" s="260"/>
      <c r="E307" s="260"/>
      <c r="F307" s="260"/>
      <c r="G307" s="261"/>
      <c r="H307" s="261"/>
      <c r="I307" s="262"/>
      <c r="J307" s="263"/>
      <c r="K307" s="263"/>
      <c r="L307" s="263"/>
      <c r="M307" s="263"/>
      <c r="N307" s="263"/>
      <c r="O307" s="263"/>
      <c r="P307" s="263"/>
      <c r="Q307" s="263"/>
      <c r="R307" s="263"/>
      <c r="S307" s="263"/>
      <c r="T307" s="263"/>
      <c r="U307" s="263"/>
      <c r="V307" s="263"/>
      <c r="W307" s="263"/>
      <c r="X307" s="260"/>
    </row>
    <row r="308" spans="2:24">
      <c r="B308" s="260"/>
      <c r="C308" s="260"/>
      <c r="D308" s="260"/>
      <c r="E308" s="260"/>
      <c r="F308" s="260"/>
      <c r="G308" s="261"/>
      <c r="H308" s="261"/>
      <c r="I308" s="262"/>
      <c r="J308" s="263"/>
      <c r="K308" s="263"/>
      <c r="L308" s="263"/>
      <c r="M308" s="263"/>
      <c r="N308" s="263"/>
      <c r="O308" s="263"/>
      <c r="P308" s="263"/>
      <c r="Q308" s="263"/>
      <c r="R308" s="263"/>
      <c r="S308" s="263"/>
      <c r="T308" s="263"/>
      <c r="U308" s="263"/>
      <c r="V308" s="263"/>
      <c r="W308" s="263"/>
      <c r="X308" s="260"/>
    </row>
    <row r="309" spans="2:24">
      <c r="B309" s="260"/>
      <c r="C309" s="260"/>
      <c r="D309" s="260"/>
      <c r="E309" s="260"/>
      <c r="F309" s="260"/>
      <c r="G309" s="261"/>
      <c r="H309" s="261"/>
      <c r="I309" s="262"/>
      <c r="J309" s="263"/>
      <c r="K309" s="263"/>
      <c r="L309" s="263"/>
      <c r="M309" s="263"/>
      <c r="N309" s="263"/>
      <c r="O309" s="263"/>
      <c r="P309" s="263"/>
      <c r="Q309" s="263"/>
      <c r="R309" s="263"/>
      <c r="S309" s="263"/>
      <c r="T309" s="263"/>
      <c r="U309" s="263"/>
      <c r="V309" s="263"/>
      <c r="W309" s="263"/>
      <c r="X309" s="260"/>
    </row>
    <row r="310" spans="2:24">
      <c r="B310" s="260"/>
      <c r="C310" s="260"/>
      <c r="D310" s="260"/>
      <c r="E310" s="260"/>
      <c r="F310" s="260"/>
      <c r="G310" s="261"/>
      <c r="H310" s="261"/>
      <c r="I310" s="262"/>
      <c r="J310" s="263"/>
      <c r="K310" s="263"/>
      <c r="L310" s="263"/>
      <c r="M310" s="263"/>
      <c r="N310" s="263"/>
      <c r="O310" s="263"/>
      <c r="P310" s="263"/>
      <c r="Q310" s="263"/>
      <c r="R310" s="263"/>
      <c r="S310" s="263"/>
      <c r="T310" s="263"/>
      <c r="U310" s="263"/>
      <c r="V310" s="263"/>
      <c r="W310" s="263"/>
      <c r="X310" s="260"/>
    </row>
    <row r="311" spans="2:24">
      <c r="B311" s="260"/>
      <c r="C311" s="260"/>
      <c r="D311" s="260"/>
      <c r="E311" s="260"/>
      <c r="F311" s="260"/>
      <c r="G311" s="261"/>
      <c r="H311" s="261"/>
      <c r="I311" s="262"/>
      <c r="J311" s="263"/>
      <c r="K311" s="263"/>
      <c r="L311" s="263"/>
      <c r="M311" s="263"/>
      <c r="N311" s="263"/>
      <c r="O311" s="263"/>
      <c r="P311" s="263"/>
      <c r="Q311" s="263"/>
      <c r="R311" s="263"/>
      <c r="S311" s="263"/>
      <c r="T311" s="263"/>
      <c r="U311" s="263"/>
      <c r="V311" s="263"/>
      <c r="W311" s="263"/>
      <c r="X311" s="260"/>
    </row>
    <row r="312" spans="2:24">
      <c r="B312" s="260"/>
      <c r="C312" s="260"/>
      <c r="D312" s="260"/>
      <c r="E312" s="260"/>
      <c r="F312" s="260"/>
      <c r="G312" s="261"/>
      <c r="H312" s="261"/>
      <c r="I312" s="262"/>
      <c r="J312" s="263"/>
      <c r="K312" s="263"/>
      <c r="L312" s="263"/>
      <c r="M312" s="263"/>
      <c r="N312" s="263"/>
      <c r="O312" s="263"/>
      <c r="P312" s="263"/>
      <c r="Q312" s="263"/>
      <c r="R312" s="263"/>
      <c r="S312" s="263"/>
      <c r="T312" s="263"/>
      <c r="U312" s="263"/>
      <c r="V312" s="263"/>
      <c r="W312" s="263"/>
      <c r="X312" s="260"/>
    </row>
    <row r="313" spans="2:24">
      <c r="B313" s="260"/>
      <c r="C313" s="260"/>
      <c r="D313" s="260"/>
      <c r="E313" s="260"/>
      <c r="F313" s="260"/>
      <c r="G313" s="261"/>
      <c r="H313" s="261"/>
      <c r="I313" s="262"/>
      <c r="J313" s="263"/>
      <c r="K313" s="263"/>
      <c r="L313" s="263"/>
      <c r="M313" s="263"/>
      <c r="N313" s="263"/>
      <c r="O313" s="263"/>
      <c r="P313" s="263"/>
      <c r="Q313" s="263"/>
      <c r="R313" s="263"/>
      <c r="S313" s="263"/>
      <c r="T313" s="263"/>
      <c r="U313" s="263"/>
      <c r="V313" s="263"/>
      <c r="W313" s="263"/>
      <c r="X313" s="260"/>
    </row>
    <row r="314" spans="2:24">
      <c r="B314" s="260"/>
      <c r="C314" s="260"/>
      <c r="D314" s="260"/>
      <c r="E314" s="260"/>
      <c r="F314" s="260"/>
      <c r="G314" s="261"/>
      <c r="H314" s="261"/>
      <c r="I314" s="262"/>
      <c r="J314" s="263"/>
      <c r="K314" s="263"/>
      <c r="L314" s="263"/>
      <c r="M314" s="263"/>
      <c r="N314" s="263"/>
      <c r="O314" s="263"/>
      <c r="P314" s="263"/>
      <c r="Q314" s="263"/>
      <c r="R314" s="263"/>
      <c r="S314" s="263"/>
      <c r="T314" s="263"/>
      <c r="U314" s="263"/>
      <c r="V314" s="263"/>
      <c r="W314" s="263"/>
      <c r="X314" s="260"/>
    </row>
    <row r="315" spans="2:24">
      <c r="B315" s="260"/>
      <c r="C315" s="260"/>
      <c r="D315" s="260"/>
      <c r="E315" s="260"/>
      <c r="F315" s="260"/>
      <c r="G315" s="261"/>
      <c r="H315" s="261"/>
      <c r="I315" s="262"/>
      <c r="J315" s="263"/>
      <c r="K315" s="263"/>
      <c r="L315" s="263"/>
      <c r="M315" s="263"/>
      <c r="N315" s="263"/>
      <c r="O315" s="263"/>
      <c r="P315" s="263"/>
      <c r="Q315" s="263"/>
      <c r="R315" s="263"/>
      <c r="S315" s="263"/>
      <c r="T315" s="263"/>
      <c r="U315" s="263"/>
      <c r="V315" s="263"/>
      <c r="W315" s="263"/>
      <c r="X315" s="260"/>
    </row>
    <row r="316" spans="2:24">
      <c r="B316" s="260"/>
      <c r="C316" s="260"/>
      <c r="D316" s="260"/>
      <c r="E316" s="260"/>
      <c r="F316" s="260"/>
      <c r="G316" s="261"/>
      <c r="H316" s="261"/>
      <c r="I316" s="262"/>
      <c r="J316" s="263"/>
      <c r="K316" s="263"/>
      <c r="L316" s="263"/>
      <c r="M316" s="263"/>
      <c r="N316" s="263"/>
      <c r="O316" s="263"/>
      <c r="P316" s="263"/>
      <c r="Q316" s="263"/>
      <c r="R316" s="263"/>
      <c r="S316" s="263"/>
      <c r="T316" s="263"/>
      <c r="U316" s="263"/>
      <c r="V316" s="263"/>
      <c r="W316" s="263"/>
      <c r="X316" s="260"/>
    </row>
    <row r="317" spans="2:24">
      <c r="B317" s="260"/>
      <c r="C317" s="260"/>
      <c r="D317" s="260"/>
      <c r="E317" s="260"/>
      <c r="F317" s="260"/>
      <c r="G317" s="261"/>
      <c r="H317" s="261"/>
      <c r="I317" s="262"/>
      <c r="J317" s="263"/>
      <c r="K317" s="263"/>
      <c r="L317" s="263"/>
      <c r="M317" s="263"/>
      <c r="N317" s="263"/>
      <c r="O317" s="263"/>
      <c r="P317" s="263"/>
      <c r="Q317" s="263"/>
      <c r="R317" s="263"/>
      <c r="S317" s="263"/>
      <c r="T317" s="263"/>
      <c r="U317" s="263"/>
      <c r="V317" s="263"/>
      <c r="W317" s="263"/>
      <c r="X317" s="260"/>
    </row>
    <row r="318" spans="2:24">
      <c r="B318" s="260"/>
      <c r="C318" s="260"/>
      <c r="D318" s="260"/>
      <c r="E318" s="260"/>
      <c r="F318" s="260"/>
      <c r="G318" s="261"/>
      <c r="H318" s="261"/>
      <c r="I318" s="262"/>
      <c r="J318" s="263"/>
      <c r="K318" s="263"/>
      <c r="L318" s="263"/>
      <c r="M318" s="263"/>
      <c r="N318" s="263"/>
      <c r="O318" s="263"/>
      <c r="P318" s="263"/>
      <c r="Q318" s="263"/>
      <c r="R318" s="263"/>
      <c r="S318" s="263"/>
      <c r="T318" s="263"/>
      <c r="U318" s="263"/>
      <c r="V318" s="263"/>
      <c r="W318" s="263"/>
      <c r="X318" s="260"/>
    </row>
    <row r="319" spans="2:24">
      <c r="B319" s="260"/>
      <c r="C319" s="260"/>
      <c r="D319" s="260"/>
      <c r="E319" s="260"/>
      <c r="F319" s="260"/>
      <c r="G319" s="261"/>
      <c r="H319" s="261"/>
      <c r="I319" s="262"/>
      <c r="J319" s="263"/>
      <c r="K319" s="263"/>
      <c r="L319" s="263"/>
      <c r="M319" s="263"/>
      <c r="N319" s="263"/>
      <c r="O319" s="263"/>
      <c r="P319" s="263"/>
      <c r="Q319" s="263"/>
      <c r="R319" s="263"/>
      <c r="S319" s="263"/>
      <c r="T319" s="263"/>
      <c r="U319" s="263"/>
      <c r="V319" s="263"/>
      <c r="W319" s="263"/>
      <c r="X319" s="260"/>
    </row>
    <row r="320" spans="2:24">
      <c r="B320" s="260"/>
      <c r="C320" s="260"/>
      <c r="D320" s="260"/>
      <c r="E320" s="260"/>
      <c r="F320" s="260"/>
      <c r="G320" s="261"/>
      <c r="H320" s="261"/>
      <c r="I320" s="262"/>
      <c r="J320" s="263"/>
      <c r="K320" s="263"/>
      <c r="L320" s="263"/>
      <c r="M320" s="263"/>
      <c r="N320" s="263"/>
      <c r="O320" s="263"/>
      <c r="P320" s="263"/>
      <c r="Q320" s="263"/>
      <c r="R320" s="263"/>
      <c r="S320" s="263"/>
      <c r="T320" s="263"/>
      <c r="U320" s="263"/>
      <c r="V320" s="263"/>
      <c r="W320" s="263"/>
      <c r="X320" s="260"/>
    </row>
    <row r="321" spans="2:24">
      <c r="B321" s="260"/>
      <c r="C321" s="260"/>
      <c r="D321" s="260"/>
      <c r="E321" s="260"/>
      <c r="F321" s="260"/>
      <c r="G321" s="261"/>
      <c r="H321" s="261"/>
      <c r="I321" s="262"/>
      <c r="J321" s="263"/>
      <c r="K321" s="263"/>
      <c r="L321" s="263"/>
      <c r="M321" s="263"/>
      <c r="N321" s="263"/>
      <c r="O321" s="263"/>
      <c r="P321" s="263"/>
      <c r="Q321" s="263"/>
      <c r="R321" s="263"/>
      <c r="S321" s="263"/>
      <c r="T321" s="263"/>
      <c r="U321" s="263"/>
      <c r="V321" s="263"/>
      <c r="W321" s="263"/>
      <c r="X321" s="260"/>
    </row>
    <row r="322" spans="2:24">
      <c r="B322" s="260"/>
      <c r="C322" s="260"/>
      <c r="D322" s="260"/>
      <c r="E322" s="260"/>
      <c r="F322" s="260"/>
      <c r="G322" s="261"/>
      <c r="H322" s="261"/>
      <c r="I322" s="262"/>
      <c r="J322" s="263"/>
      <c r="K322" s="263"/>
      <c r="L322" s="263"/>
      <c r="M322" s="263"/>
      <c r="N322" s="263"/>
      <c r="O322" s="263"/>
      <c r="P322" s="263"/>
      <c r="Q322" s="263"/>
      <c r="R322" s="263"/>
      <c r="S322" s="263"/>
      <c r="T322" s="263"/>
      <c r="U322" s="263"/>
      <c r="V322" s="263"/>
      <c r="W322" s="263"/>
      <c r="X322" s="260"/>
    </row>
    <row r="323" spans="2:24">
      <c r="B323" s="260"/>
      <c r="C323" s="260"/>
      <c r="D323" s="260"/>
      <c r="E323" s="260"/>
      <c r="F323" s="260"/>
      <c r="G323" s="261"/>
      <c r="H323" s="261"/>
      <c r="I323" s="262"/>
      <c r="J323" s="263"/>
      <c r="K323" s="263"/>
      <c r="L323" s="263"/>
      <c r="M323" s="263"/>
      <c r="N323" s="263"/>
      <c r="O323" s="263"/>
      <c r="P323" s="263"/>
      <c r="Q323" s="263"/>
      <c r="R323" s="263"/>
      <c r="S323" s="263"/>
      <c r="T323" s="263"/>
      <c r="U323" s="263"/>
      <c r="V323" s="263"/>
      <c r="W323" s="263"/>
      <c r="X323" s="260"/>
    </row>
    <row r="324" spans="2:24">
      <c r="B324" s="260"/>
      <c r="C324" s="260"/>
      <c r="D324" s="260"/>
      <c r="E324" s="260"/>
      <c r="F324" s="260"/>
      <c r="G324" s="261"/>
      <c r="H324" s="261"/>
      <c r="I324" s="262"/>
      <c r="J324" s="263"/>
      <c r="K324" s="263"/>
      <c r="L324" s="263"/>
      <c r="M324" s="263"/>
      <c r="N324" s="263"/>
      <c r="O324" s="263"/>
      <c r="P324" s="263"/>
      <c r="Q324" s="263"/>
      <c r="R324" s="263"/>
      <c r="S324" s="263"/>
      <c r="T324" s="263"/>
      <c r="U324" s="263"/>
      <c r="V324" s="263"/>
      <c r="W324" s="263"/>
      <c r="X324" s="260"/>
    </row>
    <row r="325" spans="2:24">
      <c r="B325" s="260"/>
      <c r="C325" s="260"/>
      <c r="D325" s="260"/>
      <c r="E325" s="260"/>
      <c r="F325" s="260"/>
      <c r="G325" s="261"/>
      <c r="H325" s="261"/>
      <c r="I325" s="262"/>
      <c r="J325" s="263"/>
      <c r="K325" s="263"/>
      <c r="L325" s="263"/>
      <c r="M325" s="263"/>
      <c r="N325" s="263"/>
      <c r="O325" s="263"/>
      <c r="P325" s="263"/>
      <c r="Q325" s="263"/>
      <c r="R325" s="263"/>
      <c r="S325" s="263"/>
      <c r="T325" s="263"/>
      <c r="U325" s="263"/>
      <c r="V325" s="263"/>
      <c r="W325" s="263"/>
      <c r="X325" s="260"/>
    </row>
    <row r="326" spans="2:24">
      <c r="B326" s="260"/>
      <c r="C326" s="260"/>
      <c r="D326" s="260"/>
      <c r="E326" s="260"/>
      <c r="F326" s="260"/>
      <c r="G326" s="261"/>
      <c r="H326" s="261"/>
      <c r="I326" s="262"/>
      <c r="J326" s="263"/>
      <c r="K326" s="263"/>
      <c r="L326" s="263"/>
      <c r="M326" s="263"/>
      <c r="N326" s="263"/>
      <c r="O326" s="263"/>
      <c r="P326" s="263"/>
      <c r="Q326" s="263"/>
      <c r="R326" s="263"/>
      <c r="S326" s="263"/>
      <c r="T326" s="263"/>
      <c r="U326" s="263"/>
      <c r="V326" s="263"/>
      <c r="W326" s="263"/>
      <c r="X326" s="260"/>
    </row>
    <row r="327" spans="2:24">
      <c r="B327" s="260"/>
      <c r="C327" s="260"/>
      <c r="D327" s="260"/>
      <c r="E327" s="260"/>
      <c r="F327" s="260"/>
      <c r="G327" s="261"/>
      <c r="H327" s="261"/>
      <c r="I327" s="262"/>
      <c r="J327" s="263"/>
      <c r="K327" s="263"/>
      <c r="L327" s="263"/>
      <c r="M327" s="263"/>
      <c r="N327" s="263"/>
      <c r="O327" s="263"/>
      <c r="P327" s="263"/>
      <c r="Q327" s="263"/>
      <c r="R327" s="263"/>
      <c r="S327" s="263"/>
      <c r="T327" s="263"/>
      <c r="U327" s="263"/>
      <c r="V327" s="263"/>
      <c r="W327" s="263"/>
      <c r="X327" s="260"/>
    </row>
    <row r="328" spans="2:24">
      <c r="B328" s="260"/>
      <c r="C328" s="260"/>
      <c r="D328" s="260"/>
      <c r="E328" s="260"/>
      <c r="F328" s="260"/>
      <c r="G328" s="261"/>
      <c r="H328" s="261"/>
      <c r="I328" s="262"/>
      <c r="J328" s="263"/>
      <c r="K328" s="263"/>
      <c r="L328" s="263"/>
      <c r="M328" s="263"/>
      <c r="N328" s="263"/>
      <c r="O328" s="263"/>
      <c r="P328" s="263"/>
      <c r="Q328" s="263"/>
      <c r="R328" s="263"/>
      <c r="S328" s="263"/>
      <c r="T328" s="263"/>
      <c r="U328" s="263"/>
      <c r="V328" s="263"/>
      <c r="W328" s="263"/>
      <c r="X328" s="260"/>
    </row>
    <row r="329" spans="2:24">
      <c r="B329" s="260"/>
      <c r="C329" s="260"/>
      <c r="D329" s="260"/>
      <c r="E329" s="260"/>
      <c r="F329" s="260"/>
      <c r="G329" s="261"/>
      <c r="H329" s="261"/>
      <c r="I329" s="262"/>
      <c r="J329" s="263"/>
      <c r="K329" s="263"/>
      <c r="L329" s="263"/>
      <c r="M329" s="263"/>
      <c r="N329" s="263"/>
      <c r="O329" s="263"/>
      <c r="P329" s="263"/>
      <c r="Q329" s="263"/>
      <c r="R329" s="263"/>
      <c r="S329" s="263"/>
      <c r="T329" s="263"/>
      <c r="U329" s="263"/>
      <c r="V329" s="263"/>
      <c r="W329" s="263"/>
      <c r="X329" s="260"/>
    </row>
    <row r="330" spans="2:24">
      <c r="B330" s="260"/>
      <c r="C330" s="260"/>
      <c r="D330" s="260"/>
      <c r="E330" s="260"/>
      <c r="F330" s="260"/>
      <c r="G330" s="261"/>
      <c r="H330" s="261"/>
      <c r="I330" s="262"/>
      <c r="J330" s="263"/>
      <c r="K330" s="263"/>
      <c r="L330" s="263"/>
      <c r="M330" s="263"/>
      <c r="N330" s="263"/>
      <c r="O330" s="263"/>
      <c r="P330" s="263"/>
      <c r="Q330" s="263"/>
      <c r="R330" s="263"/>
      <c r="S330" s="263"/>
      <c r="T330" s="263"/>
      <c r="U330" s="263"/>
      <c r="V330" s="263"/>
      <c r="W330" s="263"/>
      <c r="X330" s="260"/>
    </row>
    <row r="331" spans="2:24">
      <c r="B331" s="260"/>
      <c r="C331" s="260"/>
      <c r="D331" s="260"/>
      <c r="E331" s="260"/>
      <c r="F331" s="260"/>
      <c r="G331" s="261"/>
      <c r="H331" s="261"/>
      <c r="I331" s="262"/>
      <c r="J331" s="263"/>
      <c r="K331" s="263"/>
      <c r="L331" s="263"/>
      <c r="M331" s="263"/>
      <c r="N331" s="263"/>
      <c r="O331" s="263"/>
      <c r="P331" s="263"/>
      <c r="Q331" s="263"/>
      <c r="R331" s="263"/>
      <c r="S331" s="263"/>
      <c r="T331" s="263"/>
      <c r="U331" s="263"/>
      <c r="V331" s="263"/>
      <c r="W331" s="263"/>
      <c r="X331" s="260"/>
    </row>
    <row r="332" spans="2:24">
      <c r="B332" s="260"/>
      <c r="C332" s="260"/>
      <c r="D332" s="260"/>
      <c r="E332" s="260"/>
      <c r="F332" s="260"/>
      <c r="G332" s="261"/>
      <c r="H332" s="261"/>
      <c r="I332" s="262"/>
      <c r="J332" s="263"/>
      <c r="K332" s="263"/>
      <c r="L332" s="263"/>
      <c r="M332" s="263"/>
      <c r="N332" s="263"/>
      <c r="O332" s="263"/>
      <c r="P332" s="263"/>
      <c r="Q332" s="263"/>
      <c r="R332" s="263"/>
      <c r="S332" s="263"/>
      <c r="T332" s="263"/>
      <c r="U332" s="263"/>
      <c r="V332" s="263"/>
      <c r="W332" s="263"/>
      <c r="X332" s="260"/>
    </row>
    <row r="333" spans="2:24">
      <c r="B333" s="260"/>
      <c r="C333" s="260"/>
      <c r="D333" s="260"/>
      <c r="E333" s="260"/>
      <c r="F333" s="260"/>
      <c r="G333" s="261"/>
      <c r="H333" s="261"/>
      <c r="I333" s="262"/>
      <c r="J333" s="263"/>
      <c r="K333" s="263"/>
      <c r="L333" s="263"/>
      <c r="M333" s="263"/>
      <c r="N333" s="263"/>
      <c r="O333" s="263"/>
      <c r="P333" s="263"/>
      <c r="Q333" s="263"/>
      <c r="R333" s="263"/>
      <c r="S333" s="263"/>
      <c r="T333" s="263"/>
      <c r="U333" s="263"/>
      <c r="V333" s="263"/>
      <c r="W333" s="263"/>
      <c r="X333" s="260"/>
    </row>
    <row r="334" spans="2:24">
      <c r="B334" s="260"/>
      <c r="C334" s="260"/>
      <c r="D334" s="260"/>
      <c r="E334" s="260"/>
      <c r="F334" s="260"/>
      <c r="G334" s="261"/>
      <c r="H334" s="261"/>
      <c r="I334" s="262"/>
      <c r="J334" s="263"/>
      <c r="K334" s="263"/>
      <c r="L334" s="263"/>
      <c r="M334" s="263"/>
      <c r="N334" s="263"/>
      <c r="O334" s="263"/>
      <c r="P334" s="263"/>
      <c r="Q334" s="263"/>
      <c r="R334" s="263"/>
      <c r="S334" s="263"/>
      <c r="T334" s="263"/>
      <c r="U334" s="263"/>
      <c r="V334" s="263"/>
      <c r="W334" s="263"/>
      <c r="X334" s="260"/>
    </row>
    <row r="335" spans="2:24">
      <c r="B335" s="260"/>
      <c r="C335" s="260"/>
      <c r="D335" s="260"/>
      <c r="E335" s="260"/>
      <c r="F335" s="260"/>
      <c r="G335" s="261"/>
      <c r="H335" s="261"/>
      <c r="I335" s="262"/>
      <c r="J335" s="263"/>
      <c r="K335" s="263"/>
      <c r="L335" s="263"/>
      <c r="M335" s="263"/>
      <c r="N335" s="263"/>
      <c r="O335" s="263"/>
      <c r="P335" s="263"/>
      <c r="Q335" s="263"/>
      <c r="R335" s="263"/>
      <c r="S335" s="263"/>
      <c r="T335" s="263"/>
      <c r="U335" s="263"/>
      <c r="V335" s="263"/>
      <c r="W335" s="263"/>
      <c r="X335" s="260"/>
    </row>
    <row r="336" spans="2:24">
      <c r="B336" s="260"/>
      <c r="C336" s="260"/>
      <c r="D336" s="260"/>
      <c r="E336" s="260"/>
      <c r="F336" s="260"/>
      <c r="G336" s="261"/>
      <c r="H336" s="261"/>
      <c r="I336" s="262"/>
      <c r="J336" s="263"/>
      <c r="K336" s="263"/>
      <c r="L336" s="263"/>
      <c r="M336" s="263"/>
      <c r="N336" s="263"/>
      <c r="O336" s="263"/>
      <c r="P336" s="263"/>
      <c r="Q336" s="263"/>
      <c r="R336" s="263"/>
      <c r="S336" s="263"/>
      <c r="T336" s="263"/>
      <c r="U336" s="263"/>
      <c r="V336" s="263"/>
      <c r="W336" s="263"/>
      <c r="X336" s="260"/>
    </row>
    <row r="337" spans="2:24">
      <c r="B337" s="260"/>
      <c r="C337" s="260"/>
      <c r="D337" s="260"/>
      <c r="E337" s="260"/>
      <c r="F337" s="260"/>
      <c r="G337" s="261"/>
      <c r="H337" s="261"/>
      <c r="I337" s="262"/>
      <c r="J337" s="263"/>
      <c r="K337" s="263"/>
      <c r="L337" s="263"/>
      <c r="M337" s="263"/>
      <c r="N337" s="263"/>
      <c r="O337" s="263"/>
      <c r="P337" s="263"/>
      <c r="Q337" s="263"/>
      <c r="R337" s="263"/>
      <c r="S337" s="263"/>
      <c r="T337" s="263"/>
      <c r="U337" s="263"/>
      <c r="V337" s="263"/>
      <c r="W337" s="263"/>
      <c r="X337" s="260"/>
    </row>
    <row r="338" spans="2:24">
      <c r="B338" s="260"/>
      <c r="C338" s="260"/>
      <c r="D338" s="260"/>
      <c r="E338" s="260"/>
      <c r="F338" s="260"/>
      <c r="G338" s="261"/>
      <c r="H338" s="261"/>
      <c r="I338" s="262"/>
      <c r="J338" s="263"/>
      <c r="K338" s="263"/>
      <c r="L338" s="263"/>
      <c r="M338" s="263"/>
      <c r="N338" s="263"/>
      <c r="O338" s="263"/>
      <c r="P338" s="263"/>
      <c r="Q338" s="263"/>
      <c r="R338" s="263"/>
      <c r="S338" s="263"/>
      <c r="T338" s="263"/>
      <c r="U338" s="263"/>
      <c r="V338" s="263"/>
      <c r="W338" s="263"/>
      <c r="X338" s="260"/>
    </row>
    <row r="339" spans="2:24">
      <c r="B339" s="260"/>
      <c r="C339" s="260"/>
      <c r="D339" s="260"/>
      <c r="E339" s="260"/>
      <c r="F339" s="260"/>
      <c r="G339" s="261"/>
      <c r="H339" s="261"/>
      <c r="I339" s="262"/>
      <c r="J339" s="263"/>
      <c r="K339" s="263"/>
      <c r="L339" s="263"/>
      <c r="M339" s="263"/>
      <c r="N339" s="263"/>
      <c r="O339" s="263"/>
      <c r="P339" s="263"/>
      <c r="Q339" s="263"/>
      <c r="R339" s="263"/>
      <c r="S339" s="263"/>
      <c r="T339" s="263"/>
      <c r="U339" s="263"/>
      <c r="V339" s="263"/>
      <c r="W339" s="263"/>
      <c r="X339" s="260"/>
    </row>
    <row r="340" spans="2:24">
      <c r="B340" s="260"/>
      <c r="C340" s="260"/>
      <c r="D340" s="260"/>
      <c r="E340" s="260"/>
      <c r="F340" s="260"/>
      <c r="G340" s="261"/>
      <c r="H340" s="261"/>
      <c r="I340" s="262"/>
      <c r="J340" s="263"/>
      <c r="K340" s="263"/>
      <c r="L340" s="263"/>
      <c r="M340" s="263"/>
      <c r="N340" s="263"/>
      <c r="O340" s="263"/>
      <c r="P340" s="263"/>
      <c r="Q340" s="263"/>
      <c r="R340" s="263"/>
      <c r="S340" s="263"/>
      <c r="T340" s="263"/>
      <c r="U340" s="263"/>
      <c r="V340" s="263"/>
      <c r="W340" s="263"/>
      <c r="X340" s="260"/>
    </row>
    <row r="341" spans="2:24">
      <c r="B341" s="260"/>
      <c r="C341" s="260"/>
      <c r="D341" s="260"/>
      <c r="E341" s="260"/>
      <c r="F341" s="260"/>
      <c r="G341" s="261"/>
      <c r="H341" s="261"/>
      <c r="I341" s="262"/>
      <c r="J341" s="263"/>
      <c r="K341" s="263"/>
      <c r="L341" s="263"/>
      <c r="M341" s="263"/>
      <c r="N341" s="263"/>
      <c r="O341" s="263"/>
      <c r="P341" s="263"/>
      <c r="Q341" s="263"/>
      <c r="R341" s="263"/>
      <c r="S341" s="263"/>
      <c r="T341" s="263"/>
      <c r="U341" s="263"/>
      <c r="V341" s="263"/>
      <c r="W341" s="263"/>
      <c r="X341" s="260"/>
    </row>
    <row r="342" spans="2:24">
      <c r="B342" s="260"/>
      <c r="C342" s="260"/>
      <c r="D342" s="260"/>
      <c r="E342" s="260"/>
      <c r="F342" s="260"/>
      <c r="G342" s="261"/>
      <c r="H342" s="261"/>
      <c r="I342" s="262"/>
      <c r="J342" s="263"/>
      <c r="K342" s="263"/>
      <c r="L342" s="263"/>
      <c r="M342" s="263"/>
      <c r="N342" s="263"/>
      <c r="O342" s="263"/>
      <c r="P342" s="263"/>
      <c r="Q342" s="263"/>
      <c r="R342" s="263"/>
      <c r="S342" s="263"/>
      <c r="T342" s="263"/>
      <c r="U342" s="263"/>
      <c r="V342" s="263"/>
      <c r="W342" s="263"/>
      <c r="X342" s="260"/>
    </row>
    <row r="343" spans="2:24">
      <c r="B343" s="260"/>
      <c r="C343" s="260"/>
      <c r="D343" s="260"/>
      <c r="E343" s="260"/>
      <c r="F343" s="260"/>
      <c r="G343" s="261"/>
      <c r="H343" s="261"/>
      <c r="I343" s="262"/>
      <c r="J343" s="263"/>
      <c r="K343" s="263"/>
      <c r="L343" s="263"/>
      <c r="M343" s="263"/>
      <c r="N343" s="263"/>
      <c r="O343" s="263"/>
      <c r="P343" s="263"/>
      <c r="Q343" s="263"/>
      <c r="R343" s="263"/>
      <c r="S343" s="263"/>
      <c r="T343" s="263"/>
      <c r="U343" s="263"/>
      <c r="V343" s="263"/>
      <c r="W343" s="263"/>
      <c r="X343" s="260"/>
    </row>
    <row r="344" spans="2:24">
      <c r="B344" s="260"/>
      <c r="C344" s="260"/>
      <c r="D344" s="260"/>
      <c r="E344" s="260"/>
      <c r="F344" s="260"/>
      <c r="G344" s="261"/>
      <c r="H344" s="261"/>
      <c r="I344" s="262"/>
      <c r="J344" s="263"/>
      <c r="K344" s="263"/>
      <c r="L344" s="263"/>
      <c r="M344" s="263"/>
      <c r="N344" s="263"/>
      <c r="O344" s="263"/>
      <c r="P344" s="263"/>
      <c r="Q344" s="263"/>
      <c r="R344" s="263"/>
      <c r="S344" s="263"/>
      <c r="T344" s="263"/>
      <c r="U344" s="263"/>
      <c r="V344" s="263"/>
      <c r="W344" s="263"/>
      <c r="X344" s="260"/>
    </row>
    <row r="345" spans="2:24">
      <c r="B345" s="260"/>
      <c r="C345" s="260"/>
      <c r="D345" s="260"/>
      <c r="E345" s="260"/>
      <c r="F345" s="260"/>
      <c r="G345" s="261"/>
      <c r="H345" s="261"/>
      <c r="I345" s="262"/>
      <c r="J345" s="263"/>
      <c r="K345" s="263"/>
      <c r="L345" s="263"/>
      <c r="M345" s="263"/>
      <c r="N345" s="263"/>
      <c r="O345" s="263"/>
      <c r="P345" s="263"/>
      <c r="Q345" s="263"/>
      <c r="R345" s="263"/>
      <c r="S345" s="263"/>
      <c r="T345" s="263"/>
      <c r="U345" s="263"/>
      <c r="V345" s="263"/>
      <c r="W345" s="263"/>
      <c r="X345" s="260"/>
    </row>
    <row r="346" spans="2:24">
      <c r="B346" s="260"/>
      <c r="C346" s="260"/>
      <c r="D346" s="260"/>
      <c r="E346" s="260"/>
      <c r="F346" s="260"/>
      <c r="G346" s="261"/>
      <c r="H346" s="261"/>
      <c r="I346" s="262"/>
      <c r="J346" s="263"/>
      <c r="K346" s="263"/>
      <c r="L346" s="263"/>
      <c r="M346" s="263"/>
      <c r="N346" s="263"/>
      <c r="O346" s="263"/>
      <c r="P346" s="263"/>
      <c r="Q346" s="263"/>
      <c r="R346" s="263"/>
      <c r="S346" s="263"/>
      <c r="T346" s="263"/>
      <c r="U346" s="263"/>
      <c r="V346" s="263"/>
      <c r="W346" s="263"/>
      <c r="X346" s="260"/>
    </row>
    <row r="347" spans="2:24">
      <c r="B347" s="260"/>
      <c r="C347" s="260"/>
      <c r="D347" s="260"/>
      <c r="E347" s="260"/>
      <c r="F347" s="260"/>
      <c r="G347" s="261"/>
      <c r="H347" s="261"/>
      <c r="I347" s="262"/>
      <c r="J347" s="263"/>
      <c r="K347" s="263"/>
      <c r="L347" s="263"/>
      <c r="M347" s="263"/>
      <c r="N347" s="263"/>
      <c r="O347" s="263"/>
      <c r="P347" s="263"/>
      <c r="Q347" s="263"/>
      <c r="R347" s="263"/>
      <c r="S347" s="263"/>
      <c r="T347" s="263"/>
      <c r="U347" s="263"/>
      <c r="V347" s="263"/>
      <c r="W347" s="263"/>
      <c r="X347" s="260"/>
    </row>
    <row r="348" spans="2:24">
      <c r="B348" s="260"/>
      <c r="C348" s="260"/>
      <c r="D348" s="260"/>
      <c r="E348" s="260"/>
      <c r="F348" s="260"/>
      <c r="G348" s="261"/>
      <c r="H348" s="261"/>
      <c r="I348" s="262"/>
      <c r="J348" s="263"/>
      <c r="K348" s="263"/>
      <c r="L348" s="263"/>
      <c r="M348" s="263"/>
      <c r="N348" s="263"/>
      <c r="O348" s="263"/>
      <c r="P348" s="263"/>
      <c r="Q348" s="263"/>
      <c r="R348" s="263"/>
      <c r="S348" s="263"/>
      <c r="T348" s="263"/>
      <c r="U348" s="263"/>
      <c r="V348" s="263"/>
      <c r="W348" s="263"/>
      <c r="X348" s="260"/>
    </row>
    <row r="349" spans="2:24">
      <c r="B349" s="260"/>
      <c r="C349" s="260"/>
      <c r="D349" s="260"/>
      <c r="E349" s="260"/>
      <c r="F349" s="260"/>
      <c r="G349" s="261"/>
      <c r="H349" s="261"/>
      <c r="I349" s="262"/>
      <c r="J349" s="263"/>
      <c r="K349" s="263"/>
      <c r="L349" s="263"/>
      <c r="M349" s="263"/>
      <c r="N349" s="263"/>
      <c r="O349" s="263"/>
      <c r="P349" s="263"/>
      <c r="Q349" s="263"/>
      <c r="R349" s="263"/>
      <c r="S349" s="263"/>
      <c r="T349" s="263"/>
      <c r="U349" s="263"/>
      <c r="V349" s="263"/>
      <c r="W349" s="263"/>
      <c r="X349" s="260"/>
    </row>
    <row r="350" spans="2:24">
      <c r="B350" s="260"/>
      <c r="C350" s="260"/>
      <c r="D350" s="260"/>
      <c r="E350" s="260"/>
      <c r="F350" s="260"/>
      <c r="G350" s="261"/>
      <c r="H350" s="261"/>
      <c r="I350" s="262"/>
      <c r="J350" s="263"/>
      <c r="K350" s="263"/>
      <c r="L350" s="263"/>
      <c r="M350" s="263"/>
      <c r="N350" s="263"/>
      <c r="O350" s="263"/>
      <c r="P350" s="263"/>
      <c r="Q350" s="263"/>
      <c r="R350" s="263"/>
      <c r="S350" s="263"/>
      <c r="T350" s="263"/>
      <c r="U350" s="263"/>
      <c r="V350" s="263"/>
      <c r="W350" s="263"/>
      <c r="X350" s="260"/>
    </row>
    <row r="351" spans="2:24">
      <c r="B351" s="260"/>
      <c r="C351" s="260"/>
      <c r="D351" s="260"/>
      <c r="E351" s="260"/>
      <c r="F351" s="260"/>
      <c r="G351" s="261"/>
      <c r="H351" s="261"/>
      <c r="I351" s="262"/>
      <c r="J351" s="263"/>
      <c r="K351" s="263"/>
      <c r="L351" s="263"/>
      <c r="M351" s="263"/>
      <c r="N351" s="263"/>
      <c r="O351" s="263"/>
      <c r="P351" s="263"/>
      <c r="Q351" s="263"/>
      <c r="R351" s="263"/>
      <c r="S351" s="263"/>
      <c r="T351" s="263"/>
      <c r="U351" s="263"/>
      <c r="V351" s="263"/>
      <c r="W351" s="263"/>
      <c r="X351" s="260"/>
    </row>
    <row r="352" spans="2:24">
      <c r="B352" s="260"/>
      <c r="C352" s="260"/>
      <c r="D352" s="260"/>
      <c r="E352" s="260"/>
      <c r="F352" s="260"/>
      <c r="G352" s="261"/>
      <c r="H352" s="261"/>
      <c r="I352" s="262"/>
      <c r="J352" s="263"/>
      <c r="K352" s="263"/>
      <c r="L352" s="263"/>
      <c r="M352" s="263"/>
      <c r="N352" s="263"/>
      <c r="O352" s="263"/>
      <c r="P352" s="263"/>
      <c r="Q352" s="263"/>
      <c r="R352" s="263"/>
      <c r="S352" s="263"/>
      <c r="T352" s="263"/>
      <c r="U352" s="263"/>
      <c r="V352" s="263"/>
      <c r="W352" s="263"/>
      <c r="X352" s="260"/>
    </row>
    <row r="353" spans="2:24">
      <c r="B353" s="260"/>
      <c r="C353" s="260"/>
      <c r="D353" s="260"/>
      <c r="E353" s="260"/>
      <c r="F353" s="260"/>
      <c r="G353" s="261"/>
      <c r="H353" s="261"/>
      <c r="I353" s="262"/>
      <c r="J353" s="263"/>
      <c r="K353" s="263"/>
      <c r="L353" s="263"/>
      <c r="M353" s="263"/>
      <c r="N353" s="263"/>
      <c r="O353" s="263"/>
      <c r="P353" s="263"/>
      <c r="Q353" s="263"/>
      <c r="R353" s="263"/>
      <c r="S353" s="263"/>
      <c r="T353" s="263"/>
      <c r="U353" s="263"/>
      <c r="V353" s="263"/>
      <c r="W353" s="263"/>
      <c r="X353" s="260"/>
    </row>
    <row r="354" spans="2:24">
      <c r="B354" s="260"/>
      <c r="C354" s="260"/>
      <c r="D354" s="260"/>
      <c r="E354" s="260"/>
      <c r="F354" s="260"/>
      <c r="G354" s="261"/>
      <c r="H354" s="261"/>
      <c r="I354" s="262"/>
      <c r="J354" s="263"/>
      <c r="K354" s="263"/>
      <c r="L354" s="263"/>
      <c r="M354" s="263"/>
      <c r="N354" s="263"/>
      <c r="O354" s="263"/>
      <c r="P354" s="263"/>
      <c r="Q354" s="263"/>
      <c r="R354" s="263"/>
      <c r="S354" s="263"/>
      <c r="T354" s="263"/>
      <c r="U354" s="263"/>
      <c r="V354" s="263"/>
      <c r="W354" s="263"/>
      <c r="X354" s="260"/>
    </row>
    <row r="355" spans="2:24">
      <c r="B355" s="260"/>
      <c r="C355" s="260"/>
      <c r="D355" s="260"/>
      <c r="E355" s="260"/>
      <c r="F355" s="260"/>
      <c r="G355" s="261"/>
      <c r="H355" s="261"/>
      <c r="I355" s="262"/>
      <c r="J355" s="263"/>
      <c r="K355" s="263"/>
      <c r="L355" s="263"/>
      <c r="M355" s="263"/>
      <c r="N355" s="263"/>
      <c r="O355" s="263"/>
      <c r="P355" s="263"/>
      <c r="Q355" s="263"/>
      <c r="R355" s="263"/>
      <c r="S355" s="263"/>
      <c r="T355" s="263"/>
      <c r="U355" s="263"/>
      <c r="V355" s="263"/>
      <c r="W355" s="263"/>
      <c r="X355" s="260"/>
    </row>
    <row r="356" spans="2:24">
      <c r="B356" s="260"/>
      <c r="C356" s="260"/>
      <c r="D356" s="260"/>
      <c r="E356" s="260"/>
      <c r="F356" s="260"/>
      <c r="G356" s="261"/>
      <c r="H356" s="261"/>
      <c r="I356" s="262"/>
      <c r="J356" s="263"/>
      <c r="K356" s="263"/>
      <c r="L356" s="263"/>
      <c r="M356" s="263"/>
      <c r="N356" s="263"/>
      <c r="O356" s="263"/>
      <c r="P356" s="263"/>
      <c r="Q356" s="263"/>
      <c r="R356" s="263"/>
      <c r="S356" s="263"/>
      <c r="T356" s="263"/>
      <c r="U356" s="263"/>
      <c r="V356" s="263"/>
      <c r="W356" s="263"/>
      <c r="X356" s="260"/>
    </row>
    <row r="357" spans="2:24">
      <c r="B357" s="260"/>
      <c r="C357" s="260"/>
      <c r="D357" s="260"/>
      <c r="E357" s="260"/>
      <c r="F357" s="260"/>
      <c r="G357" s="261"/>
      <c r="H357" s="261"/>
      <c r="I357" s="262"/>
      <c r="J357" s="263"/>
      <c r="K357" s="263"/>
      <c r="L357" s="263"/>
      <c r="M357" s="263"/>
      <c r="N357" s="263"/>
      <c r="O357" s="263"/>
      <c r="P357" s="263"/>
      <c r="Q357" s="263"/>
      <c r="R357" s="263"/>
      <c r="S357" s="263"/>
      <c r="T357" s="263"/>
      <c r="U357" s="263"/>
      <c r="V357" s="263"/>
      <c r="W357" s="263"/>
      <c r="X357" s="260"/>
    </row>
    <row r="358" spans="2:24">
      <c r="B358" s="260"/>
      <c r="C358" s="260"/>
      <c r="D358" s="260"/>
      <c r="E358" s="260"/>
      <c r="F358" s="260"/>
      <c r="G358" s="261"/>
      <c r="H358" s="261"/>
      <c r="I358" s="262"/>
      <c r="J358" s="263"/>
      <c r="K358" s="263"/>
      <c r="L358" s="263"/>
      <c r="M358" s="263"/>
      <c r="N358" s="263"/>
      <c r="O358" s="263"/>
      <c r="P358" s="263"/>
      <c r="Q358" s="263"/>
      <c r="R358" s="263"/>
      <c r="S358" s="263"/>
      <c r="T358" s="263"/>
      <c r="U358" s="263"/>
      <c r="V358" s="263"/>
      <c r="W358" s="263"/>
      <c r="X358" s="260"/>
    </row>
    <row r="359" spans="2:24">
      <c r="B359" s="260"/>
      <c r="C359" s="260"/>
      <c r="D359" s="260"/>
      <c r="E359" s="260"/>
      <c r="F359" s="260"/>
      <c r="G359" s="261"/>
      <c r="H359" s="261"/>
      <c r="I359" s="262"/>
      <c r="J359" s="263"/>
      <c r="K359" s="263"/>
      <c r="L359" s="263"/>
      <c r="M359" s="263"/>
      <c r="N359" s="263"/>
      <c r="O359" s="263"/>
      <c r="P359" s="263"/>
      <c r="Q359" s="263"/>
      <c r="R359" s="263"/>
      <c r="S359" s="263"/>
      <c r="T359" s="263"/>
      <c r="U359" s="263"/>
      <c r="V359" s="263"/>
      <c r="W359" s="263"/>
      <c r="X359" s="260"/>
    </row>
    <row r="360" spans="2:24">
      <c r="B360" s="260"/>
      <c r="C360" s="260"/>
      <c r="D360" s="260"/>
      <c r="E360" s="260"/>
      <c r="F360" s="260"/>
      <c r="G360" s="261"/>
      <c r="H360" s="261"/>
      <c r="I360" s="262"/>
      <c r="J360" s="263"/>
      <c r="K360" s="263"/>
      <c r="L360" s="263"/>
      <c r="M360" s="263"/>
      <c r="N360" s="263"/>
      <c r="O360" s="263"/>
      <c r="P360" s="263"/>
      <c r="Q360" s="263"/>
      <c r="R360" s="263"/>
      <c r="S360" s="263"/>
      <c r="T360" s="263"/>
      <c r="U360" s="263"/>
      <c r="V360" s="263"/>
      <c r="W360" s="263"/>
      <c r="X360" s="260"/>
    </row>
  </sheetData>
  <mergeCells count="45">
    <mergeCell ref="C5:G6"/>
    <mergeCell ref="V5:W5"/>
    <mergeCell ref="Q6:W6"/>
    <mergeCell ref="P47:V47"/>
    <mergeCell ref="I3:P5"/>
    <mergeCell ref="Q3:R5"/>
    <mergeCell ref="V3:W3"/>
    <mergeCell ref="V4:W4"/>
    <mergeCell ref="Q7:W7"/>
    <mergeCell ref="E9:H9"/>
    <mergeCell ref="D25:G25"/>
    <mergeCell ref="D38:I38"/>
    <mergeCell ref="U42:U44"/>
    <mergeCell ref="E89:F89"/>
    <mergeCell ref="H89:I89"/>
    <mergeCell ref="Q74:Q77"/>
    <mergeCell ref="E80:I80"/>
    <mergeCell ref="E81:I81"/>
    <mergeCell ref="E82:I82"/>
    <mergeCell ref="E83:I83"/>
    <mergeCell ref="E84:I84"/>
    <mergeCell ref="E86:I86"/>
    <mergeCell ref="E87:F87"/>
    <mergeCell ref="H87:I87"/>
    <mergeCell ref="E88:F88"/>
    <mergeCell ref="H88:I88"/>
    <mergeCell ref="E102:F102"/>
    <mergeCell ref="H102:I102"/>
    <mergeCell ref="E90:F90"/>
    <mergeCell ref="H90:I90"/>
    <mergeCell ref="E91:F91"/>
    <mergeCell ref="H91:I91"/>
    <mergeCell ref="E92:F92"/>
    <mergeCell ref="H92:I92"/>
    <mergeCell ref="H111:I111"/>
    <mergeCell ref="H97:I97"/>
    <mergeCell ref="H98:I98"/>
    <mergeCell ref="H99:I99"/>
    <mergeCell ref="H100:I100"/>
    <mergeCell ref="H101:I101"/>
    <mergeCell ref="H106:I106"/>
    <mergeCell ref="H107:I107"/>
    <mergeCell ref="H108:I108"/>
    <mergeCell ref="H109:I109"/>
    <mergeCell ref="H110:I110"/>
  </mergeCells>
  <conditionalFormatting sqref="E31">
    <cfRule type="cellIs" dxfId="33" priority="22" operator="equal">
      <formula>0</formula>
    </cfRule>
  </conditionalFormatting>
  <conditionalFormatting sqref="E43">
    <cfRule type="cellIs" dxfId="32" priority="27" operator="equal">
      <formula>0</formula>
    </cfRule>
  </conditionalFormatting>
  <conditionalFormatting sqref="G31">
    <cfRule type="cellIs" dxfId="31" priority="33" operator="equal">
      <formula>0</formula>
    </cfRule>
  </conditionalFormatting>
  <conditionalFormatting sqref="G43">
    <cfRule type="cellIs" dxfId="30" priority="28" operator="equal">
      <formula>0</formula>
    </cfRule>
  </conditionalFormatting>
  <conditionalFormatting sqref="H87:H102">
    <cfRule type="cellIs" dxfId="29" priority="1" operator="equal">
      <formula>0</formula>
    </cfRule>
  </conditionalFormatting>
  <conditionalFormatting sqref="I23:I35">
    <cfRule type="cellIs" dxfId="28" priority="21" operator="equal">
      <formula>0</formula>
    </cfRule>
  </conditionalFormatting>
  <conditionalFormatting sqref="I40:I47">
    <cfRule type="cellIs" dxfId="27" priority="25" operator="equal">
      <formula>0</formula>
    </cfRule>
  </conditionalFormatting>
  <conditionalFormatting sqref="J42:J48">
    <cfRule type="cellIs" dxfId="26" priority="26" operator="equal">
      <formula>0</formula>
    </cfRule>
  </conditionalFormatting>
  <conditionalFormatting sqref="J17:U18 J19:V19">
    <cfRule type="cellIs" dxfId="25" priority="34" operator="equal">
      <formula>0</formula>
    </cfRule>
  </conditionalFormatting>
  <conditionalFormatting sqref="J82:U84">
    <cfRule type="cellIs" dxfId="24" priority="2" operator="equal">
      <formula>0</formula>
    </cfRule>
  </conditionalFormatting>
  <conditionalFormatting sqref="J21:V39">
    <cfRule type="cellIs" dxfId="23" priority="19" operator="equal">
      <formula>0</formula>
    </cfRule>
  </conditionalFormatting>
  <conditionalFormatting sqref="J13:W14 J15:U15 V15:V18">
    <cfRule type="cellIs" dxfId="22" priority="36" operator="equal">
      <formula>0</formula>
    </cfRule>
  </conditionalFormatting>
  <conditionalFormatting sqref="J20:W20">
    <cfRule type="cellIs" dxfId="21" priority="20" operator="equal">
      <formula>0</formula>
    </cfRule>
  </conditionalFormatting>
  <conditionalFormatting sqref="J27:W27">
    <cfRule type="cellIs" dxfId="20" priority="17" operator="lessThan">
      <formula>0</formula>
    </cfRule>
  </conditionalFormatting>
  <conditionalFormatting sqref="J38:W38">
    <cfRule type="cellIs" dxfId="19" priority="16" operator="greaterThan">
      <formula>0</formula>
    </cfRule>
  </conditionalFormatting>
  <conditionalFormatting sqref="P63:P64">
    <cfRule type="cellIs" dxfId="18" priority="13" operator="equal">
      <formula>0</formula>
    </cfRule>
  </conditionalFormatting>
  <conditionalFormatting sqref="P56:U59">
    <cfRule type="cellIs" dxfId="17" priority="15" operator="equal">
      <formula>0</formula>
    </cfRule>
  </conditionalFormatting>
  <conditionalFormatting sqref="P62:U62">
    <cfRule type="cellIs" dxfId="16" priority="11" operator="equal">
      <formula>0</formula>
    </cfRule>
  </conditionalFormatting>
  <conditionalFormatting sqref="P65:U65">
    <cfRule type="cellIs" dxfId="15" priority="12" operator="equal">
      <formula>0</formula>
    </cfRule>
  </conditionalFormatting>
  <conditionalFormatting sqref="Q62:Q63">
    <cfRule type="cellIs" dxfId="14" priority="10" operator="equal">
      <formula>0</formula>
    </cfRule>
  </conditionalFormatting>
  <conditionalFormatting sqref="Q64:U64">
    <cfRule type="cellIs" dxfId="13" priority="9" operator="equal">
      <formula>0</formula>
    </cfRule>
  </conditionalFormatting>
  <conditionalFormatting sqref="R63:U63">
    <cfRule type="cellIs" dxfId="12" priority="14" operator="equal">
      <formula>0</formula>
    </cfRule>
  </conditionalFormatting>
  <conditionalFormatting sqref="S41">
    <cfRule type="cellIs" dxfId="11" priority="30" operator="equal">
      <formula>0</formula>
    </cfRule>
  </conditionalFormatting>
  <conditionalFormatting sqref="T40:T42">
    <cfRule type="cellIs" dxfId="10" priority="32" operator="equal">
      <formula>0</formula>
    </cfRule>
  </conditionalFormatting>
  <conditionalFormatting sqref="U42">
    <cfRule type="cellIs" dxfId="9" priority="31" operator="equal">
      <formula>0</formula>
    </cfRule>
  </conditionalFormatting>
  <conditionalFormatting sqref="U48">
    <cfRule type="cellIs" dxfId="8" priority="29" operator="equal">
      <formula>0</formula>
    </cfRule>
  </conditionalFormatting>
  <conditionalFormatting sqref="V12:W12 J87:U102">
    <cfRule type="cellIs" dxfId="7" priority="37" operator="equal">
      <formula>0</formula>
    </cfRule>
  </conditionalFormatting>
  <conditionalFormatting sqref="W15:W17 I17">
    <cfRule type="cellIs" dxfId="6" priority="35" operator="equal">
      <formula>0</formula>
    </cfRule>
  </conditionalFormatting>
  <conditionalFormatting sqref="W26:W27">
    <cfRule type="cellIs" dxfId="5" priority="18" operator="equal">
      <formula>0</formula>
    </cfRule>
  </conditionalFormatting>
  <conditionalFormatting sqref="W38:W39">
    <cfRule type="cellIs" dxfId="4" priority="24" operator="equal">
      <formula>0</formula>
    </cfRule>
  </conditionalFormatting>
  <conditionalFormatting sqref="W56:W59">
    <cfRule type="cellIs" dxfId="3" priority="8" operator="equal">
      <formula>0</formula>
    </cfRule>
  </conditionalFormatting>
  <conditionalFormatting sqref="W62:W65">
    <cfRule type="cellIs" dxfId="2" priority="7" operator="equal">
      <formula>0</formula>
    </cfRule>
  </conditionalFormatting>
  <conditionalFormatting sqref="W67:W69">
    <cfRule type="cellIs" dxfId="1" priority="6" operator="equal">
      <formula>0</formula>
    </cfRule>
  </conditionalFormatting>
  <conditionalFormatting sqref="W71:W72">
    <cfRule type="cellIs" dxfId="0" priority="5" operator="equal">
      <formula>0</formula>
    </cfRule>
  </conditionalFormatting>
  <hyperlinks>
    <hyperlink ref="P47" r:id="rId1" xr:uid="{00000000-0004-0000-0200-000000000000}"/>
  </hyperlinks>
  <printOptions horizontalCentered="1" verticalCentered="1"/>
  <pageMargins left="0" right="0" top="0.39370078740157483" bottom="0.31496062992125984" header="0" footer="0"/>
  <pageSetup paperSize="8" scale="79" orientation="landscape"/>
  <headerFooter>
    <oddFooter>&amp;L&amp;8&amp;D&amp;R&amp;8&amp;F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pageSetUpPr fitToPage="1"/>
  </sheetPr>
  <dimension ref="A1:AI176"/>
  <sheetViews>
    <sheetView showGridLines="0" zoomScale="70" zoomScaleNormal="70" zoomScaleSheetLayoutView="55" zoomScalePageLayoutView="70" workbookViewId="0">
      <selection activeCell="B44" sqref="B44"/>
    </sheetView>
  </sheetViews>
  <sheetFormatPr defaultColWidth="9.1796875" defaultRowHeight="15.5"/>
  <cols>
    <col min="1" max="1" width="30.1796875" style="417" customWidth="1"/>
    <col min="2" max="2" width="26.1796875" style="417" customWidth="1"/>
    <col min="3" max="3" width="25.81640625" style="419" customWidth="1"/>
    <col min="4" max="6" width="27.81640625" style="419" customWidth="1"/>
    <col min="7" max="8" width="30.81640625" style="419" customWidth="1"/>
    <col min="9" max="9" width="19.1796875" style="420" customWidth="1"/>
    <col min="10" max="10" width="17.81640625" style="418" customWidth="1"/>
    <col min="11" max="12" width="2" style="418" customWidth="1"/>
    <col min="13" max="13" width="56.81640625" style="418" customWidth="1"/>
    <col min="14" max="15" width="13" style="418" customWidth="1"/>
    <col min="16" max="16" width="18.81640625" style="418" customWidth="1"/>
    <col min="17" max="17" width="4.453125" style="418" customWidth="1"/>
    <col min="18" max="18" width="29.81640625" style="418" customWidth="1"/>
    <col min="19" max="19" width="13" style="418" customWidth="1"/>
    <col min="20" max="20" width="17.1796875" style="418" bestFit="1" customWidth="1"/>
    <col min="21" max="21" width="19.1796875" style="418" bestFit="1" customWidth="1"/>
    <col min="22" max="22" width="18.1796875" style="418" bestFit="1" customWidth="1"/>
    <col min="23" max="35" width="13" style="418" customWidth="1"/>
    <col min="36" max="16384" width="9.1796875" style="417"/>
  </cols>
  <sheetData>
    <row r="1" spans="1:35" ht="18.75" customHeight="1">
      <c r="A1" s="951" t="s">
        <v>161</v>
      </c>
      <c r="B1" s="952"/>
      <c r="C1" s="421"/>
    </row>
    <row r="2" spans="1:35" ht="18.75" customHeight="1">
      <c r="A2" s="951"/>
      <c r="B2" s="952"/>
      <c r="C2" s="421"/>
      <c r="G2" s="419" t="s">
        <v>104</v>
      </c>
    </row>
    <row r="3" spans="1:35" ht="15.75" customHeight="1">
      <c r="A3" s="953" t="s">
        <v>201</v>
      </c>
      <c r="B3" s="953"/>
      <c r="C3" s="953"/>
    </row>
    <row r="4" spans="1:35">
      <c r="A4" s="953"/>
      <c r="B4" s="953"/>
      <c r="C4" s="953"/>
    </row>
    <row r="5" spans="1:35" ht="19.5" customHeight="1">
      <c r="A5" s="953"/>
      <c r="B5" s="953"/>
      <c r="C5" s="953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</row>
    <row r="6" spans="1:35">
      <c r="A6" s="423" t="s">
        <v>162</v>
      </c>
      <c r="B6" s="424"/>
    </row>
    <row r="7" spans="1:35" ht="17.5">
      <c r="A7" s="425" t="s">
        <v>163</v>
      </c>
      <c r="B7" s="419"/>
    </row>
    <row r="8" spans="1:35">
      <c r="A8" s="419"/>
      <c r="B8" s="419"/>
      <c r="D8" s="505"/>
      <c r="E8" s="426"/>
      <c r="F8" s="426"/>
      <c r="G8" s="426"/>
      <c r="H8" s="426"/>
      <c r="I8" s="506"/>
      <c r="J8" s="418" t="s">
        <v>110</v>
      </c>
    </row>
    <row r="9" spans="1:35">
      <c r="A9" s="507" t="s">
        <v>111</v>
      </c>
      <c r="B9" s="508"/>
      <c r="C9" s="505"/>
      <c r="D9" s="505"/>
      <c r="E9" s="426"/>
      <c r="F9" s="426"/>
      <c r="G9" s="426"/>
      <c r="H9" s="426"/>
      <c r="J9" s="418" t="s">
        <v>110</v>
      </c>
    </row>
    <row r="10" spans="1:35">
      <c r="A10" s="428" t="s">
        <v>112</v>
      </c>
      <c r="C10" s="429" t="s">
        <v>164</v>
      </c>
      <c r="D10" s="430"/>
      <c r="E10" s="430"/>
      <c r="F10" s="954" t="s">
        <v>165</v>
      </c>
      <c r="G10" s="954"/>
      <c r="H10" s="954"/>
      <c r="J10" s="418" t="s">
        <v>110</v>
      </c>
    </row>
    <row r="11" spans="1:35">
      <c r="A11" s="431" t="s">
        <v>113</v>
      </c>
      <c r="C11" s="425" t="s">
        <v>166</v>
      </c>
      <c r="D11" s="429"/>
      <c r="E11" s="429"/>
      <c r="F11" s="954"/>
      <c r="G11" s="954"/>
      <c r="H11" s="954"/>
      <c r="J11" s="418" t="s">
        <v>110</v>
      </c>
    </row>
    <row r="12" spans="1:35">
      <c r="A12" s="428" t="s">
        <v>63</v>
      </c>
      <c r="B12" s="509">
        <v>4.7</v>
      </c>
      <c r="C12" s="510">
        <v>0</v>
      </c>
      <c r="E12" s="425"/>
      <c r="F12" s="954"/>
      <c r="G12" s="954"/>
      <c r="H12" s="954"/>
      <c r="J12" s="418" t="s">
        <v>110</v>
      </c>
    </row>
    <row r="13" spans="1:35">
      <c r="A13" s="428" t="s">
        <v>167</v>
      </c>
      <c r="B13" s="509">
        <v>1.1000000000000001</v>
      </c>
      <c r="C13" s="511"/>
      <c r="E13" s="425"/>
      <c r="F13" s="425"/>
      <c r="G13" s="425"/>
      <c r="H13" s="425"/>
      <c r="J13" s="418" t="s">
        <v>110</v>
      </c>
    </row>
    <row r="14" spans="1:35" ht="18" customHeight="1">
      <c r="B14" s="425"/>
      <c r="C14" s="425"/>
      <c r="D14" s="425"/>
      <c r="E14" s="425"/>
      <c r="F14" s="432"/>
      <c r="G14" s="425"/>
      <c r="H14" s="425"/>
      <c r="J14" s="418" t="s">
        <v>110</v>
      </c>
    </row>
    <row r="15" spans="1:35" ht="18" customHeight="1">
      <c r="A15" s="433"/>
      <c r="B15" s="434"/>
      <c r="I15" s="435"/>
      <c r="J15" s="418" t="s">
        <v>110</v>
      </c>
    </row>
    <row r="16" spans="1:35" ht="65.150000000000006" customHeight="1">
      <c r="A16" s="942" t="s">
        <v>168</v>
      </c>
      <c r="B16" s="943"/>
      <c r="C16" s="436" t="s">
        <v>114</v>
      </c>
      <c r="D16" s="436" t="s">
        <v>169</v>
      </c>
      <c r="E16" s="436" t="s">
        <v>115</v>
      </c>
      <c r="F16" s="436" t="s">
        <v>116</v>
      </c>
      <c r="G16" s="436" t="s">
        <v>117</v>
      </c>
      <c r="H16" s="436" t="s">
        <v>118</v>
      </c>
      <c r="I16" s="437" t="s">
        <v>119</v>
      </c>
      <c r="J16" s="514" t="s">
        <v>110</v>
      </c>
    </row>
    <row r="17" spans="1:35" customFormat="1" ht="18" hidden="1" customHeight="1">
      <c r="A17" s="515">
        <v>14</v>
      </c>
      <c r="B17" s="516"/>
      <c r="C17" s="517">
        <f>+B12*(1-I17)*(1+C12)</f>
        <v>4.7</v>
      </c>
      <c r="D17" s="517">
        <f t="shared" ref="D17:D26" si="0">A17*C17</f>
        <v>65.8</v>
      </c>
      <c r="E17" s="517">
        <f>+(F152+F153)/2</f>
        <v>243.5</v>
      </c>
      <c r="F17" s="517">
        <f>+D17+E17</f>
        <v>309.3</v>
      </c>
      <c r="G17" s="517">
        <f>+E17+(F154+F155)/2</f>
        <v>411.5</v>
      </c>
      <c r="H17" s="517">
        <f>+D17+G17</f>
        <v>477.3</v>
      </c>
      <c r="I17" s="518">
        <v>0</v>
      </c>
      <c r="J17" s="519"/>
      <c r="K17" s="520"/>
      <c r="L17" s="520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520"/>
      <c r="X17" s="520"/>
      <c r="Y17" s="520"/>
      <c r="Z17" s="520"/>
      <c r="AA17" s="520"/>
      <c r="AB17" s="520"/>
      <c r="AC17" s="520"/>
      <c r="AD17" s="520"/>
      <c r="AE17" s="520"/>
      <c r="AF17" s="520"/>
      <c r="AG17" s="520"/>
      <c r="AH17" s="520"/>
      <c r="AI17" s="520"/>
    </row>
    <row r="18" spans="1:35" customFormat="1" ht="18" hidden="1" customHeight="1">
      <c r="A18" s="521">
        <v>30</v>
      </c>
      <c r="B18" s="522"/>
      <c r="C18" s="523">
        <f>+$B$12*(1-I18)*(1+$C$12)</f>
        <v>4.7</v>
      </c>
      <c r="D18" s="523">
        <f t="shared" si="0"/>
        <v>141</v>
      </c>
      <c r="E18" s="523">
        <f>+E17</f>
        <v>243.5</v>
      </c>
      <c r="F18" s="523">
        <f t="shared" ref="F18:F26" si="1">+D18+E18</f>
        <v>384.5</v>
      </c>
      <c r="G18" s="523">
        <f>+G17</f>
        <v>411.5</v>
      </c>
      <c r="H18" s="523">
        <f t="shared" ref="H18:H26" si="2">+D18+G18</f>
        <v>552.5</v>
      </c>
      <c r="I18" s="524">
        <v>0</v>
      </c>
      <c r="J18" s="519"/>
      <c r="K18" s="520"/>
      <c r="L18" s="520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520"/>
      <c r="X18" s="520"/>
      <c r="Y18" s="520"/>
      <c r="Z18" s="520"/>
      <c r="AA18" s="520"/>
      <c r="AB18" s="520"/>
      <c r="AC18" s="520"/>
      <c r="AD18" s="520"/>
      <c r="AE18" s="520"/>
      <c r="AF18" s="520"/>
      <c r="AG18" s="520"/>
      <c r="AH18" s="520"/>
      <c r="AI18" s="520"/>
    </row>
    <row r="19" spans="1:35" ht="18" customHeight="1">
      <c r="A19" s="525" t="s">
        <v>120</v>
      </c>
      <c r="B19" s="438"/>
      <c r="C19" s="439">
        <f>+B12</f>
        <v>4.7</v>
      </c>
      <c r="D19" s="439"/>
      <c r="E19" s="439"/>
      <c r="F19" s="439"/>
      <c r="G19" s="439"/>
      <c r="H19" s="439"/>
      <c r="I19" s="439"/>
      <c r="J19" s="526" t="s">
        <v>110</v>
      </c>
    </row>
    <row r="20" spans="1:35" ht="18" customHeight="1">
      <c r="A20" s="944">
        <v>60</v>
      </c>
      <c r="B20" s="918"/>
      <c r="C20" s="439">
        <f t="shared" ref="C20:C26" si="3">+$B$12*(1-I20)*(1+$C$12)</f>
        <v>4.7</v>
      </c>
      <c r="D20" s="439">
        <f>A20*C20</f>
        <v>282</v>
      </c>
      <c r="E20" s="439">
        <f>+E18</f>
        <v>243.5</v>
      </c>
      <c r="F20" s="439">
        <f t="shared" si="1"/>
        <v>525.5</v>
      </c>
      <c r="G20" s="439">
        <f>+G18</f>
        <v>411.5</v>
      </c>
      <c r="H20" s="527">
        <f t="shared" si="2"/>
        <v>693.5</v>
      </c>
      <c r="I20" s="528">
        <v>0</v>
      </c>
      <c r="J20" s="529" t="s">
        <v>110</v>
      </c>
    </row>
    <row r="21" spans="1:35" ht="18" customHeight="1">
      <c r="A21" s="525">
        <v>90</v>
      </c>
      <c r="B21" s="438"/>
      <c r="C21" s="439">
        <f t="shared" si="3"/>
        <v>3.1019999999999999</v>
      </c>
      <c r="D21" s="439">
        <f t="shared" si="0"/>
        <v>279.18</v>
      </c>
      <c r="E21" s="439">
        <f t="shared" ref="E21:E26" si="4">+E20</f>
        <v>243.5</v>
      </c>
      <c r="F21" s="439">
        <f t="shared" si="1"/>
        <v>522.68000000000006</v>
      </c>
      <c r="G21" s="439">
        <f t="shared" ref="G21:G26" si="5">+G20</f>
        <v>411.5</v>
      </c>
      <c r="H21" s="527">
        <f t="shared" si="2"/>
        <v>690.68000000000006</v>
      </c>
      <c r="I21" s="528">
        <v>0.34</v>
      </c>
      <c r="J21" s="529" t="s">
        <v>110</v>
      </c>
    </row>
    <row r="22" spans="1:35" ht="18" customHeight="1">
      <c r="A22" s="944">
        <v>120</v>
      </c>
      <c r="B22" s="918"/>
      <c r="C22" s="439">
        <f t="shared" si="3"/>
        <v>3.1019999999999999</v>
      </c>
      <c r="D22" s="439">
        <f t="shared" si="0"/>
        <v>372.24</v>
      </c>
      <c r="E22" s="439">
        <f t="shared" si="4"/>
        <v>243.5</v>
      </c>
      <c r="F22" s="439">
        <f t="shared" si="1"/>
        <v>615.74</v>
      </c>
      <c r="G22" s="439">
        <f t="shared" si="5"/>
        <v>411.5</v>
      </c>
      <c r="H22" s="527">
        <f t="shared" si="2"/>
        <v>783.74</v>
      </c>
      <c r="I22" s="528">
        <v>0.34</v>
      </c>
      <c r="J22" s="529" t="s">
        <v>110</v>
      </c>
    </row>
    <row r="23" spans="1:35" ht="18" customHeight="1">
      <c r="A23" s="525">
        <v>150</v>
      </c>
      <c r="B23" s="438"/>
      <c r="C23" s="439">
        <f t="shared" si="3"/>
        <v>2.867</v>
      </c>
      <c r="D23" s="439">
        <f t="shared" si="0"/>
        <v>430.05</v>
      </c>
      <c r="E23" s="439">
        <f t="shared" si="4"/>
        <v>243.5</v>
      </c>
      <c r="F23" s="439">
        <f t="shared" si="1"/>
        <v>673.55</v>
      </c>
      <c r="G23" s="439">
        <f t="shared" si="5"/>
        <v>411.5</v>
      </c>
      <c r="H23" s="527">
        <f t="shared" si="2"/>
        <v>841.55</v>
      </c>
      <c r="I23" s="528">
        <v>0.39</v>
      </c>
      <c r="J23" s="529" t="s">
        <v>110</v>
      </c>
    </row>
    <row r="24" spans="1:35" ht="18" customHeight="1">
      <c r="A24" s="525">
        <v>180</v>
      </c>
      <c r="B24" s="438"/>
      <c r="C24" s="439">
        <f t="shared" si="3"/>
        <v>2.867</v>
      </c>
      <c r="D24" s="439">
        <f t="shared" si="0"/>
        <v>516.05999999999995</v>
      </c>
      <c r="E24" s="439">
        <f t="shared" si="4"/>
        <v>243.5</v>
      </c>
      <c r="F24" s="439">
        <f t="shared" si="1"/>
        <v>759.56</v>
      </c>
      <c r="G24" s="439">
        <f t="shared" si="5"/>
        <v>411.5</v>
      </c>
      <c r="H24" s="527">
        <f t="shared" si="2"/>
        <v>927.56</v>
      </c>
      <c r="I24" s="528">
        <v>0.39</v>
      </c>
      <c r="J24" s="530" t="s">
        <v>110</v>
      </c>
      <c r="M24" s="417"/>
      <c r="N24" s="417"/>
      <c r="O24" s="417"/>
      <c r="P24" s="417"/>
      <c r="Q24" s="417"/>
      <c r="R24" s="417"/>
      <c r="S24" s="417"/>
      <c r="T24" s="417"/>
      <c r="U24" s="417"/>
      <c r="V24" s="417"/>
    </row>
    <row r="25" spans="1:35" customFormat="1" ht="18" hidden="1" customHeight="1">
      <c r="A25" s="515">
        <v>210</v>
      </c>
      <c r="B25" s="516"/>
      <c r="C25" s="517">
        <f t="shared" si="3"/>
        <v>2.867</v>
      </c>
      <c r="D25" s="517">
        <f t="shared" si="0"/>
        <v>602.07000000000005</v>
      </c>
      <c r="E25" s="517">
        <f t="shared" si="4"/>
        <v>243.5</v>
      </c>
      <c r="F25" s="517">
        <f t="shared" si="1"/>
        <v>845.57</v>
      </c>
      <c r="G25" s="517">
        <f t="shared" si="5"/>
        <v>411.5</v>
      </c>
      <c r="H25" s="531">
        <f t="shared" si="2"/>
        <v>1013.57</v>
      </c>
      <c r="I25" s="518">
        <v>0.39</v>
      </c>
      <c r="J25" s="519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0"/>
      <c r="AB25" s="520"/>
      <c r="AC25" s="520"/>
      <c r="AD25" s="520"/>
      <c r="AE25" s="520"/>
      <c r="AF25" s="520"/>
      <c r="AG25" s="520"/>
      <c r="AH25" s="520"/>
      <c r="AI25" s="520"/>
    </row>
    <row r="26" spans="1:35" customFormat="1" ht="18" hidden="1" customHeight="1">
      <c r="A26" s="521">
        <v>300</v>
      </c>
      <c r="B26" s="522"/>
      <c r="C26" s="523">
        <f t="shared" si="3"/>
        <v>2.867</v>
      </c>
      <c r="D26" s="523">
        <f t="shared" si="0"/>
        <v>860.1</v>
      </c>
      <c r="E26" s="523">
        <f t="shared" si="4"/>
        <v>243.5</v>
      </c>
      <c r="F26" s="523">
        <f t="shared" si="1"/>
        <v>1103.5999999999999</v>
      </c>
      <c r="G26" s="523">
        <f t="shared" si="5"/>
        <v>411.5</v>
      </c>
      <c r="H26" s="532">
        <f t="shared" si="2"/>
        <v>1271.5999999999999</v>
      </c>
      <c r="I26" s="524">
        <v>0.39</v>
      </c>
      <c r="J26" s="519"/>
      <c r="K26" s="520"/>
      <c r="L26" s="520"/>
      <c r="M26" s="520"/>
      <c r="N26" s="520"/>
      <c r="O26" s="520"/>
      <c r="P26" s="520"/>
      <c r="Q26" s="520"/>
      <c r="R26" s="520"/>
      <c r="S26" s="520"/>
      <c r="T26" s="520"/>
      <c r="U26" s="520"/>
      <c r="V26" s="520"/>
      <c r="W26" s="520"/>
      <c r="X26" s="520"/>
      <c r="Y26" s="520"/>
      <c r="Z26" s="520"/>
      <c r="AA26" s="520"/>
      <c r="AB26" s="520"/>
      <c r="AC26" s="520"/>
      <c r="AD26" s="520"/>
      <c r="AE26" s="520"/>
      <c r="AF26" s="520"/>
      <c r="AG26" s="520"/>
      <c r="AH26" s="520"/>
      <c r="AI26" s="520"/>
    </row>
    <row r="27" spans="1:35" customFormat="1" ht="18" hidden="1" customHeight="1">
      <c r="A27" s="919"/>
      <c r="B27" s="920"/>
      <c r="C27" s="523"/>
      <c r="D27" s="523"/>
      <c r="E27" s="523"/>
      <c r="F27" s="523"/>
      <c r="G27" s="523"/>
      <c r="H27" s="523"/>
      <c r="I27" s="524"/>
      <c r="J27" s="519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520"/>
      <c r="W27" s="520"/>
      <c r="X27" s="520"/>
      <c r="Y27" s="520"/>
      <c r="Z27" s="520"/>
      <c r="AA27" s="520"/>
      <c r="AB27" s="520"/>
      <c r="AC27" s="520"/>
      <c r="AD27" s="520"/>
      <c r="AE27" s="520"/>
      <c r="AF27" s="520"/>
      <c r="AG27" s="520"/>
      <c r="AH27" s="520"/>
      <c r="AI27" s="520"/>
    </row>
    <row r="28" spans="1:35" ht="18" customHeight="1">
      <c r="A28" s="533" t="s">
        <v>170</v>
      </c>
      <c r="B28" s="534"/>
      <c r="C28" s="535"/>
      <c r="D28" s="535"/>
      <c r="E28" s="535"/>
      <c r="F28" s="535"/>
      <c r="G28" s="535"/>
      <c r="H28" s="535"/>
      <c r="I28" s="536"/>
      <c r="J28" s="526" t="s">
        <v>110</v>
      </c>
    </row>
    <row r="29" spans="1:35" ht="18" customHeight="1">
      <c r="A29" s="537"/>
      <c r="B29" s="440"/>
      <c r="C29" s="441"/>
      <c r="D29" s="441"/>
      <c r="E29" s="441"/>
      <c r="F29" s="441"/>
      <c r="G29" s="441"/>
      <c r="H29" s="441"/>
      <c r="I29" s="538"/>
      <c r="J29" s="529" t="s">
        <v>110</v>
      </c>
    </row>
    <row r="30" spans="1:35" ht="51" customHeight="1">
      <c r="A30" s="942" t="s">
        <v>171</v>
      </c>
      <c r="B30" s="943"/>
      <c r="C30" s="436" t="s">
        <v>172</v>
      </c>
      <c r="D30" s="436" t="s">
        <v>173</v>
      </c>
      <c r="E30" s="436" t="s">
        <v>115</v>
      </c>
      <c r="F30" s="436" t="s">
        <v>116</v>
      </c>
      <c r="G30" s="436" t="s">
        <v>174</v>
      </c>
      <c r="H30" s="436" t="s">
        <v>175</v>
      </c>
      <c r="I30" s="437" t="s">
        <v>119</v>
      </c>
      <c r="J30" s="530" t="s">
        <v>110</v>
      </c>
    </row>
    <row r="31" spans="1:35" customFormat="1" ht="18" hidden="1" customHeight="1">
      <c r="A31" s="515">
        <v>14</v>
      </c>
      <c r="B31" s="516"/>
      <c r="C31" s="517">
        <f>+C17/$B$44</f>
        <v>1.8800000000000001</v>
      </c>
      <c r="D31" s="517">
        <f t="shared" ref="D31:D40" si="6">A31*C31</f>
        <v>26.32</v>
      </c>
      <c r="E31" s="517">
        <f>+E17/$B$44</f>
        <v>97.4</v>
      </c>
      <c r="F31" s="517">
        <f>+D31+E31</f>
        <v>123.72</v>
      </c>
      <c r="G31" s="517">
        <f>+G17/$B$44</f>
        <v>164.6</v>
      </c>
      <c r="H31" s="517">
        <f>+D31+G31</f>
        <v>190.92</v>
      </c>
      <c r="I31" s="614">
        <f>+I17</f>
        <v>0</v>
      </c>
      <c r="J31" s="519"/>
      <c r="K31" s="520"/>
      <c r="L31" s="520"/>
      <c r="M31" s="520"/>
      <c r="N31" s="520"/>
      <c r="O31" s="520"/>
      <c r="P31" s="520"/>
      <c r="Q31" s="520"/>
      <c r="R31" s="520"/>
      <c r="S31" s="520"/>
      <c r="T31" s="520"/>
      <c r="U31" s="520"/>
      <c r="V31" s="520"/>
      <c r="W31" s="520"/>
      <c r="X31" s="520"/>
      <c r="Y31" s="520"/>
      <c r="Z31" s="520"/>
      <c r="AA31" s="520"/>
      <c r="AB31" s="520"/>
      <c r="AC31" s="520"/>
      <c r="AD31" s="520"/>
      <c r="AE31" s="520"/>
      <c r="AF31" s="520"/>
      <c r="AG31" s="520"/>
      <c r="AH31" s="520"/>
      <c r="AI31" s="520"/>
    </row>
    <row r="32" spans="1:35" customFormat="1" ht="18" hidden="1" customHeight="1">
      <c r="A32" s="521">
        <v>30</v>
      </c>
      <c r="B32" s="522"/>
      <c r="C32" s="523">
        <f>+C18/$B$44</f>
        <v>1.8800000000000001</v>
      </c>
      <c r="D32" s="523">
        <f t="shared" si="6"/>
        <v>56.400000000000006</v>
      </c>
      <c r="E32" s="523">
        <f>+E18/$B$44</f>
        <v>97.4</v>
      </c>
      <c r="F32" s="523">
        <f t="shared" ref="F32:F40" si="7">+D32+E32</f>
        <v>153.80000000000001</v>
      </c>
      <c r="G32" s="523">
        <f>+G18/$B$44</f>
        <v>164.6</v>
      </c>
      <c r="H32" s="523">
        <f t="shared" ref="H32:H40" si="8">+D32+G32</f>
        <v>221</v>
      </c>
      <c r="I32" s="571">
        <f>+I18</f>
        <v>0</v>
      </c>
      <c r="J32" s="519"/>
      <c r="K32" s="520"/>
      <c r="L32" s="520"/>
      <c r="M32" s="520"/>
      <c r="N32" s="520"/>
      <c r="O32" s="520"/>
      <c r="P32" s="520"/>
      <c r="Q32" s="520"/>
      <c r="R32" s="520"/>
      <c r="S32" s="520"/>
      <c r="T32" s="520"/>
      <c r="U32" s="520"/>
      <c r="V32" s="520"/>
      <c r="W32" s="520"/>
      <c r="X32" s="520"/>
      <c r="Y32" s="520"/>
      <c r="Z32" s="520"/>
      <c r="AA32" s="520"/>
      <c r="AB32" s="520"/>
      <c r="AC32" s="520"/>
      <c r="AD32" s="520"/>
      <c r="AE32" s="520"/>
      <c r="AF32" s="520"/>
      <c r="AG32" s="520"/>
      <c r="AH32" s="520"/>
      <c r="AI32" s="520"/>
    </row>
    <row r="33" spans="1:35" ht="18" customHeight="1">
      <c r="A33" s="525" t="s">
        <v>120</v>
      </c>
      <c r="B33" s="438"/>
      <c r="C33" s="439">
        <f>+B12/B44</f>
        <v>1.8800000000000001</v>
      </c>
      <c r="D33" s="439"/>
      <c r="E33" s="439"/>
      <c r="F33" s="439"/>
      <c r="G33" s="439"/>
      <c r="H33" s="439"/>
      <c r="I33" s="439"/>
      <c r="J33" s="526" t="s">
        <v>110</v>
      </c>
    </row>
    <row r="34" spans="1:35" ht="18" customHeight="1">
      <c r="A34" s="944">
        <v>60</v>
      </c>
      <c r="B34" s="918"/>
      <c r="C34" s="439">
        <f t="shared" ref="C34:C40" si="9">+C20/$B$44</f>
        <v>1.8800000000000001</v>
      </c>
      <c r="D34" s="439">
        <f t="shared" si="6"/>
        <v>112.80000000000001</v>
      </c>
      <c r="E34" s="439">
        <f t="shared" ref="E34:E40" si="10">+E20/$B$44</f>
        <v>97.4</v>
      </c>
      <c r="F34" s="439">
        <f t="shared" si="7"/>
        <v>210.20000000000002</v>
      </c>
      <c r="G34" s="439">
        <f t="shared" ref="G34:G40" si="11">+G20/$B$44</f>
        <v>164.6</v>
      </c>
      <c r="H34" s="527">
        <f t="shared" si="8"/>
        <v>277.39999999999998</v>
      </c>
      <c r="I34" s="615">
        <f t="shared" ref="I34:I40" si="12">+I20</f>
        <v>0</v>
      </c>
      <c r="J34" s="529" t="s">
        <v>110</v>
      </c>
    </row>
    <row r="35" spans="1:35" ht="18" customHeight="1">
      <c r="A35" s="525">
        <v>90</v>
      </c>
      <c r="B35" s="438"/>
      <c r="C35" s="439">
        <f t="shared" si="9"/>
        <v>1.2407999999999999</v>
      </c>
      <c r="D35" s="439">
        <f t="shared" si="6"/>
        <v>111.672</v>
      </c>
      <c r="E35" s="439">
        <f t="shared" si="10"/>
        <v>97.4</v>
      </c>
      <c r="F35" s="439">
        <f t="shared" si="7"/>
        <v>209.072</v>
      </c>
      <c r="G35" s="439">
        <f t="shared" si="11"/>
        <v>164.6</v>
      </c>
      <c r="H35" s="527">
        <f t="shared" si="8"/>
        <v>276.27199999999999</v>
      </c>
      <c r="I35" s="615">
        <f t="shared" si="12"/>
        <v>0.34</v>
      </c>
      <c r="J35" s="529" t="s">
        <v>110</v>
      </c>
    </row>
    <row r="36" spans="1:35" ht="18" customHeight="1">
      <c r="A36" s="944">
        <v>120</v>
      </c>
      <c r="B36" s="918"/>
      <c r="C36" s="439">
        <f t="shared" si="9"/>
        <v>1.2407999999999999</v>
      </c>
      <c r="D36" s="439">
        <f t="shared" si="6"/>
        <v>148.89599999999999</v>
      </c>
      <c r="E36" s="439">
        <f t="shared" si="10"/>
        <v>97.4</v>
      </c>
      <c r="F36" s="439">
        <f t="shared" si="7"/>
        <v>246.29599999999999</v>
      </c>
      <c r="G36" s="439">
        <f t="shared" si="11"/>
        <v>164.6</v>
      </c>
      <c r="H36" s="527">
        <f t="shared" si="8"/>
        <v>313.49599999999998</v>
      </c>
      <c r="I36" s="615">
        <f t="shared" si="12"/>
        <v>0.34</v>
      </c>
      <c r="J36" s="529" t="s">
        <v>110</v>
      </c>
    </row>
    <row r="37" spans="1:35" ht="18" customHeight="1">
      <c r="A37" s="525">
        <v>150</v>
      </c>
      <c r="B37" s="438"/>
      <c r="C37" s="439">
        <f t="shared" si="9"/>
        <v>1.1468</v>
      </c>
      <c r="D37" s="439">
        <f t="shared" si="6"/>
        <v>172.02</v>
      </c>
      <c r="E37" s="439">
        <f t="shared" si="10"/>
        <v>97.4</v>
      </c>
      <c r="F37" s="439">
        <f t="shared" si="7"/>
        <v>269.42</v>
      </c>
      <c r="G37" s="439">
        <f t="shared" si="11"/>
        <v>164.6</v>
      </c>
      <c r="H37" s="527">
        <f t="shared" si="8"/>
        <v>336.62</v>
      </c>
      <c r="I37" s="615">
        <f t="shared" si="12"/>
        <v>0.39</v>
      </c>
      <c r="J37" s="529" t="s">
        <v>110</v>
      </c>
    </row>
    <row r="38" spans="1:35" ht="18" customHeight="1">
      <c r="A38" s="525">
        <v>180</v>
      </c>
      <c r="B38" s="438"/>
      <c r="C38" s="439">
        <f t="shared" si="9"/>
        <v>1.1468</v>
      </c>
      <c r="D38" s="439">
        <f t="shared" si="6"/>
        <v>206.42400000000001</v>
      </c>
      <c r="E38" s="439">
        <f t="shared" si="10"/>
        <v>97.4</v>
      </c>
      <c r="F38" s="439">
        <f t="shared" si="7"/>
        <v>303.82400000000001</v>
      </c>
      <c r="G38" s="439">
        <f t="shared" si="11"/>
        <v>164.6</v>
      </c>
      <c r="H38" s="527">
        <f t="shared" si="8"/>
        <v>371.024</v>
      </c>
      <c r="I38" s="615">
        <f t="shared" si="12"/>
        <v>0.39</v>
      </c>
      <c r="J38" s="530" t="s">
        <v>110</v>
      </c>
    </row>
    <row r="39" spans="1:35" customFormat="1" ht="18" hidden="1" customHeight="1">
      <c r="A39" s="515">
        <v>210</v>
      </c>
      <c r="B39" s="516"/>
      <c r="C39" s="517">
        <f t="shared" si="9"/>
        <v>1.1468</v>
      </c>
      <c r="D39" s="517">
        <f t="shared" si="6"/>
        <v>240.828</v>
      </c>
      <c r="E39" s="517">
        <f t="shared" si="10"/>
        <v>97.4</v>
      </c>
      <c r="F39" s="517">
        <f t="shared" si="7"/>
        <v>338.22800000000001</v>
      </c>
      <c r="G39" s="517">
        <f t="shared" si="11"/>
        <v>164.6</v>
      </c>
      <c r="H39" s="531">
        <f t="shared" si="8"/>
        <v>405.428</v>
      </c>
      <c r="I39" s="614">
        <f t="shared" si="12"/>
        <v>0.39</v>
      </c>
      <c r="J39" s="519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520"/>
      <c r="Z39" s="520"/>
      <c r="AA39" s="520"/>
      <c r="AB39" s="520"/>
      <c r="AC39" s="520"/>
      <c r="AD39" s="520"/>
      <c r="AE39" s="520"/>
      <c r="AF39" s="520"/>
      <c r="AG39" s="520"/>
      <c r="AH39" s="520"/>
      <c r="AI39" s="520"/>
    </row>
    <row r="40" spans="1:35" customFormat="1" ht="18" hidden="1" customHeight="1">
      <c r="A40" s="521">
        <v>300</v>
      </c>
      <c r="B40" s="522"/>
      <c r="C40" s="523">
        <f t="shared" si="9"/>
        <v>1.1468</v>
      </c>
      <c r="D40" s="523">
        <f t="shared" si="6"/>
        <v>344.04</v>
      </c>
      <c r="E40" s="523">
        <f t="shared" si="10"/>
        <v>97.4</v>
      </c>
      <c r="F40" s="523">
        <f t="shared" si="7"/>
        <v>441.44000000000005</v>
      </c>
      <c r="G40" s="523">
        <f t="shared" si="11"/>
        <v>164.6</v>
      </c>
      <c r="H40" s="532">
        <f t="shared" si="8"/>
        <v>508.64</v>
      </c>
      <c r="I40" s="571">
        <f t="shared" si="12"/>
        <v>0.39</v>
      </c>
      <c r="J40" s="519"/>
      <c r="K40" s="520"/>
      <c r="L40" s="520"/>
      <c r="M40" s="520"/>
      <c r="N40" s="520"/>
      <c r="O40" s="520"/>
      <c r="P40" s="520"/>
      <c r="Q40" s="520"/>
      <c r="R40" s="520"/>
      <c r="S40" s="520"/>
      <c r="T40" s="520"/>
      <c r="U40" s="520"/>
      <c r="V40" s="520"/>
      <c r="W40" s="520"/>
      <c r="X40" s="520"/>
      <c r="Y40" s="520"/>
      <c r="Z40" s="520"/>
      <c r="AA40" s="520"/>
      <c r="AB40" s="520"/>
      <c r="AC40" s="520"/>
      <c r="AD40" s="520"/>
      <c r="AE40" s="520"/>
      <c r="AF40" s="520"/>
      <c r="AG40" s="520"/>
      <c r="AH40" s="520"/>
      <c r="AI40" s="520"/>
    </row>
    <row r="41" spans="1:35" customFormat="1" ht="18" hidden="1" customHeight="1">
      <c r="A41" s="919"/>
      <c r="B41" s="920"/>
      <c r="C41" s="523"/>
      <c r="D41" s="523"/>
      <c r="E41" s="523"/>
      <c r="F41" s="523"/>
      <c r="G41" s="523"/>
      <c r="H41" s="523"/>
      <c r="I41" s="571"/>
      <c r="J41" s="519"/>
      <c r="K41" s="520"/>
      <c r="L41" s="520"/>
      <c r="M41" s="520"/>
      <c r="N41" s="520"/>
      <c r="O41" s="520"/>
      <c r="P41" s="520"/>
      <c r="Q41" s="520"/>
      <c r="R41" s="520"/>
      <c r="S41" s="520"/>
      <c r="T41" s="520"/>
      <c r="U41" s="520"/>
      <c r="V41" s="520"/>
      <c r="W41" s="520"/>
      <c r="X41" s="520"/>
      <c r="Y41" s="520"/>
      <c r="Z41" s="520"/>
      <c r="AA41" s="520"/>
      <c r="AB41" s="520"/>
      <c r="AC41" s="520"/>
      <c r="AD41" s="520"/>
      <c r="AE41" s="520"/>
      <c r="AF41" s="520"/>
      <c r="AG41" s="520"/>
      <c r="AH41" s="520"/>
      <c r="AI41" s="520"/>
    </row>
    <row r="42" spans="1:35" ht="18" customHeight="1">
      <c r="A42" s="533" t="str">
        <f>+A28</f>
        <v>Montering og demontering er beregnet ved søjlebjælkehus, 50% over 2,25m og 50% under.</v>
      </c>
      <c r="B42" s="534"/>
      <c r="C42" s="535"/>
      <c r="D42" s="535"/>
      <c r="E42" s="535"/>
      <c r="F42" s="535"/>
      <c r="G42" s="535"/>
      <c r="H42" s="535"/>
      <c r="I42" s="536"/>
      <c r="J42" s="526" t="s">
        <v>110</v>
      </c>
    </row>
    <row r="43" spans="1:35" ht="18" customHeight="1">
      <c r="A43" s="537"/>
      <c r="B43" s="440"/>
      <c r="C43" s="441"/>
      <c r="D43" s="441"/>
      <c r="E43" s="441"/>
      <c r="F43" s="441"/>
      <c r="G43" s="441"/>
      <c r="H43" s="441"/>
      <c r="I43" s="538"/>
      <c r="J43" s="529" t="s">
        <v>110</v>
      </c>
    </row>
    <row r="44" spans="1:35" ht="18" customHeight="1">
      <c r="A44" s="442" t="s">
        <v>176</v>
      </c>
      <c r="B44" s="539">
        <v>2.5</v>
      </c>
      <c r="C44" s="540" t="s">
        <v>177</v>
      </c>
      <c r="D44" s="541"/>
      <c r="E44" s="541"/>
      <c r="F44" s="541"/>
      <c r="G44" s="541"/>
      <c r="H44" s="541"/>
      <c r="I44" s="542"/>
      <c r="J44" s="529" t="s">
        <v>110</v>
      </c>
    </row>
    <row r="45" spans="1:35" ht="18" customHeight="1">
      <c r="A45" s="543"/>
      <c r="B45" s="544"/>
      <c r="C45" s="545"/>
      <c r="D45" s="545"/>
      <c r="E45" s="545"/>
      <c r="F45" s="545"/>
      <c r="G45" s="545"/>
      <c r="H45" s="545"/>
      <c r="I45" s="546"/>
      <c r="J45" s="530" t="s">
        <v>110</v>
      </c>
    </row>
    <row r="46" spans="1:35" ht="18" customHeight="1">
      <c r="A46" s="434"/>
      <c r="B46" s="434"/>
      <c r="C46" s="443"/>
      <c r="D46" s="443"/>
      <c r="E46" s="443"/>
      <c r="F46" s="443"/>
      <c r="G46" s="443"/>
      <c r="H46" s="443"/>
      <c r="I46" s="444"/>
      <c r="J46" s="445" t="s">
        <v>110</v>
      </c>
    </row>
    <row r="47" spans="1:35" ht="51" customHeight="1">
      <c r="A47" s="942" t="s">
        <v>121</v>
      </c>
      <c r="B47" s="943"/>
      <c r="C47" s="501" t="s">
        <v>114</v>
      </c>
      <c r="D47" s="501" t="s">
        <v>169</v>
      </c>
      <c r="E47" s="501" t="s">
        <v>115</v>
      </c>
      <c r="F47" s="501" t="s">
        <v>116</v>
      </c>
      <c r="G47" s="501" t="s">
        <v>117</v>
      </c>
      <c r="H47" s="501" t="s">
        <v>118</v>
      </c>
      <c r="I47" s="501" t="s">
        <v>119</v>
      </c>
      <c r="J47" s="547" t="s">
        <v>110</v>
      </c>
    </row>
    <row r="48" spans="1:35" customFormat="1" ht="18" hidden="1" customHeight="1" thickBot="1">
      <c r="A48" s="515">
        <v>14</v>
      </c>
      <c r="B48" s="516"/>
      <c r="C48" s="517">
        <f>+B13*(1+C12)</f>
        <v>1.1000000000000001</v>
      </c>
      <c r="D48" s="517">
        <f t="shared" ref="D48:D57" si="13">A48*C48</f>
        <v>15.400000000000002</v>
      </c>
      <c r="E48" s="517">
        <f>+F173</f>
        <v>30</v>
      </c>
      <c r="F48" s="517">
        <f>+D48+E48</f>
        <v>45.400000000000006</v>
      </c>
      <c r="G48" s="517">
        <f>+E48+F175</f>
        <v>44</v>
      </c>
      <c r="H48" s="517">
        <f>+D48+G48</f>
        <v>59.400000000000006</v>
      </c>
      <c r="I48" s="614">
        <f>+I17</f>
        <v>0</v>
      </c>
      <c r="J48" s="548"/>
      <c r="K48" s="520"/>
      <c r="L48" s="520"/>
      <c r="M48" s="418"/>
      <c r="N48" s="418"/>
      <c r="O48" s="418"/>
      <c r="P48" s="418"/>
      <c r="Q48" s="418"/>
      <c r="R48" s="418"/>
      <c r="S48" s="520"/>
      <c r="T48" s="520"/>
      <c r="U48" s="520"/>
      <c r="V48" s="520"/>
      <c r="W48" s="520"/>
      <c r="X48" s="520"/>
      <c r="Y48" s="520"/>
      <c r="Z48" s="520"/>
      <c r="AA48" s="520"/>
      <c r="AB48" s="520"/>
      <c r="AC48" s="520"/>
      <c r="AD48" s="520"/>
      <c r="AE48" s="520"/>
      <c r="AF48" s="520"/>
      <c r="AG48" s="520"/>
      <c r="AH48" s="520"/>
      <c r="AI48" s="520"/>
    </row>
    <row r="49" spans="1:35" customFormat="1" ht="18" hidden="1" customHeight="1">
      <c r="A49" s="521">
        <v>30</v>
      </c>
      <c r="B49" s="522"/>
      <c r="C49" s="523">
        <f>+$C$48*(1-I49)</f>
        <v>1.1000000000000001</v>
      </c>
      <c r="D49" s="523">
        <f t="shared" si="13"/>
        <v>33</v>
      </c>
      <c r="E49" s="523">
        <f t="shared" ref="E49:E57" si="14">+E48</f>
        <v>30</v>
      </c>
      <c r="F49" s="523">
        <f t="shared" ref="F49:F57" si="15">+D49+E49</f>
        <v>63</v>
      </c>
      <c r="G49" s="523">
        <f t="shared" ref="G49:G57" si="16">+G48</f>
        <v>44</v>
      </c>
      <c r="H49" s="523">
        <f t="shared" ref="H49:H57" si="17">+D49+G49</f>
        <v>77</v>
      </c>
      <c r="I49" s="571">
        <f>+I18</f>
        <v>0</v>
      </c>
      <c r="J49" s="519"/>
      <c r="K49" s="520"/>
      <c r="L49" s="520"/>
      <c r="M49" s="418"/>
      <c r="N49" s="418"/>
      <c r="O49" s="418"/>
      <c r="P49" s="418"/>
      <c r="Q49" s="418"/>
      <c r="R49" s="418"/>
      <c r="S49" s="520"/>
      <c r="T49" s="520"/>
      <c r="U49" s="520"/>
      <c r="V49" s="520"/>
      <c r="W49" s="520"/>
      <c r="X49" s="520"/>
      <c r="Y49" s="520"/>
      <c r="Z49" s="520"/>
      <c r="AA49" s="520"/>
      <c r="AB49" s="520"/>
      <c r="AC49" s="520"/>
      <c r="AD49" s="520"/>
      <c r="AE49" s="520"/>
      <c r="AF49" s="520"/>
      <c r="AG49" s="520"/>
      <c r="AH49" s="520"/>
      <c r="AI49" s="520"/>
    </row>
    <row r="50" spans="1:35" ht="18" customHeight="1">
      <c r="A50" s="525" t="s">
        <v>120</v>
      </c>
      <c r="B50" s="438"/>
      <c r="C50" s="439">
        <f>+B13</f>
        <v>1.1000000000000001</v>
      </c>
      <c r="D50" s="439"/>
      <c r="E50" s="439"/>
      <c r="F50" s="439"/>
      <c r="G50" s="439"/>
      <c r="H50" s="439"/>
      <c r="I50" s="549"/>
      <c r="J50" s="550" t="s">
        <v>110</v>
      </c>
    </row>
    <row r="51" spans="1:35" ht="18" customHeight="1">
      <c r="A51" s="944">
        <v>60</v>
      </c>
      <c r="B51" s="918"/>
      <c r="C51" s="439">
        <f t="shared" ref="C51:C57" si="18">+$C$48*(1-I51)</f>
        <v>1.1000000000000001</v>
      </c>
      <c r="D51" s="439">
        <f t="shared" si="13"/>
        <v>66</v>
      </c>
      <c r="E51" s="439">
        <f>+E49</f>
        <v>30</v>
      </c>
      <c r="F51" s="439">
        <f t="shared" si="15"/>
        <v>96</v>
      </c>
      <c r="G51" s="439">
        <f>+G49</f>
        <v>44</v>
      </c>
      <c r="H51" s="527">
        <f t="shared" si="17"/>
        <v>110</v>
      </c>
      <c r="I51" s="616">
        <f>+I20</f>
        <v>0</v>
      </c>
      <c r="J51" s="551" t="s">
        <v>110</v>
      </c>
    </row>
    <row r="52" spans="1:35" ht="18" customHeight="1">
      <c r="A52" s="525">
        <v>90</v>
      </c>
      <c r="B52" s="438"/>
      <c r="C52" s="439">
        <f t="shared" si="18"/>
        <v>0.72599999999999998</v>
      </c>
      <c r="D52" s="439">
        <f t="shared" si="13"/>
        <v>65.34</v>
      </c>
      <c r="E52" s="439">
        <f t="shared" si="14"/>
        <v>30</v>
      </c>
      <c r="F52" s="439">
        <f t="shared" si="15"/>
        <v>95.34</v>
      </c>
      <c r="G52" s="439">
        <f t="shared" si="16"/>
        <v>44</v>
      </c>
      <c r="H52" s="527">
        <f t="shared" si="17"/>
        <v>109.34</v>
      </c>
      <c r="I52" s="616">
        <f t="shared" ref="I52:I57" si="19">+I21</f>
        <v>0.34</v>
      </c>
      <c r="J52" s="551" t="s">
        <v>110</v>
      </c>
    </row>
    <row r="53" spans="1:35" ht="18" customHeight="1">
      <c r="A53" s="944">
        <v>120</v>
      </c>
      <c r="B53" s="918"/>
      <c r="C53" s="439">
        <f>+$C$48*(1-I53)</f>
        <v>0.72599999999999998</v>
      </c>
      <c r="D53" s="439">
        <f t="shared" si="13"/>
        <v>87.12</v>
      </c>
      <c r="E53" s="439">
        <f t="shared" si="14"/>
        <v>30</v>
      </c>
      <c r="F53" s="439">
        <f t="shared" si="15"/>
        <v>117.12</v>
      </c>
      <c r="G53" s="439">
        <f t="shared" si="16"/>
        <v>44</v>
      </c>
      <c r="H53" s="527">
        <f t="shared" si="17"/>
        <v>131.12</v>
      </c>
      <c r="I53" s="616">
        <f t="shared" si="19"/>
        <v>0.34</v>
      </c>
      <c r="J53" s="551" t="s">
        <v>110</v>
      </c>
    </row>
    <row r="54" spans="1:35" ht="18" customHeight="1">
      <c r="A54" s="525">
        <v>150</v>
      </c>
      <c r="B54" s="438"/>
      <c r="C54" s="439">
        <f t="shared" si="18"/>
        <v>0.67100000000000004</v>
      </c>
      <c r="D54" s="439">
        <f t="shared" si="13"/>
        <v>100.65</v>
      </c>
      <c r="E54" s="439">
        <f t="shared" si="14"/>
        <v>30</v>
      </c>
      <c r="F54" s="439">
        <f t="shared" si="15"/>
        <v>130.65</v>
      </c>
      <c r="G54" s="439">
        <f t="shared" si="16"/>
        <v>44</v>
      </c>
      <c r="H54" s="527">
        <f t="shared" si="17"/>
        <v>144.65</v>
      </c>
      <c r="I54" s="616">
        <f t="shared" si="19"/>
        <v>0.39</v>
      </c>
      <c r="J54" s="551" t="s">
        <v>110</v>
      </c>
    </row>
    <row r="55" spans="1:35" ht="18" customHeight="1">
      <c r="A55" s="525">
        <v>180</v>
      </c>
      <c r="B55" s="438"/>
      <c r="C55" s="439">
        <f t="shared" si="18"/>
        <v>0.67100000000000004</v>
      </c>
      <c r="D55" s="439">
        <f t="shared" si="13"/>
        <v>120.78</v>
      </c>
      <c r="E55" s="439">
        <f t="shared" si="14"/>
        <v>30</v>
      </c>
      <c r="F55" s="439">
        <f t="shared" si="15"/>
        <v>150.78</v>
      </c>
      <c r="G55" s="439">
        <f t="shared" si="16"/>
        <v>44</v>
      </c>
      <c r="H55" s="527">
        <f t="shared" si="17"/>
        <v>164.78</v>
      </c>
      <c r="I55" s="616">
        <f t="shared" si="19"/>
        <v>0.39</v>
      </c>
      <c r="J55" s="552" t="s">
        <v>110</v>
      </c>
    </row>
    <row r="56" spans="1:35" customFormat="1" ht="18" hidden="1" customHeight="1" thickBot="1">
      <c r="A56" s="515">
        <v>210</v>
      </c>
      <c r="B56" s="516"/>
      <c r="C56" s="517">
        <f t="shared" si="18"/>
        <v>0.67100000000000004</v>
      </c>
      <c r="D56" s="517">
        <f t="shared" si="13"/>
        <v>140.91</v>
      </c>
      <c r="E56" s="517">
        <f t="shared" si="14"/>
        <v>30</v>
      </c>
      <c r="F56" s="517">
        <f t="shared" si="15"/>
        <v>170.91</v>
      </c>
      <c r="G56" s="517">
        <f t="shared" si="16"/>
        <v>44</v>
      </c>
      <c r="H56" s="531">
        <f t="shared" si="17"/>
        <v>184.91</v>
      </c>
      <c r="I56" s="614">
        <f t="shared" si="19"/>
        <v>0.39</v>
      </c>
      <c r="J56" s="548"/>
      <c r="K56" s="520"/>
      <c r="L56" s="520"/>
      <c r="M56" s="520"/>
      <c r="N56" s="520"/>
      <c r="O56" s="520"/>
      <c r="P56" s="520"/>
      <c r="Q56" s="520"/>
      <c r="R56" s="520"/>
      <c r="S56" s="520"/>
      <c r="T56" s="520"/>
      <c r="U56" s="520"/>
      <c r="V56" s="520"/>
      <c r="W56" s="520"/>
      <c r="X56" s="520"/>
      <c r="Y56" s="520"/>
      <c r="Z56" s="520"/>
      <c r="AA56" s="520"/>
      <c r="AB56" s="520"/>
      <c r="AC56" s="520"/>
      <c r="AD56" s="520"/>
      <c r="AE56" s="520"/>
      <c r="AF56" s="520"/>
      <c r="AG56" s="520"/>
      <c r="AH56" s="520"/>
      <c r="AI56" s="520"/>
    </row>
    <row r="57" spans="1:35" customFormat="1" ht="18.75" hidden="1" customHeight="1" thickBot="1">
      <c r="A57" s="521">
        <v>300</v>
      </c>
      <c r="B57" s="522"/>
      <c r="C57" s="523">
        <f t="shared" si="18"/>
        <v>0.67100000000000004</v>
      </c>
      <c r="D57" s="523">
        <f t="shared" si="13"/>
        <v>201.3</v>
      </c>
      <c r="E57" s="523">
        <f t="shared" si="14"/>
        <v>30</v>
      </c>
      <c r="F57" s="523">
        <f t="shared" si="15"/>
        <v>231.3</v>
      </c>
      <c r="G57" s="523">
        <f t="shared" si="16"/>
        <v>44</v>
      </c>
      <c r="H57" s="532">
        <f t="shared" si="17"/>
        <v>245.3</v>
      </c>
      <c r="I57" s="571">
        <f t="shared" si="19"/>
        <v>0.39</v>
      </c>
      <c r="J57" s="548"/>
      <c r="K57" s="520"/>
      <c r="L57" s="520"/>
      <c r="M57" s="520"/>
      <c r="N57" s="520"/>
      <c r="O57" s="520"/>
      <c r="P57" s="520"/>
      <c r="Q57" s="520"/>
      <c r="R57" s="520"/>
      <c r="S57" s="520"/>
      <c r="T57" s="520"/>
      <c r="U57" s="520"/>
      <c r="V57" s="520"/>
      <c r="W57" s="520"/>
      <c r="X57" s="520"/>
      <c r="Y57" s="520"/>
      <c r="Z57" s="520"/>
      <c r="AA57" s="520"/>
      <c r="AB57" s="520"/>
      <c r="AC57" s="520"/>
      <c r="AD57" s="520"/>
      <c r="AE57" s="520"/>
      <c r="AF57" s="520"/>
      <c r="AG57" s="520"/>
      <c r="AH57" s="520"/>
      <c r="AI57" s="520"/>
    </row>
    <row r="58" spans="1:35" customFormat="1" ht="18" hidden="1" customHeight="1">
      <c r="A58" s="919"/>
      <c r="B58" s="920"/>
      <c r="C58" s="523"/>
      <c r="D58" s="523"/>
      <c r="E58" s="523"/>
      <c r="F58" s="523"/>
      <c r="G58" s="523"/>
      <c r="H58" s="523"/>
      <c r="I58" s="571"/>
      <c r="J58" s="519"/>
      <c r="K58" s="520"/>
      <c r="L58" s="520"/>
      <c r="M58" s="520"/>
      <c r="N58" s="520"/>
      <c r="O58" s="520"/>
      <c r="P58" s="520"/>
      <c r="Q58" s="520"/>
      <c r="R58" s="520"/>
      <c r="S58" s="520"/>
      <c r="T58" s="520"/>
      <c r="U58" s="520"/>
      <c r="V58" s="520"/>
      <c r="W58" s="520"/>
      <c r="X58" s="520"/>
      <c r="Y58" s="520"/>
      <c r="Z58" s="520"/>
      <c r="AA58" s="520"/>
      <c r="AB58" s="520"/>
      <c r="AC58" s="520"/>
      <c r="AD58" s="520"/>
      <c r="AE58" s="520"/>
      <c r="AF58" s="520"/>
      <c r="AG58" s="520"/>
      <c r="AH58" s="520"/>
      <c r="AI58" s="520"/>
    </row>
    <row r="59" spans="1:35" ht="18" customHeight="1">
      <c r="A59" s="533"/>
      <c r="B59" s="534"/>
      <c r="C59" s="535"/>
      <c r="D59" s="535"/>
      <c r="E59" s="535"/>
      <c r="F59" s="535"/>
      <c r="G59" s="535"/>
      <c r="H59" s="535"/>
      <c r="I59" s="553"/>
      <c r="J59" s="550" t="s">
        <v>110</v>
      </c>
    </row>
    <row r="60" spans="1:35" ht="51" customHeight="1">
      <c r="A60" s="942" t="s">
        <v>178</v>
      </c>
      <c r="B60" s="943"/>
      <c r="C60" s="512" t="s">
        <v>172</v>
      </c>
      <c r="D60" s="513" t="s">
        <v>173</v>
      </c>
      <c r="E60" s="501" t="s">
        <v>115</v>
      </c>
      <c r="F60" s="513" t="s">
        <v>116</v>
      </c>
      <c r="G60" s="512" t="s">
        <v>174</v>
      </c>
      <c r="H60" s="513" t="s">
        <v>118</v>
      </c>
      <c r="I60" s="512" t="s">
        <v>119</v>
      </c>
      <c r="J60" s="552" t="s">
        <v>110</v>
      </c>
    </row>
    <row r="61" spans="1:35" customFormat="1" ht="18" hidden="1" customHeight="1" thickBot="1">
      <c r="A61" s="515">
        <v>14</v>
      </c>
      <c r="B61" s="516"/>
      <c r="C61" s="517">
        <f>+C48/$B$73</f>
        <v>0.44000000000000006</v>
      </c>
      <c r="D61" s="517">
        <f t="shared" ref="D61:D70" si="20">A61*C61</f>
        <v>6.160000000000001</v>
      </c>
      <c r="E61" s="517">
        <f>+E48/$B$44</f>
        <v>12</v>
      </c>
      <c r="F61" s="517">
        <f>+D61+E61</f>
        <v>18.16</v>
      </c>
      <c r="G61" s="517">
        <f>+G48/$B$44</f>
        <v>17.600000000000001</v>
      </c>
      <c r="H61" s="517">
        <f>+D61+G61</f>
        <v>23.76</v>
      </c>
      <c r="I61" s="614">
        <f>+I48</f>
        <v>0</v>
      </c>
      <c r="J61" s="548"/>
      <c r="K61" s="520"/>
      <c r="L61" s="520"/>
      <c r="M61" s="520"/>
      <c r="N61" s="520"/>
      <c r="O61" s="520"/>
      <c r="P61" s="520"/>
      <c r="Q61" s="520"/>
      <c r="R61" s="520"/>
      <c r="S61" s="520"/>
      <c r="T61" s="520"/>
      <c r="U61" s="520"/>
      <c r="V61" s="520"/>
      <c r="W61" s="520"/>
      <c r="X61" s="520"/>
      <c r="Y61" s="520"/>
      <c r="Z61" s="520"/>
      <c r="AA61" s="520"/>
      <c r="AB61" s="520"/>
      <c r="AC61" s="520"/>
      <c r="AD61" s="520"/>
      <c r="AE61" s="520"/>
      <c r="AF61" s="520"/>
      <c r="AG61" s="520"/>
      <c r="AH61" s="520"/>
      <c r="AI61" s="520"/>
    </row>
    <row r="62" spans="1:35" customFormat="1" ht="18" hidden="1" customHeight="1">
      <c r="A62" s="521">
        <v>30</v>
      </c>
      <c r="B62" s="522"/>
      <c r="C62" s="523">
        <f>+C49/$B$73</f>
        <v>0.44000000000000006</v>
      </c>
      <c r="D62" s="523">
        <f t="shared" si="20"/>
        <v>13.200000000000001</v>
      </c>
      <c r="E62" s="523">
        <f>+E49/$B$44</f>
        <v>12</v>
      </c>
      <c r="F62" s="523">
        <f t="shared" ref="F62:F70" si="21">+D62+E62</f>
        <v>25.200000000000003</v>
      </c>
      <c r="G62" s="523">
        <f>+G49/$B$44</f>
        <v>17.600000000000001</v>
      </c>
      <c r="H62" s="523">
        <f t="shared" ref="H62:H70" si="22">+D62+G62</f>
        <v>30.800000000000004</v>
      </c>
      <c r="I62" s="571">
        <f>+I49</f>
        <v>0</v>
      </c>
      <c r="J62" s="519"/>
      <c r="K62" s="520"/>
      <c r="L62" s="520"/>
      <c r="M62" s="520"/>
      <c r="N62" s="520"/>
      <c r="O62" s="520"/>
      <c r="P62" s="520"/>
      <c r="Q62" s="520"/>
      <c r="R62" s="520"/>
      <c r="S62" s="520"/>
      <c r="T62" s="520"/>
      <c r="U62" s="520"/>
      <c r="V62" s="520"/>
      <c r="W62" s="520"/>
      <c r="X62" s="520"/>
      <c r="Y62" s="520"/>
      <c r="Z62" s="520"/>
      <c r="AA62" s="520"/>
      <c r="AB62" s="520"/>
      <c r="AC62" s="520"/>
      <c r="AD62" s="520"/>
      <c r="AE62" s="520"/>
      <c r="AF62" s="520"/>
      <c r="AG62" s="520"/>
      <c r="AH62" s="520"/>
      <c r="AI62" s="520"/>
    </row>
    <row r="63" spans="1:35" ht="18" customHeight="1">
      <c r="A63" s="525" t="s">
        <v>120</v>
      </c>
      <c r="B63" s="438"/>
      <c r="C63" s="439">
        <f>+C50/B73</f>
        <v>0.44000000000000006</v>
      </c>
      <c r="D63" s="439"/>
      <c r="E63" s="439"/>
      <c r="F63" s="439"/>
      <c r="G63" s="439"/>
      <c r="H63" s="439"/>
      <c r="I63" s="549"/>
      <c r="J63" s="550" t="s">
        <v>110</v>
      </c>
    </row>
    <row r="64" spans="1:35" ht="18" customHeight="1">
      <c r="A64" s="944">
        <v>60</v>
      </c>
      <c r="B64" s="918"/>
      <c r="C64" s="439">
        <f t="shared" ref="C64:C70" si="23">+C51/$B$73</f>
        <v>0.44000000000000006</v>
      </c>
      <c r="D64" s="439">
        <f>A64*C64</f>
        <v>26.400000000000002</v>
      </c>
      <c r="E64" s="439">
        <f t="shared" ref="E64:E70" si="24">+E51/$B$44</f>
        <v>12</v>
      </c>
      <c r="F64" s="439">
        <f t="shared" si="21"/>
        <v>38.400000000000006</v>
      </c>
      <c r="G64" s="439">
        <f t="shared" ref="G64:G70" si="25">+G51/$B$44</f>
        <v>17.600000000000001</v>
      </c>
      <c r="H64" s="527">
        <f>+D64+G64</f>
        <v>44</v>
      </c>
      <c r="I64" s="616">
        <f>+I51</f>
        <v>0</v>
      </c>
      <c r="J64" s="551" t="s">
        <v>110</v>
      </c>
    </row>
    <row r="65" spans="1:35" ht="18" customHeight="1">
      <c r="A65" s="525">
        <v>90</v>
      </c>
      <c r="B65" s="438"/>
      <c r="C65" s="439">
        <f t="shared" si="23"/>
        <v>0.29039999999999999</v>
      </c>
      <c r="D65" s="439">
        <f t="shared" si="20"/>
        <v>26.135999999999999</v>
      </c>
      <c r="E65" s="439">
        <f t="shared" si="24"/>
        <v>12</v>
      </c>
      <c r="F65" s="439">
        <f t="shared" si="21"/>
        <v>38.135999999999996</v>
      </c>
      <c r="G65" s="439">
        <f t="shared" si="25"/>
        <v>17.600000000000001</v>
      </c>
      <c r="H65" s="527">
        <f t="shared" si="22"/>
        <v>43.736000000000004</v>
      </c>
      <c r="I65" s="616">
        <f t="shared" ref="I65:I70" si="26">+I52</f>
        <v>0.34</v>
      </c>
      <c r="J65" s="551" t="s">
        <v>110</v>
      </c>
    </row>
    <row r="66" spans="1:35" ht="18" customHeight="1">
      <c r="A66" s="944">
        <v>120</v>
      </c>
      <c r="B66" s="918"/>
      <c r="C66" s="439">
        <f>+C53/$B$73</f>
        <v>0.29039999999999999</v>
      </c>
      <c r="D66" s="439">
        <f t="shared" si="20"/>
        <v>34.847999999999999</v>
      </c>
      <c r="E66" s="439">
        <f t="shared" si="24"/>
        <v>12</v>
      </c>
      <c r="F66" s="439">
        <f t="shared" si="21"/>
        <v>46.847999999999999</v>
      </c>
      <c r="G66" s="439">
        <f t="shared" si="25"/>
        <v>17.600000000000001</v>
      </c>
      <c r="H66" s="527">
        <f t="shared" si="22"/>
        <v>52.448</v>
      </c>
      <c r="I66" s="616">
        <f t="shared" si="26"/>
        <v>0.34</v>
      </c>
      <c r="J66" s="551" t="s">
        <v>110</v>
      </c>
    </row>
    <row r="67" spans="1:35" ht="18" customHeight="1">
      <c r="A67" s="525">
        <v>150</v>
      </c>
      <c r="B67" s="438"/>
      <c r="C67" s="439">
        <f t="shared" si="23"/>
        <v>0.26840000000000003</v>
      </c>
      <c r="D67" s="439">
        <f t="shared" si="20"/>
        <v>40.260000000000005</v>
      </c>
      <c r="E67" s="439">
        <f t="shared" si="24"/>
        <v>12</v>
      </c>
      <c r="F67" s="439">
        <f t="shared" si="21"/>
        <v>52.260000000000005</v>
      </c>
      <c r="G67" s="439">
        <f t="shared" si="25"/>
        <v>17.600000000000001</v>
      </c>
      <c r="H67" s="527">
        <f t="shared" si="22"/>
        <v>57.860000000000007</v>
      </c>
      <c r="I67" s="616">
        <f t="shared" si="26"/>
        <v>0.39</v>
      </c>
      <c r="J67" s="551" t="s">
        <v>110</v>
      </c>
    </row>
    <row r="68" spans="1:35" ht="18" customHeight="1">
      <c r="A68" s="525">
        <v>180</v>
      </c>
      <c r="B68" s="438"/>
      <c r="C68" s="439">
        <f t="shared" si="23"/>
        <v>0.26840000000000003</v>
      </c>
      <c r="D68" s="439">
        <f t="shared" si="20"/>
        <v>48.312000000000005</v>
      </c>
      <c r="E68" s="439">
        <f t="shared" si="24"/>
        <v>12</v>
      </c>
      <c r="F68" s="439">
        <f t="shared" si="21"/>
        <v>60.312000000000005</v>
      </c>
      <c r="G68" s="439">
        <f t="shared" si="25"/>
        <v>17.600000000000001</v>
      </c>
      <c r="H68" s="527">
        <f t="shared" si="22"/>
        <v>65.912000000000006</v>
      </c>
      <c r="I68" s="616">
        <f t="shared" si="26"/>
        <v>0.39</v>
      </c>
      <c r="J68" s="552" t="s">
        <v>110</v>
      </c>
    </row>
    <row r="69" spans="1:35" customFormat="1" ht="18" hidden="1" customHeight="1" thickBot="1">
      <c r="A69" s="515">
        <v>210</v>
      </c>
      <c r="B69" s="516"/>
      <c r="C69" s="517">
        <f t="shared" si="23"/>
        <v>0.26840000000000003</v>
      </c>
      <c r="D69" s="517">
        <f t="shared" si="20"/>
        <v>56.364000000000004</v>
      </c>
      <c r="E69" s="517">
        <f t="shared" si="24"/>
        <v>12</v>
      </c>
      <c r="F69" s="517">
        <f t="shared" si="21"/>
        <v>68.364000000000004</v>
      </c>
      <c r="G69" s="517">
        <f t="shared" si="25"/>
        <v>17.600000000000001</v>
      </c>
      <c r="H69" s="531">
        <f t="shared" si="22"/>
        <v>73.963999999999999</v>
      </c>
      <c r="I69" s="614">
        <f t="shared" si="26"/>
        <v>0.39</v>
      </c>
      <c r="J69" s="548"/>
      <c r="K69" s="520"/>
      <c r="L69" s="520"/>
      <c r="M69" s="520"/>
      <c r="N69" s="520"/>
      <c r="O69" s="520"/>
      <c r="P69" s="520"/>
      <c r="Q69" s="520"/>
      <c r="R69" s="520"/>
      <c r="S69" s="520"/>
      <c r="T69" s="520"/>
      <c r="U69" s="520"/>
      <c r="V69" s="520"/>
      <c r="W69" s="520"/>
      <c r="X69" s="520"/>
      <c r="Y69" s="520"/>
      <c r="Z69" s="520"/>
      <c r="AA69" s="520"/>
      <c r="AB69" s="520"/>
      <c r="AC69" s="520"/>
      <c r="AD69" s="520"/>
      <c r="AE69" s="520"/>
      <c r="AF69" s="520"/>
      <c r="AG69" s="520"/>
      <c r="AH69" s="520"/>
      <c r="AI69" s="520"/>
    </row>
    <row r="70" spans="1:35" customFormat="1" ht="18" hidden="1" customHeight="1" thickBot="1">
      <c r="A70" s="521">
        <v>300</v>
      </c>
      <c r="B70" s="522"/>
      <c r="C70" s="523">
        <f t="shared" si="23"/>
        <v>0.26840000000000003</v>
      </c>
      <c r="D70" s="523">
        <f t="shared" si="20"/>
        <v>80.52000000000001</v>
      </c>
      <c r="E70" s="523">
        <f t="shared" si="24"/>
        <v>12</v>
      </c>
      <c r="F70" s="523">
        <f t="shared" si="21"/>
        <v>92.52000000000001</v>
      </c>
      <c r="G70" s="523">
        <f t="shared" si="25"/>
        <v>17.600000000000001</v>
      </c>
      <c r="H70" s="532">
        <f t="shared" si="22"/>
        <v>98.12</v>
      </c>
      <c r="I70" s="571">
        <f t="shared" si="26"/>
        <v>0.39</v>
      </c>
      <c r="J70" s="548"/>
      <c r="K70" s="520"/>
      <c r="L70" s="520"/>
      <c r="M70" s="520"/>
      <c r="N70" s="520"/>
      <c r="O70" s="520"/>
      <c r="P70" s="520"/>
      <c r="Q70" s="520"/>
      <c r="R70" s="520"/>
      <c r="S70" s="520"/>
      <c r="T70" s="520"/>
      <c r="U70" s="520"/>
      <c r="V70" s="520"/>
      <c r="W70" s="520"/>
      <c r="X70" s="520"/>
      <c r="Y70" s="520"/>
      <c r="Z70" s="520"/>
      <c r="AA70" s="520"/>
      <c r="AB70" s="520"/>
      <c r="AC70" s="520"/>
      <c r="AD70" s="520"/>
      <c r="AE70" s="520"/>
      <c r="AF70" s="520"/>
      <c r="AG70" s="520"/>
      <c r="AH70" s="520"/>
      <c r="AI70" s="520"/>
    </row>
    <row r="71" spans="1:35" customFormat="1" ht="18" hidden="1" customHeight="1">
      <c r="A71" s="919"/>
      <c r="B71" s="920"/>
      <c r="C71" s="523"/>
      <c r="D71" s="523"/>
      <c r="E71" s="523"/>
      <c r="F71" s="523"/>
      <c r="G71" s="523"/>
      <c r="H71" s="523"/>
      <c r="I71" s="571"/>
      <c r="J71" s="519"/>
      <c r="K71" s="520"/>
      <c r="L71" s="520"/>
      <c r="M71" s="520"/>
      <c r="N71" s="520"/>
      <c r="O71" s="520"/>
      <c r="P71" s="520"/>
      <c r="Q71" s="520"/>
      <c r="R71" s="520"/>
      <c r="S71" s="520"/>
      <c r="T71" s="520"/>
      <c r="U71" s="520"/>
      <c r="V71" s="520"/>
      <c r="W71" s="520"/>
      <c r="X71" s="520"/>
      <c r="Y71" s="520"/>
      <c r="Z71" s="520"/>
      <c r="AA71" s="520"/>
      <c r="AB71" s="520"/>
      <c r="AC71" s="520"/>
      <c r="AD71" s="520"/>
      <c r="AE71" s="520"/>
      <c r="AF71" s="520"/>
      <c r="AG71" s="520"/>
      <c r="AH71" s="520"/>
      <c r="AI71" s="520"/>
    </row>
    <row r="72" spans="1:35" ht="18" customHeight="1">
      <c r="A72" s="533"/>
      <c r="B72" s="534"/>
      <c r="C72" s="535"/>
      <c r="D72" s="535"/>
      <c r="E72" s="535"/>
      <c r="F72" s="535"/>
      <c r="G72" s="535"/>
      <c r="H72" s="535"/>
      <c r="I72" s="553"/>
      <c r="J72" s="550" t="s">
        <v>110</v>
      </c>
    </row>
    <row r="73" spans="1:35" ht="18" customHeight="1">
      <c r="A73" s="442" t="s">
        <v>176</v>
      </c>
      <c r="B73" s="539">
        <f>+B44</f>
        <v>2.5</v>
      </c>
      <c r="C73" s="554" t="s">
        <v>177</v>
      </c>
      <c r="D73" s="555"/>
      <c r="E73" s="555"/>
      <c r="F73" s="555"/>
      <c r="G73" s="555"/>
      <c r="H73" s="555"/>
      <c r="I73" s="556"/>
      <c r="J73" s="552" t="s">
        <v>110</v>
      </c>
    </row>
    <row r="74" spans="1:35" ht="18" customHeight="1">
      <c r="A74" s="434"/>
      <c r="B74" s="434"/>
      <c r="C74" s="443"/>
      <c r="D74" s="443"/>
      <c r="E74" s="443"/>
      <c r="F74" s="443"/>
      <c r="G74" s="443"/>
      <c r="H74" s="443"/>
      <c r="I74" s="444"/>
      <c r="J74" s="445" t="s">
        <v>110</v>
      </c>
    </row>
    <row r="75" spans="1:35" ht="51" customHeight="1">
      <c r="A75" s="942" t="s">
        <v>179</v>
      </c>
      <c r="B75" s="943"/>
      <c r="C75" s="512" t="s">
        <v>114</v>
      </c>
      <c r="D75" s="513" t="s">
        <v>169</v>
      </c>
      <c r="E75" s="501" t="s">
        <v>115</v>
      </c>
      <c r="F75" s="513" t="s">
        <v>116</v>
      </c>
      <c r="G75" s="512" t="s">
        <v>117</v>
      </c>
      <c r="H75" s="513" t="s">
        <v>118</v>
      </c>
      <c r="I75" s="512" t="s">
        <v>119</v>
      </c>
      <c r="J75" s="547" t="s">
        <v>110</v>
      </c>
    </row>
    <row r="76" spans="1:35" customFormat="1" ht="18" hidden="1" customHeight="1">
      <c r="A76" s="515">
        <v>14</v>
      </c>
      <c r="B76" s="516"/>
      <c r="C76" s="517">
        <f t="shared" ref="C76:E77" si="27">+C17+C48</f>
        <v>5.8000000000000007</v>
      </c>
      <c r="D76" s="517">
        <f t="shared" si="27"/>
        <v>81.2</v>
      </c>
      <c r="E76" s="517">
        <f t="shared" si="27"/>
        <v>273.5</v>
      </c>
      <c r="F76" s="517">
        <f>+D76+E76</f>
        <v>354.7</v>
      </c>
      <c r="G76" s="517">
        <f>+G17+G48</f>
        <v>455.5</v>
      </c>
      <c r="H76" s="517">
        <f>+D76+G76</f>
        <v>536.70000000000005</v>
      </c>
      <c r="I76" s="614">
        <f>+I61</f>
        <v>0</v>
      </c>
      <c r="J76" s="519"/>
      <c r="K76" s="520"/>
      <c r="L76" s="520"/>
      <c r="M76" s="520"/>
      <c r="N76" s="520"/>
      <c r="O76" s="520"/>
      <c r="P76" s="520"/>
      <c r="Q76" s="520"/>
      <c r="R76" s="520"/>
      <c r="S76" s="520"/>
      <c r="T76" s="520"/>
      <c r="U76" s="520"/>
      <c r="V76" s="520"/>
      <c r="W76" s="520"/>
      <c r="X76" s="520"/>
      <c r="Y76" s="520"/>
      <c r="Z76" s="520"/>
      <c r="AA76" s="520"/>
      <c r="AB76" s="520"/>
      <c r="AC76" s="520"/>
      <c r="AD76" s="520"/>
      <c r="AE76" s="520"/>
      <c r="AF76" s="520"/>
      <c r="AG76" s="520"/>
      <c r="AH76" s="520"/>
      <c r="AI76" s="520"/>
    </row>
    <row r="77" spans="1:35" customFormat="1" ht="18" hidden="1" customHeight="1">
      <c r="A77" s="557">
        <v>30</v>
      </c>
      <c r="B77" s="558"/>
      <c r="C77" s="559">
        <f t="shared" si="27"/>
        <v>5.8000000000000007</v>
      </c>
      <c r="D77" s="559">
        <f t="shared" si="27"/>
        <v>174</v>
      </c>
      <c r="E77" s="559">
        <f t="shared" si="27"/>
        <v>273.5</v>
      </c>
      <c r="F77" s="559">
        <f t="shared" ref="F77:F85" si="28">+D77+E77</f>
        <v>447.5</v>
      </c>
      <c r="G77" s="559">
        <f>+G18+G49</f>
        <v>455.5</v>
      </c>
      <c r="H77" s="559">
        <f t="shared" ref="H77:H85" si="29">+D77+G77</f>
        <v>629.5</v>
      </c>
      <c r="I77" s="614">
        <f t="shared" ref="I77:I85" si="30">+I62</f>
        <v>0</v>
      </c>
      <c r="J77" s="519"/>
      <c r="K77" s="520"/>
      <c r="L77" s="520"/>
      <c r="M77" s="520"/>
      <c r="N77" s="520"/>
      <c r="O77" s="520"/>
      <c r="P77" s="520"/>
      <c r="Q77" s="520"/>
      <c r="R77" s="520"/>
      <c r="S77" s="520"/>
      <c r="T77" s="520"/>
      <c r="U77" s="520"/>
      <c r="V77" s="520"/>
      <c r="W77" s="520"/>
      <c r="X77" s="520"/>
      <c r="Y77" s="520"/>
      <c r="Z77" s="520"/>
      <c r="AA77" s="520"/>
      <c r="AB77" s="520"/>
      <c r="AC77" s="520"/>
      <c r="AD77" s="520"/>
      <c r="AE77" s="520"/>
      <c r="AF77" s="520"/>
      <c r="AG77" s="520"/>
      <c r="AH77" s="520"/>
      <c r="AI77" s="520"/>
    </row>
    <row r="78" spans="1:35" ht="18" customHeight="1">
      <c r="A78" s="525" t="s">
        <v>120</v>
      </c>
      <c r="B78" s="438"/>
      <c r="C78" s="439">
        <f>+B12+B13</f>
        <v>5.8000000000000007</v>
      </c>
      <c r="D78" s="439"/>
      <c r="E78" s="439"/>
      <c r="F78" s="560"/>
      <c r="G78" s="439"/>
      <c r="H78" s="439"/>
      <c r="I78" s="614">
        <f t="shared" si="30"/>
        <v>0</v>
      </c>
      <c r="J78" s="550" t="s">
        <v>110</v>
      </c>
    </row>
    <row r="79" spans="1:35" ht="18" customHeight="1">
      <c r="A79" s="944">
        <v>60</v>
      </c>
      <c r="B79" s="918"/>
      <c r="C79" s="439">
        <f t="shared" ref="C79:E85" si="31">+C20+C51</f>
        <v>5.8000000000000007</v>
      </c>
      <c r="D79" s="439">
        <f t="shared" si="31"/>
        <v>348</v>
      </c>
      <c r="E79" s="439">
        <f t="shared" si="31"/>
        <v>273.5</v>
      </c>
      <c r="F79" s="439">
        <f t="shared" si="28"/>
        <v>621.5</v>
      </c>
      <c r="G79" s="439">
        <f t="shared" ref="G79:G85" si="32">+G20+G51</f>
        <v>455.5</v>
      </c>
      <c r="H79" s="527">
        <f t="shared" si="29"/>
        <v>803.5</v>
      </c>
      <c r="I79" s="614">
        <f t="shared" si="30"/>
        <v>0</v>
      </c>
      <c r="J79" s="551" t="s">
        <v>110</v>
      </c>
    </row>
    <row r="80" spans="1:35" ht="18" customHeight="1">
      <c r="A80" s="525">
        <v>90</v>
      </c>
      <c r="B80" s="438"/>
      <c r="C80" s="439">
        <f t="shared" si="31"/>
        <v>3.8279999999999998</v>
      </c>
      <c r="D80" s="439">
        <f t="shared" si="31"/>
        <v>344.52</v>
      </c>
      <c r="E80" s="439">
        <f t="shared" si="31"/>
        <v>273.5</v>
      </c>
      <c r="F80" s="439">
        <f t="shared" si="28"/>
        <v>618.02</v>
      </c>
      <c r="G80" s="439">
        <f t="shared" si="32"/>
        <v>455.5</v>
      </c>
      <c r="H80" s="527">
        <f t="shared" si="29"/>
        <v>800.02</v>
      </c>
      <c r="I80" s="614">
        <f t="shared" si="30"/>
        <v>0.34</v>
      </c>
      <c r="J80" s="551" t="s">
        <v>110</v>
      </c>
    </row>
    <row r="81" spans="1:35" ht="18" customHeight="1">
      <c r="A81" s="944">
        <v>120</v>
      </c>
      <c r="B81" s="918"/>
      <c r="C81" s="439">
        <f t="shared" si="31"/>
        <v>3.8279999999999998</v>
      </c>
      <c r="D81" s="439">
        <f t="shared" si="31"/>
        <v>459.36</v>
      </c>
      <c r="E81" s="439">
        <f t="shared" si="31"/>
        <v>273.5</v>
      </c>
      <c r="F81" s="439">
        <f t="shared" si="28"/>
        <v>732.86</v>
      </c>
      <c r="G81" s="439">
        <f t="shared" si="32"/>
        <v>455.5</v>
      </c>
      <c r="H81" s="527">
        <f t="shared" si="29"/>
        <v>914.86</v>
      </c>
      <c r="I81" s="614">
        <f t="shared" si="30"/>
        <v>0.34</v>
      </c>
      <c r="J81" s="551" t="s">
        <v>110</v>
      </c>
    </row>
    <row r="82" spans="1:35" ht="18" customHeight="1">
      <c r="A82" s="525">
        <v>150</v>
      </c>
      <c r="B82" s="438"/>
      <c r="C82" s="439">
        <f t="shared" si="31"/>
        <v>3.5380000000000003</v>
      </c>
      <c r="D82" s="439">
        <f t="shared" si="31"/>
        <v>530.70000000000005</v>
      </c>
      <c r="E82" s="439">
        <f t="shared" si="31"/>
        <v>273.5</v>
      </c>
      <c r="F82" s="439">
        <f t="shared" si="28"/>
        <v>804.2</v>
      </c>
      <c r="G82" s="439">
        <f t="shared" si="32"/>
        <v>455.5</v>
      </c>
      <c r="H82" s="527">
        <f t="shared" si="29"/>
        <v>986.2</v>
      </c>
      <c r="I82" s="614">
        <f t="shared" si="30"/>
        <v>0.39</v>
      </c>
      <c r="J82" s="551" t="s">
        <v>110</v>
      </c>
    </row>
    <row r="83" spans="1:35" ht="18" customHeight="1">
      <c r="A83" s="525">
        <v>180</v>
      </c>
      <c r="B83" s="438"/>
      <c r="C83" s="439">
        <f t="shared" si="31"/>
        <v>3.5380000000000003</v>
      </c>
      <c r="D83" s="439">
        <f t="shared" si="31"/>
        <v>636.83999999999992</v>
      </c>
      <c r="E83" s="439">
        <f t="shared" si="31"/>
        <v>273.5</v>
      </c>
      <c r="F83" s="439">
        <f t="shared" si="28"/>
        <v>910.33999999999992</v>
      </c>
      <c r="G83" s="439">
        <f t="shared" si="32"/>
        <v>455.5</v>
      </c>
      <c r="H83" s="527">
        <f t="shared" si="29"/>
        <v>1092.3399999999999</v>
      </c>
      <c r="I83" s="614">
        <f t="shared" si="30"/>
        <v>0.39</v>
      </c>
      <c r="J83" s="552" t="s">
        <v>110</v>
      </c>
    </row>
    <row r="84" spans="1:35" customFormat="1" ht="18" hidden="1" customHeight="1">
      <c r="A84" s="515">
        <v>210</v>
      </c>
      <c r="B84" s="516"/>
      <c r="C84" s="517">
        <f t="shared" si="31"/>
        <v>3.5380000000000003</v>
      </c>
      <c r="D84" s="517">
        <f t="shared" si="31"/>
        <v>742.98</v>
      </c>
      <c r="E84" s="517">
        <f t="shared" si="31"/>
        <v>273.5</v>
      </c>
      <c r="F84" s="517">
        <f t="shared" si="28"/>
        <v>1016.48</v>
      </c>
      <c r="G84" s="517">
        <f t="shared" si="32"/>
        <v>455.5</v>
      </c>
      <c r="H84" s="531">
        <f t="shared" si="29"/>
        <v>1198.48</v>
      </c>
      <c r="I84" s="614">
        <f t="shared" si="30"/>
        <v>0.39</v>
      </c>
      <c r="J84" s="519"/>
      <c r="K84" s="520"/>
      <c r="L84" s="520"/>
      <c r="M84" s="520"/>
      <c r="N84" s="520"/>
      <c r="O84" s="520"/>
      <c r="P84" s="520"/>
      <c r="Q84" s="520"/>
      <c r="R84" s="520"/>
      <c r="S84" s="520"/>
      <c r="T84" s="520"/>
      <c r="U84" s="520"/>
      <c r="V84" s="520"/>
      <c r="W84" s="520"/>
      <c r="X84" s="520"/>
      <c r="Y84" s="520"/>
      <c r="Z84" s="520"/>
      <c r="AA84" s="520"/>
      <c r="AB84" s="520"/>
      <c r="AC84" s="520"/>
      <c r="AD84" s="520"/>
      <c r="AE84" s="520"/>
      <c r="AF84" s="520"/>
      <c r="AG84" s="520"/>
      <c r="AH84" s="520"/>
      <c r="AI84" s="520"/>
    </row>
    <row r="85" spans="1:35" customFormat="1" ht="18" hidden="1" customHeight="1">
      <c r="A85" s="521">
        <v>300</v>
      </c>
      <c r="B85" s="522"/>
      <c r="C85" s="523">
        <f t="shared" si="31"/>
        <v>3.5380000000000003</v>
      </c>
      <c r="D85" s="523">
        <f t="shared" si="31"/>
        <v>1061.4000000000001</v>
      </c>
      <c r="E85" s="523">
        <f t="shared" si="31"/>
        <v>273.5</v>
      </c>
      <c r="F85" s="523">
        <f t="shared" si="28"/>
        <v>1334.9</v>
      </c>
      <c r="G85" s="523">
        <f t="shared" si="32"/>
        <v>455.5</v>
      </c>
      <c r="H85" s="532">
        <f t="shared" si="29"/>
        <v>1516.9</v>
      </c>
      <c r="I85" s="614">
        <f t="shared" si="30"/>
        <v>0.39</v>
      </c>
      <c r="J85" s="519"/>
      <c r="K85" s="520"/>
      <c r="L85" s="520"/>
      <c r="M85" s="520"/>
      <c r="N85" s="520"/>
      <c r="O85" s="520"/>
      <c r="P85" s="520"/>
      <c r="Q85" s="520"/>
      <c r="R85" s="520"/>
      <c r="S85" s="520"/>
      <c r="T85" s="520"/>
      <c r="U85" s="520"/>
      <c r="V85" s="520"/>
      <c r="W85" s="520"/>
      <c r="X85" s="520"/>
      <c r="Y85" s="520"/>
      <c r="Z85" s="520"/>
      <c r="AA85" s="520"/>
      <c r="AB85" s="520"/>
      <c r="AC85" s="520"/>
      <c r="AD85" s="520"/>
      <c r="AE85" s="520"/>
      <c r="AF85" s="520"/>
      <c r="AG85" s="520"/>
      <c r="AH85" s="520"/>
      <c r="AI85" s="520"/>
    </row>
    <row r="86" spans="1:35" customFormat="1" ht="18" hidden="1" customHeight="1">
      <c r="A86" s="945"/>
      <c r="B86" s="946"/>
      <c r="C86" s="559"/>
      <c r="D86" s="559"/>
      <c r="E86" s="559"/>
      <c r="F86" s="559"/>
      <c r="G86" s="559"/>
      <c r="H86" s="559"/>
      <c r="I86" s="561"/>
      <c r="J86" s="519"/>
      <c r="K86" s="520"/>
      <c r="L86" s="520"/>
      <c r="M86" s="520"/>
      <c r="N86" s="520"/>
      <c r="O86" s="520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</row>
    <row r="87" spans="1:35" ht="18" customHeight="1">
      <c r="A87" s="533" t="s">
        <v>170</v>
      </c>
      <c r="B87" s="534"/>
      <c r="C87" s="535"/>
      <c r="D87" s="535"/>
      <c r="E87" s="535"/>
      <c r="F87" s="535"/>
      <c r="G87" s="535"/>
      <c r="H87" s="535"/>
      <c r="I87" s="553"/>
      <c r="J87" s="550" t="s">
        <v>110</v>
      </c>
    </row>
    <row r="88" spans="1:35" ht="18" customHeight="1">
      <c r="A88" s="537"/>
      <c r="B88" s="440"/>
      <c r="C88" s="441"/>
      <c r="D88" s="441"/>
      <c r="E88" s="441"/>
      <c r="F88" s="441"/>
      <c r="G88" s="441"/>
      <c r="H88" s="441"/>
      <c r="J88" s="551" t="s">
        <v>110</v>
      </c>
    </row>
    <row r="89" spans="1:35" ht="51" customHeight="1">
      <c r="A89" s="942" t="s">
        <v>180</v>
      </c>
      <c r="B89" s="943"/>
      <c r="C89" s="512" t="s">
        <v>172</v>
      </c>
      <c r="D89" s="513" t="s">
        <v>173</v>
      </c>
      <c r="E89" s="501" t="s">
        <v>115</v>
      </c>
      <c r="F89" s="513" t="s">
        <v>116</v>
      </c>
      <c r="G89" s="512" t="s">
        <v>117</v>
      </c>
      <c r="H89" s="513" t="s">
        <v>181</v>
      </c>
      <c r="I89" s="512" t="s">
        <v>119</v>
      </c>
      <c r="J89" s="552" t="s">
        <v>110</v>
      </c>
    </row>
    <row r="90" spans="1:35" customFormat="1" ht="18" hidden="1" customHeight="1">
      <c r="A90" s="515">
        <v>14</v>
      </c>
      <c r="B90" s="516"/>
      <c r="C90" s="517">
        <f>+C76/$B$103</f>
        <v>2.3200000000000003</v>
      </c>
      <c r="D90" s="517">
        <f t="shared" ref="D90:D99" si="33">A90*C90</f>
        <v>32.480000000000004</v>
      </c>
      <c r="E90" s="517">
        <f>+E76/$B$44</f>
        <v>109.4</v>
      </c>
      <c r="F90" s="517">
        <f>+D90+E90</f>
        <v>141.88</v>
      </c>
      <c r="G90" s="517">
        <f>+G76/$B$44</f>
        <v>182.2</v>
      </c>
      <c r="H90" s="517">
        <f>+D90+G90</f>
        <v>214.68</v>
      </c>
      <c r="I90" s="614">
        <f>+I76</f>
        <v>0</v>
      </c>
      <c r="J90" s="519"/>
      <c r="K90" s="520"/>
      <c r="L90" s="520"/>
      <c r="M90" s="520"/>
      <c r="N90" s="520"/>
      <c r="O90" s="520"/>
      <c r="P90" s="520"/>
      <c r="Q90" s="520"/>
      <c r="R90" s="520"/>
      <c r="S90" s="520"/>
      <c r="T90" s="520"/>
      <c r="U90" s="520"/>
      <c r="V90" s="520"/>
      <c r="W90" s="520"/>
      <c r="X90" s="520"/>
      <c r="Y90" s="520"/>
      <c r="Z90" s="520"/>
      <c r="AA90" s="520"/>
      <c r="AB90" s="520"/>
      <c r="AC90" s="520"/>
      <c r="AD90" s="520"/>
      <c r="AE90" s="520"/>
      <c r="AF90" s="520"/>
      <c r="AG90" s="520"/>
      <c r="AH90" s="520"/>
      <c r="AI90" s="520"/>
    </row>
    <row r="91" spans="1:35" customFormat="1" ht="18" hidden="1" customHeight="1">
      <c r="A91" s="557">
        <v>30</v>
      </c>
      <c r="B91" s="558"/>
      <c r="C91" s="559">
        <f>+C77/$B$103</f>
        <v>2.3200000000000003</v>
      </c>
      <c r="D91" s="559">
        <f t="shared" si="33"/>
        <v>69.600000000000009</v>
      </c>
      <c r="E91" s="559">
        <f t="shared" ref="E91" si="34">+E77/$B$44</f>
        <v>109.4</v>
      </c>
      <c r="F91" s="559">
        <f t="shared" ref="F91:F99" si="35">+D91+E91</f>
        <v>179</v>
      </c>
      <c r="G91" s="559">
        <f t="shared" ref="G91" si="36">+G77/$B$44</f>
        <v>182.2</v>
      </c>
      <c r="H91" s="559">
        <f t="shared" ref="H91:H99" si="37">+D91+G91</f>
        <v>251.8</v>
      </c>
      <c r="I91" s="614">
        <f t="shared" ref="I91:I99" si="38">+I77</f>
        <v>0</v>
      </c>
      <c r="J91" s="519"/>
      <c r="K91" s="520"/>
      <c r="L91" s="520"/>
      <c r="M91" s="520"/>
      <c r="N91" s="520"/>
      <c r="O91" s="520"/>
      <c r="P91" s="520"/>
      <c r="Q91" s="520"/>
      <c r="R91" s="520"/>
      <c r="S91" s="520"/>
      <c r="T91" s="520"/>
      <c r="U91" s="520"/>
      <c r="V91" s="520"/>
      <c r="W91" s="520"/>
      <c r="X91" s="520"/>
      <c r="Y91" s="520"/>
      <c r="Z91" s="520"/>
      <c r="AA91" s="520"/>
      <c r="AB91" s="520"/>
      <c r="AC91" s="520"/>
      <c r="AD91" s="520"/>
      <c r="AE91" s="520"/>
      <c r="AF91" s="520"/>
      <c r="AG91" s="520"/>
      <c r="AH91" s="520"/>
      <c r="AI91" s="520"/>
    </row>
    <row r="92" spans="1:35" ht="18" customHeight="1">
      <c r="A92" s="525" t="s">
        <v>120</v>
      </c>
      <c r="B92" s="438"/>
      <c r="C92" s="439">
        <f>+C78/B103</f>
        <v>2.3200000000000003</v>
      </c>
      <c r="D92" s="439"/>
      <c r="E92" s="439"/>
      <c r="F92" s="439"/>
      <c r="G92" s="439"/>
      <c r="H92" s="439"/>
      <c r="I92" s="614">
        <f t="shared" si="38"/>
        <v>0</v>
      </c>
      <c r="J92" s="550" t="s">
        <v>110</v>
      </c>
    </row>
    <row r="93" spans="1:35" ht="18" customHeight="1">
      <c r="A93" s="944">
        <v>60</v>
      </c>
      <c r="B93" s="918"/>
      <c r="C93" s="439">
        <f t="shared" ref="C93:C99" si="39">+C79/$B$103</f>
        <v>2.3200000000000003</v>
      </c>
      <c r="D93" s="439">
        <f t="shared" si="33"/>
        <v>139.20000000000002</v>
      </c>
      <c r="E93" s="439">
        <f t="shared" ref="E93:E99" si="40">+E79/$B$44</f>
        <v>109.4</v>
      </c>
      <c r="F93" s="439">
        <f t="shared" si="35"/>
        <v>248.60000000000002</v>
      </c>
      <c r="G93" s="439">
        <f t="shared" ref="G93:G99" si="41">+G79/$B$44</f>
        <v>182.2</v>
      </c>
      <c r="H93" s="527">
        <f t="shared" si="37"/>
        <v>321.39999999999998</v>
      </c>
      <c r="I93" s="614">
        <f t="shared" si="38"/>
        <v>0</v>
      </c>
      <c r="J93" s="551" t="s">
        <v>110</v>
      </c>
    </row>
    <row r="94" spans="1:35" ht="18" customHeight="1">
      <c r="A94" s="525">
        <v>90</v>
      </c>
      <c r="B94" s="438"/>
      <c r="C94" s="439">
        <f t="shared" si="39"/>
        <v>1.5311999999999999</v>
      </c>
      <c r="D94" s="439">
        <f t="shared" si="33"/>
        <v>137.80799999999999</v>
      </c>
      <c r="E94" s="439">
        <f t="shared" si="40"/>
        <v>109.4</v>
      </c>
      <c r="F94" s="439">
        <f t="shared" si="35"/>
        <v>247.208</v>
      </c>
      <c r="G94" s="439">
        <f t="shared" si="41"/>
        <v>182.2</v>
      </c>
      <c r="H94" s="527">
        <f t="shared" si="37"/>
        <v>320.00799999999998</v>
      </c>
      <c r="I94" s="614">
        <f t="shared" si="38"/>
        <v>0.34</v>
      </c>
      <c r="J94" s="551" t="s">
        <v>110</v>
      </c>
    </row>
    <row r="95" spans="1:35" ht="18" customHeight="1">
      <c r="A95" s="944">
        <v>120</v>
      </c>
      <c r="B95" s="918"/>
      <c r="C95" s="439">
        <f t="shared" si="39"/>
        <v>1.5311999999999999</v>
      </c>
      <c r="D95" s="439">
        <f t="shared" si="33"/>
        <v>183.744</v>
      </c>
      <c r="E95" s="439">
        <f t="shared" si="40"/>
        <v>109.4</v>
      </c>
      <c r="F95" s="439">
        <f t="shared" si="35"/>
        <v>293.14400000000001</v>
      </c>
      <c r="G95" s="439">
        <f t="shared" si="41"/>
        <v>182.2</v>
      </c>
      <c r="H95" s="527">
        <f t="shared" si="37"/>
        <v>365.94399999999996</v>
      </c>
      <c r="I95" s="614">
        <f t="shared" si="38"/>
        <v>0.34</v>
      </c>
      <c r="J95" s="551" t="s">
        <v>110</v>
      </c>
    </row>
    <row r="96" spans="1:35" ht="18" customHeight="1">
      <c r="A96" s="525">
        <v>150</v>
      </c>
      <c r="B96" s="438"/>
      <c r="C96" s="439">
        <f t="shared" si="39"/>
        <v>1.4152</v>
      </c>
      <c r="D96" s="439">
        <f>A96*C96</f>
        <v>212.28</v>
      </c>
      <c r="E96" s="439">
        <f t="shared" si="40"/>
        <v>109.4</v>
      </c>
      <c r="F96" s="439">
        <f t="shared" si="35"/>
        <v>321.68</v>
      </c>
      <c r="G96" s="439">
        <f t="shared" si="41"/>
        <v>182.2</v>
      </c>
      <c r="H96" s="527">
        <f t="shared" si="37"/>
        <v>394.48</v>
      </c>
      <c r="I96" s="614">
        <f t="shared" si="38"/>
        <v>0.39</v>
      </c>
      <c r="J96" s="551" t="s">
        <v>110</v>
      </c>
    </row>
    <row r="97" spans="1:35" ht="18" customHeight="1">
      <c r="A97" s="525">
        <v>180</v>
      </c>
      <c r="B97" s="438"/>
      <c r="C97" s="439">
        <f t="shared" si="39"/>
        <v>1.4152</v>
      </c>
      <c r="D97" s="439">
        <f t="shared" si="33"/>
        <v>254.73599999999999</v>
      </c>
      <c r="E97" s="439">
        <f t="shared" si="40"/>
        <v>109.4</v>
      </c>
      <c r="F97" s="439">
        <f t="shared" si="35"/>
        <v>364.13599999999997</v>
      </c>
      <c r="G97" s="439">
        <f t="shared" si="41"/>
        <v>182.2</v>
      </c>
      <c r="H97" s="527">
        <f t="shared" si="37"/>
        <v>436.93599999999998</v>
      </c>
      <c r="I97" s="614">
        <f t="shared" si="38"/>
        <v>0.39</v>
      </c>
      <c r="J97" s="552" t="s">
        <v>110</v>
      </c>
    </row>
    <row r="98" spans="1:35" customFormat="1" ht="18" hidden="1" customHeight="1">
      <c r="A98" s="515">
        <v>210</v>
      </c>
      <c r="B98" s="516"/>
      <c r="C98" s="517">
        <f t="shared" si="39"/>
        <v>1.4152</v>
      </c>
      <c r="D98" s="517">
        <f t="shared" si="33"/>
        <v>297.19200000000001</v>
      </c>
      <c r="E98" s="517">
        <f t="shared" si="40"/>
        <v>109.4</v>
      </c>
      <c r="F98" s="517">
        <f t="shared" si="35"/>
        <v>406.59199999999998</v>
      </c>
      <c r="G98" s="517">
        <f t="shared" si="41"/>
        <v>182.2</v>
      </c>
      <c r="H98" s="531">
        <f t="shared" si="37"/>
        <v>479.392</v>
      </c>
      <c r="I98" s="614">
        <f t="shared" si="38"/>
        <v>0.39</v>
      </c>
      <c r="J98" s="519"/>
      <c r="K98" s="520"/>
      <c r="L98" s="520"/>
      <c r="M98" s="520"/>
      <c r="N98" s="520"/>
      <c r="O98" s="520"/>
      <c r="P98" s="520"/>
      <c r="Q98" s="520"/>
      <c r="R98" s="520"/>
      <c r="S98" s="520"/>
      <c r="T98" s="520"/>
      <c r="U98" s="520"/>
      <c r="V98" s="520"/>
      <c r="W98" s="520"/>
      <c r="X98" s="520"/>
      <c r="Y98" s="520"/>
      <c r="Z98" s="520"/>
      <c r="AA98" s="520"/>
      <c r="AB98" s="520"/>
      <c r="AC98" s="520"/>
      <c r="AD98" s="520"/>
      <c r="AE98" s="520"/>
      <c r="AF98" s="520"/>
      <c r="AG98" s="520"/>
      <c r="AH98" s="520"/>
      <c r="AI98" s="520"/>
    </row>
    <row r="99" spans="1:35" customFormat="1" ht="18" hidden="1" customHeight="1">
      <c r="A99" s="521">
        <v>300</v>
      </c>
      <c r="B99" s="522"/>
      <c r="C99" s="523">
        <f t="shared" si="39"/>
        <v>1.4152</v>
      </c>
      <c r="D99" s="523">
        <f t="shared" si="33"/>
        <v>424.56</v>
      </c>
      <c r="E99" s="523">
        <f t="shared" si="40"/>
        <v>109.4</v>
      </c>
      <c r="F99" s="523">
        <f t="shared" si="35"/>
        <v>533.96</v>
      </c>
      <c r="G99" s="523">
        <f t="shared" si="41"/>
        <v>182.2</v>
      </c>
      <c r="H99" s="532">
        <f t="shared" si="37"/>
        <v>606.76</v>
      </c>
      <c r="I99" s="614">
        <f t="shared" si="38"/>
        <v>0.39</v>
      </c>
      <c r="J99" s="519"/>
      <c r="K99" s="520"/>
      <c r="L99" s="520"/>
      <c r="M99" s="520"/>
      <c r="N99" s="520"/>
      <c r="O99" s="520"/>
      <c r="P99" s="520"/>
      <c r="Q99" s="520"/>
      <c r="R99" s="520"/>
      <c r="S99" s="520"/>
      <c r="T99" s="520"/>
      <c r="U99" s="520"/>
      <c r="V99" s="520"/>
      <c r="W99" s="520"/>
      <c r="X99" s="520"/>
      <c r="Y99" s="520"/>
      <c r="Z99" s="520"/>
      <c r="AA99" s="520"/>
      <c r="AB99" s="520"/>
      <c r="AC99" s="520"/>
      <c r="AD99" s="520"/>
      <c r="AE99" s="520"/>
      <c r="AF99" s="520"/>
      <c r="AG99" s="520"/>
      <c r="AH99" s="520"/>
      <c r="AI99" s="520"/>
    </row>
    <row r="100" spans="1:35" customFormat="1" ht="18" hidden="1" customHeight="1">
      <c r="A100" s="945"/>
      <c r="B100" s="946"/>
      <c r="C100" s="559"/>
      <c r="D100" s="559"/>
      <c r="E100" s="559"/>
      <c r="F100" s="559"/>
      <c r="G100" s="559"/>
      <c r="H100" s="559"/>
      <c r="I100" s="561"/>
      <c r="J100" s="519"/>
      <c r="K100" s="520"/>
      <c r="L100" s="520"/>
      <c r="M100" s="520"/>
      <c r="N100" s="520"/>
      <c r="O100" s="520"/>
      <c r="P100" s="520"/>
      <c r="Q100" s="520"/>
      <c r="R100" s="520"/>
      <c r="S100" s="520"/>
      <c r="T100" s="520"/>
      <c r="U100" s="520"/>
      <c r="V100" s="520"/>
      <c r="W100" s="520"/>
      <c r="X100" s="520"/>
      <c r="Y100" s="520"/>
      <c r="Z100" s="520"/>
      <c r="AA100" s="520"/>
      <c r="AB100" s="520"/>
      <c r="AC100" s="520"/>
      <c r="AD100" s="520"/>
      <c r="AE100" s="520"/>
      <c r="AF100" s="520"/>
      <c r="AG100" s="520"/>
      <c r="AH100" s="520"/>
      <c r="AI100" s="520"/>
    </row>
    <row r="101" spans="1:35" ht="18" customHeight="1">
      <c r="A101" s="533" t="str">
        <f>+A87</f>
        <v>Montering og demontering er beregnet ved søjlebjælkehus, 50% over 2,25m og 50% under.</v>
      </c>
      <c r="B101" s="534"/>
      <c r="C101" s="535"/>
      <c r="D101" s="535"/>
      <c r="E101" s="535"/>
      <c r="F101" s="535"/>
      <c r="G101" s="535"/>
      <c r="H101" s="535"/>
      <c r="I101" s="553"/>
      <c r="J101" s="550" t="s">
        <v>110</v>
      </c>
    </row>
    <row r="102" spans="1:35" ht="18" customHeight="1">
      <c r="A102" s="537"/>
      <c r="B102" s="440"/>
      <c r="C102" s="441"/>
      <c r="D102" s="441"/>
      <c r="E102" s="441"/>
      <c r="F102" s="441"/>
      <c r="G102" s="441"/>
      <c r="H102" s="441"/>
      <c r="J102" s="551" t="s">
        <v>110</v>
      </c>
    </row>
    <row r="103" spans="1:35" ht="18" customHeight="1">
      <c r="A103" s="442" t="s">
        <v>176</v>
      </c>
      <c r="B103" s="539">
        <f>+B73</f>
        <v>2.5</v>
      </c>
      <c r="C103" s="540" t="s">
        <v>177</v>
      </c>
      <c r="D103" s="541"/>
      <c r="E103" s="541"/>
      <c r="F103" s="541"/>
      <c r="G103" s="541"/>
      <c r="H103" s="541"/>
      <c r="I103" s="562"/>
      <c r="J103" s="551" t="s">
        <v>110</v>
      </c>
    </row>
    <row r="104" spans="1:35" ht="18" customHeight="1">
      <c r="A104" s="543"/>
      <c r="B104" s="544"/>
      <c r="C104" s="545"/>
      <c r="D104" s="545"/>
      <c r="E104" s="545"/>
      <c r="F104" s="545"/>
      <c r="G104" s="545"/>
      <c r="H104" s="545"/>
      <c r="I104" s="563"/>
      <c r="J104" s="552" t="s">
        <v>110</v>
      </c>
    </row>
    <row r="105" spans="1:35" customFormat="1" ht="18" hidden="1" customHeight="1">
      <c r="A105" s="564"/>
      <c r="B105" s="564"/>
      <c r="C105" s="565"/>
      <c r="D105" s="565"/>
      <c r="E105" s="565"/>
      <c r="F105" s="565"/>
      <c r="G105" s="565"/>
      <c r="H105" s="565"/>
      <c r="I105" s="566"/>
      <c r="J105" s="520"/>
      <c r="K105" s="520"/>
      <c r="L105" s="520"/>
      <c r="M105" s="520"/>
      <c r="N105" s="520"/>
      <c r="O105" s="520"/>
      <c r="P105" s="520"/>
      <c r="Q105" s="520"/>
      <c r="R105" s="520"/>
      <c r="S105" s="520"/>
      <c r="T105" s="520"/>
      <c r="U105" s="520"/>
      <c r="V105" s="520"/>
      <c r="W105" s="520"/>
      <c r="X105" s="520"/>
      <c r="Y105" s="520"/>
      <c r="Z105" s="520"/>
      <c r="AA105" s="520"/>
      <c r="AB105" s="520"/>
      <c r="AC105" s="520"/>
      <c r="AD105" s="520"/>
      <c r="AE105" s="520"/>
      <c r="AF105" s="520"/>
      <c r="AG105" s="520"/>
      <c r="AH105" s="520"/>
      <c r="AI105" s="520"/>
    </row>
    <row r="106" spans="1:35" ht="18" hidden="1" customHeight="1">
      <c r="B106" s="434"/>
      <c r="C106" s="443"/>
      <c r="D106" s="443"/>
      <c r="E106" s="443"/>
      <c r="F106" s="443"/>
      <c r="G106" s="443"/>
      <c r="H106" s="443"/>
      <c r="I106" s="444"/>
    </row>
    <row r="107" spans="1:35" ht="18" hidden="1" customHeight="1">
      <c r="A107" s="567" t="s">
        <v>182</v>
      </c>
      <c r="B107" s="434"/>
      <c r="C107" s="443"/>
      <c r="D107" s="443"/>
      <c r="E107" s="443"/>
      <c r="F107" s="443"/>
      <c r="G107" s="443"/>
      <c r="H107" s="443"/>
      <c r="I107" s="444"/>
    </row>
    <row r="108" spans="1:35" ht="18" hidden="1" customHeight="1">
      <c r="B108" s="434"/>
      <c r="F108" s="443"/>
      <c r="G108" s="443"/>
      <c r="H108" s="443"/>
      <c r="I108" s="444"/>
    </row>
    <row r="109" spans="1:35" ht="18" hidden="1" customHeight="1">
      <c r="A109" s="423" t="s">
        <v>112</v>
      </c>
      <c r="C109" s="443"/>
      <c r="D109" s="443"/>
      <c r="E109" s="443"/>
      <c r="F109" s="443"/>
      <c r="G109" s="443"/>
      <c r="H109" s="443"/>
      <c r="I109" s="444"/>
    </row>
    <row r="110" spans="1:35" ht="18" hidden="1" customHeight="1">
      <c r="A110" s="431" t="s">
        <v>113</v>
      </c>
      <c r="C110" s="443"/>
      <c r="D110" s="948" t="s">
        <v>183</v>
      </c>
      <c r="E110" s="948"/>
      <c r="F110" s="948"/>
      <c r="G110" s="443"/>
      <c r="H110" s="443"/>
      <c r="I110" s="444"/>
    </row>
    <row r="111" spans="1:35" ht="24" hidden="1" customHeight="1">
      <c r="A111" s="428" t="s">
        <v>63</v>
      </c>
      <c r="B111" s="509">
        <v>5.8</v>
      </c>
      <c r="C111" s="510">
        <v>0</v>
      </c>
      <c r="D111" s="949" t="s">
        <v>166</v>
      </c>
      <c r="E111" s="950"/>
      <c r="F111" s="950"/>
      <c r="G111" s="443"/>
      <c r="H111" s="443"/>
      <c r="I111" s="444"/>
    </row>
    <row r="112" spans="1:35" ht="18" hidden="1" customHeight="1" thickBot="1">
      <c r="A112" s="425"/>
      <c r="B112" s="568"/>
      <c r="C112" s="443"/>
      <c r="D112" s="443"/>
      <c r="E112" s="443"/>
      <c r="F112" s="443"/>
      <c r="G112" s="443"/>
      <c r="H112" s="443"/>
      <c r="I112" s="444"/>
    </row>
    <row r="113" spans="1:35" ht="48.75" hidden="1" customHeight="1">
      <c r="A113" s="947" t="s">
        <v>184</v>
      </c>
      <c r="B113" s="947"/>
      <c r="C113" s="436" t="s">
        <v>114</v>
      </c>
      <c r="D113" s="436" t="s">
        <v>169</v>
      </c>
      <c r="E113" s="436" t="s">
        <v>115</v>
      </c>
      <c r="F113" s="436" t="s">
        <v>116</v>
      </c>
      <c r="G113" s="436" t="s">
        <v>117</v>
      </c>
      <c r="H113" s="436" t="s">
        <v>118</v>
      </c>
      <c r="I113" s="437" t="s">
        <v>119</v>
      </c>
      <c r="J113" s="446"/>
    </row>
    <row r="114" spans="1:35" customFormat="1" ht="18" hidden="1" customHeight="1">
      <c r="A114" s="521">
        <v>14</v>
      </c>
      <c r="B114" s="522"/>
      <c r="C114" s="523">
        <f>+B111*(1+C111)</f>
        <v>5.8</v>
      </c>
      <c r="D114" s="523">
        <f t="shared" ref="D114:D123" si="42">A114*C114</f>
        <v>81.2</v>
      </c>
      <c r="E114" s="523">
        <f>+(F165+F166)/2</f>
        <v>152.5</v>
      </c>
      <c r="F114" s="523">
        <f t="shared" ref="F114:F123" si="43">+D114+E114</f>
        <v>233.7</v>
      </c>
      <c r="G114" s="523">
        <f>+E114+(F167+F168)/2</f>
        <v>222.5</v>
      </c>
      <c r="H114" s="523">
        <f>+D114+G114</f>
        <v>303.7</v>
      </c>
      <c r="I114" s="571">
        <f>+I90</f>
        <v>0</v>
      </c>
      <c r="J114" s="519"/>
      <c r="K114" s="520"/>
      <c r="L114" s="520"/>
      <c r="M114" s="418"/>
      <c r="N114" s="418"/>
      <c r="O114" s="418"/>
      <c r="P114" s="418"/>
      <c r="Q114" s="418"/>
      <c r="R114" s="418"/>
      <c r="S114" s="418"/>
      <c r="T114" s="418"/>
      <c r="U114" s="418"/>
      <c r="V114" s="520"/>
      <c r="W114" s="520"/>
      <c r="X114" s="520"/>
      <c r="Y114" s="520"/>
      <c r="Z114" s="520"/>
      <c r="AA114" s="520"/>
      <c r="AB114" s="520"/>
      <c r="AC114" s="520"/>
      <c r="AD114" s="520"/>
      <c r="AE114" s="520"/>
      <c r="AF114" s="520"/>
      <c r="AG114" s="520"/>
      <c r="AH114" s="520"/>
      <c r="AI114" s="520"/>
    </row>
    <row r="115" spans="1:35" customFormat="1" ht="18" hidden="1" customHeight="1">
      <c r="A115" s="521">
        <v>30</v>
      </c>
      <c r="B115" s="522"/>
      <c r="C115" s="523">
        <f>+$C$114*(1-I115)</f>
        <v>5.8</v>
      </c>
      <c r="D115" s="523">
        <f t="shared" si="42"/>
        <v>174</v>
      </c>
      <c r="E115" s="523">
        <f>+E114</f>
        <v>152.5</v>
      </c>
      <c r="F115" s="523">
        <f t="shared" si="43"/>
        <v>326.5</v>
      </c>
      <c r="G115" s="523">
        <f t="shared" ref="G115:G123" si="44">+G114</f>
        <v>222.5</v>
      </c>
      <c r="H115" s="523">
        <f t="shared" ref="H115:H123" si="45">+D115+G115</f>
        <v>396.5</v>
      </c>
      <c r="I115" s="571">
        <f t="shared" ref="I115:I123" si="46">+I91</f>
        <v>0</v>
      </c>
      <c r="J115" s="519"/>
      <c r="K115" s="520"/>
      <c r="L115" s="520"/>
      <c r="M115" s="418"/>
      <c r="N115" s="418"/>
      <c r="O115" s="418"/>
      <c r="P115" s="418"/>
      <c r="Q115" s="418"/>
      <c r="R115" s="418"/>
      <c r="S115" s="418"/>
      <c r="T115" s="418"/>
      <c r="U115" s="418"/>
      <c r="V115" s="520"/>
      <c r="W115" s="520"/>
      <c r="X115" s="520"/>
      <c r="Y115" s="520"/>
      <c r="Z115" s="520"/>
      <c r="AA115" s="520"/>
      <c r="AB115" s="520"/>
      <c r="AC115" s="520"/>
      <c r="AD115" s="520"/>
      <c r="AE115" s="520"/>
      <c r="AF115" s="520"/>
      <c r="AG115" s="520"/>
      <c r="AH115" s="520"/>
      <c r="AI115" s="520"/>
    </row>
    <row r="116" spans="1:35" customFormat="1" ht="18" hidden="1" customHeight="1">
      <c r="A116" s="569" t="s">
        <v>120</v>
      </c>
      <c r="B116" s="522"/>
      <c r="C116" s="523">
        <f>+B111</f>
        <v>5.8</v>
      </c>
      <c r="D116" s="523"/>
      <c r="E116" s="523"/>
      <c r="F116" s="523"/>
      <c r="G116" s="523"/>
      <c r="H116" s="523"/>
      <c r="I116" s="571">
        <f t="shared" si="46"/>
        <v>0</v>
      </c>
      <c r="J116" s="519"/>
      <c r="K116" s="520"/>
      <c r="L116" s="520"/>
      <c r="M116" s="418"/>
      <c r="N116" s="418"/>
      <c r="O116" s="418"/>
      <c r="P116" s="418"/>
      <c r="Q116" s="418"/>
      <c r="R116" s="418"/>
      <c r="S116" s="418"/>
      <c r="T116" s="418"/>
      <c r="U116" s="418"/>
      <c r="V116" s="520"/>
      <c r="W116" s="520"/>
      <c r="X116" s="520"/>
      <c r="Y116" s="520"/>
      <c r="Z116" s="520"/>
      <c r="AA116" s="520"/>
      <c r="AB116" s="520"/>
      <c r="AC116" s="520"/>
      <c r="AD116" s="520"/>
      <c r="AE116" s="520"/>
      <c r="AF116" s="520"/>
      <c r="AG116" s="520"/>
      <c r="AH116" s="520"/>
      <c r="AI116" s="520"/>
    </row>
    <row r="117" spans="1:35" ht="18" hidden="1" customHeight="1">
      <c r="A117" s="917">
        <v>60</v>
      </c>
      <c r="B117" s="918"/>
      <c r="C117" s="439">
        <f>+$C$114*(1-I117)</f>
        <v>5.8</v>
      </c>
      <c r="D117" s="439">
        <f t="shared" si="42"/>
        <v>348</v>
      </c>
      <c r="E117" s="439">
        <f>+E115</f>
        <v>152.5</v>
      </c>
      <c r="F117" s="439">
        <f t="shared" si="43"/>
        <v>500.5</v>
      </c>
      <c r="G117" s="439">
        <f>+G115</f>
        <v>222.5</v>
      </c>
      <c r="H117" s="439">
        <f t="shared" si="45"/>
        <v>570.5</v>
      </c>
      <c r="I117" s="571">
        <f t="shared" si="46"/>
        <v>0</v>
      </c>
      <c r="J117" s="445"/>
    </row>
    <row r="118" spans="1:35" ht="18" hidden="1" customHeight="1">
      <c r="A118" s="447">
        <v>90</v>
      </c>
      <c r="B118" s="438"/>
      <c r="C118" s="439">
        <f t="shared" ref="C118:C123" si="47">+$C$114*(1-I118)</f>
        <v>3.8279999999999994</v>
      </c>
      <c r="D118" s="439">
        <f t="shared" si="42"/>
        <v>344.51999999999992</v>
      </c>
      <c r="E118" s="439">
        <f>+E117</f>
        <v>152.5</v>
      </c>
      <c r="F118" s="439">
        <f t="shared" si="43"/>
        <v>497.01999999999992</v>
      </c>
      <c r="G118" s="439">
        <f t="shared" si="44"/>
        <v>222.5</v>
      </c>
      <c r="H118" s="439">
        <f t="shared" si="45"/>
        <v>567.02</v>
      </c>
      <c r="I118" s="571">
        <f t="shared" si="46"/>
        <v>0.34</v>
      </c>
      <c r="J118" s="445"/>
    </row>
    <row r="119" spans="1:35" ht="18" hidden="1" customHeight="1">
      <c r="A119" s="917">
        <v>120</v>
      </c>
      <c r="B119" s="918"/>
      <c r="C119" s="439">
        <f t="shared" si="47"/>
        <v>3.8279999999999994</v>
      </c>
      <c r="D119" s="439">
        <f t="shared" si="42"/>
        <v>459.3599999999999</v>
      </c>
      <c r="E119" s="439">
        <f>+E118</f>
        <v>152.5</v>
      </c>
      <c r="F119" s="439">
        <f t="shared" si="43"/>
        <v>611.8599999999999</v>
      </c>
      <c r="G119" s="439">
        <f t="shared" si="44"/>
        <v>222.5</v>
      </c>
      <c r="H119" s="439">
        <f>+D119+G119</f>
        <v>681.8599999999999</v>
      </c>
      <c r="I119" s="571">
        <f t="shared" si="46"/>
        <v>0.34</v>
      </c>
      <c r="J119" s="445"/>
    </row>
    <row r="120" spans="1:35" ht="18" hidden="1" customHeight="1">
      <c r="A120" s="447">
        <v>150</v>
      </c>
      <c r="B120" s="438"/>
      <c r="C120" s="439">
        <f t="shared" si="47"/>
        <v>3.5379999999999998</v>
      </c>
      <c r="D120" s="439">
        <f t="shared" si="42"/>
        <v>530.69999999999993</v>
      </c>
      <c r="E120" s="439">
        <f t="shared" ref="E120:E123" si="48">+E119</f>
        <v>152.5</v>
      </c>
      <c r="F120" s="439">
        <f t="shared" si="43"/>
        <v>683.19999999999993</v>
      </c>
      <c r="G120" s="439">
        <f t="shared" si="44"/>
        <v>222.5</v>
      </c>
      <c r="H120" s="439">
        <f t="shared" si="45"/>
        <v>753.19999999999993</v>
      </c>
      <c r="I120" s="571">
        <f t="shared" si="46"/>
        <v>0.39</v>
      </c>
      <c r="J120" s="445"/>
    </row>
    <row r="121" spans="1:35" ht="18" hidden="1" customHeight="1">
      <c r="A121" s="447">
        <v>180</v>
      </c>
      <c r="B121" s="438"/>
      <c r="C121" s="439">
        <f t="shared" si="47"/>
        <v>3.5379999999999998</v>
      </c>
      <c r="D121" s="439">
        <f t="shared" si="42"/>
        <v>636.83999999999992</v>
      </c>
      <c r="E121" s="439">
        <f t="shared" si="48"/>
        <v>152.5</v>
      </c>
      <c r="F121" s="439">
        <f t="shared" si="43"/>
        <v>789.33999999999992</v>
      </c>
      <c r="G121" s="439">
        <f t="shared" si="44"/>
        <v>222.5</v>
      </c>
      <c r="H121" s="439">
        <f t="shared" si="45"/>
        <v>859.33999999999992</v>
      </c>
      <c r="I121" s="571">
        <f t="shared" si="46"/>
        <v>0.39</v>
      </c>
      <c r="J121" s="445"/>
      <c r="M121" s="570" t="s">
        <v>104</v>
      </c>
    </row>
    <row r="122" spans="1:35" customFormat="1" ht="18" hidden="1" customHeight="1">
      <c r="A122" s="521">
        <v>210</v>
      </c>
      <c r="B122" s="522"/>
      <c r="C122" s="523">
        <f t="shared" si="47"/>
        <v>3.5379999999999998</v>
      </c>
      <c r="D122" s="523">
        <f t="shared" si="42"/>
        <v>742.9799999999999</v>
      </c>
      <c r="E122" s="523">
        <f t="shared" si="48"/>
        <v>152.5</v>
      </c>
      <c r="F122" s="523">
        <f t="shared" si="43"/>
        <v>895.4799999999999</v>
      </c>
      <c r="G122" s="523">
        <f t="shared" si="44"/>
        <v>222.5</v>
      </c>
      <c r="H122" s="523">
        <f t="shared" si="45"/>
        <v>965.4799999999999</v>
      </c>
      <c r="I122" s="571">
        <f t="shared" si="46"/>
        <v>0.39</v>
      </c>
      <c r="J122" s="519"/>
      <c r="K122" s="520"/>
      <c r="L122" s="520"/>
      <c r="M122" s="520"/>
      <c r="N122" s="520"/>
      <c r="O122" s="520"/>
      <c r="P122" s="520"/>
      <c r="Q122" s="520"/>
      <c r="R122" s="520"/>
      <c r="S122" s="520"/>
      <c r="T122" s="520"/>
      <c r="U122" s="520"/>
      <c r="V122" s="520"/>
      <c r="W122" s="520"/>
      <c r="X122" s="520"/>
      <c r="Y122" s="520"/>
      <c r="Z122" s="520"/>
      <c r="AA122" s="520"/>
      <c r="AB122" s="520"/>
      <c r="AC122" s="520"/>
      <c r="AD122" s="520"/>
      <c r="AE122" s="520"/>
      <c r="AF122" s="520"/>
      <c r="AG122" s="520"/>
      <c r="AH122" s="520"/>
      <c r="AI122" s="520"/>
    </row>
    <row r="123" spans="1:35" customFormat="1" ht="18" hidden="1" customHeight="1">
      <c r="A123" s="521">
        <v>300</v>
      </c>
      <c r="B123" s="522"/>
      <c r="C123" s="523">
        <f t="shared" si="47"/>
        <v>3.5379999999999998</v>
      </c>
      <c r="D123" s="523">
        <f t="shared" si="42"/>
        <v>1061.3999999999999</v>
      </c>
      <c r="E123" s="523">
        <f t="shared" si="48"/>
        <v>152.5</v>
      </c>
      <c r="F123" s="523">
        <f t="shared" si="43"/>
        <v>1213.8999999999999</v>
      </c>
      <c r="G123" s="523">
        <f t="shared" si="44"/>
        <v>222.5</v>
      </c>
      <c r="H123" s="523">
        <f t="shared" si="45"/>
        <v>1283.8999999999999</v>
      </c>
      <c r="I123" s="571">
        <f t="shared" si="46"/>
        <v>0.39</v>
      </c>
      <c r="J123" s="519"/>
      <c r="K123" s="520"/>
      <c r="L123" s="520"/>
      <c r="M123" s="520"/>
      <c r="N123" s="520"/>
      <c r="O123" s="520"/>
      <c r="P123" s="520"/>
      <c r="Q123" s="520"/>
      <c r="R123" s="520"/>
      <c r="S123" s="520"/>
      <c r="T123" s="520"/>
      <c r="U123" s="520"/>
      <c r="V123" s="520"/>
      <c r="W123" s="520"/>
      <c r="X123" s="520"/>
      <c r="Y123" s="520"/>
      <c r="Z123" s="520"/>
      <c r="AA123" s="520"/>
      <c r="AB123" s="520"/>
      <c r="AC123" s="520"/>
      <c r="AD123" s="520"/>
      <c r="AE123" s="520"/>
      <c r="AF123" s="520"/>
      <c r="AG123" s="520"/>
      <c r="AH123" s="520"/>
      <c r="AI123" s="520"/>
    </row>
    <row r="124" spans="1:35" customFormat="1" ht="18" hidden="1" customHeight="1">
      <c r="A124" s="919"/>
      <c r="B124" s="920"/>
      <c r="C124" s="523"/>
      <c r="D124" s="523"/>
      <c r="E124" s="523"/>
      <c r="F124" s="523"/>
      <c r="G124" s="523"/>
      <c r="H124" s="523"/>
      <c r="I124" s="617"/>
      <c r="J124" s="519"/>
      <c r="K124" s="520"/>
      <c r="L124" s="520"/>
      <c r="M124" s="520"/>
      <c r="N124" s="520"/>
      <c r="O124" s="520"/>
      <c r="P124" s="520"/>
      <c r="Q124" s="520"/>
      <c r="R124" s="520"/>
      <c r="S124" s="520"/>
      <c r="T124" s="520"/>
      <c r="U124" s="520"/>
      <c r="V124" s="520"/>
      <c r="W124" s="520"/>
      <c r="X124" s="520"/>
      <c r="Y124" s="520"/>
      <c r="Z124" s="520"/>
      <c r="AA124" s="520"/>
      <c r="AB124" s="520"/>
      <c r="AC124" s="520"/>
      <c r="AD124" s="520"/>
      <c r="AE124" s="520"/>
      <c r="AF124" s="520"/>
      <c r="AG124" s="520"/>
      <c r="AH124" s="520"/>
      <c r="AI124" s="520"/>
    </row>
    <row r="125" spans="1:35" ht="18" hidden="1" customHeight="1">
      <c r="A125" s="449" t="s">
        <v>170</v>
      </c>
      <c r="B125" s="440"/>
      <c r="C125" s="441"/>
      <c r="D125" s="441"/>
      <c r="E125" s="441"/>
      <c r="F125" s="441"/>
      <c r="G125" s="441">
        <f>+G124-E124</f>
        <v>0</v>
      </c>
      <c r="H125" s="441"/>
      <c r="I125" s="450"/>
      <c r="J125" s="445"/>
    </row>
    <row r="126" spans="1:35" ht="18" hidden="1" customHeight="1">
      <c r="A126" s="449"/>
      <c r="B126" s="440"/>
      <c r="C126" s="441"/>
      <c r="D126" s="441"/>
      <c r="E126" s="441"/>
      <c r="F126" s="441"/>
      <c r="G126" s="441"/>
      <c r="H126" s="441"/>
      <c r="I126" s="450"/>
      <c r="J126" s="445"/>
    </row>
    <row r="127" spans="1:35" ht="44.25" hidden="1" customHeight="1">
      <c r="A127" s="947" t="s">
        <v>185</v>
      </c>
      <c r="B127" s="947"/>
      <c r="C127" s="436" t="s">
        <v>172</v>
      </c>
      <c r="D127" s="436" t="s">
        <v>173</v>
      </c>
      <c r="E127" s="436" t="s">
        <v>115</v>
      </c>
      <c r="F127" s="436" t="s">
        <v>116</v>
      </c>
      <c r="G127" s="436" t="s">
        <v>117</v>
      </c>
      <c r="H127" s="436" t="s">
        <v>186</v>
      </c>
      <c r="I127" s="437" t="s">
        <v>119</v>
      </c>
      <c r="J127" s="445"/>
    </row>
    <row r="128" spans="1:35" customFormat="1" ht="18" hidden="1" customHeight="1">
      <c r="A128" s="521">
        <v>14</v>
      </c>
      <c r="B128" s="522"/>
      <c r="C128" s="523">
        <f>+C114/$B$141</f>
        <v>2.3199999999999998</v>
      </c>
      <c r="D128" s="523">
        <f t="shared" ref="D128:D137" si="49">A128*C128</f>
        <v>32.479999999999997</v>
      </c>
      <c r="E128" s="523">
        <f>+E114/$B$141</f>
        <v>61</v>
      </c>
      <c r="F128" s="523">
        <f t="shared" ref="F128:F137" si="50">+D128+E128</f>
        <v>93.47999999999999</v>
      </c>
      <c r="G128" s="523">
        <f>+G114/$B$141</f>
        <v>89</v>
      </c>
      <c r="H128" s="523">
        <f>+D128+G128</f>
        <v>121.47999999999999</v>
      </c>
      <c r="I128" s="571">
        <f>+I114</f>
        <v>0</v>
      </c>
      <c r="J128" s="519"/>
      <c r="K128" s="520"/>
      <c r="L128" s="520"/>
      <c r="M128" s="520"/>
      <c r="N128" s="520"/>
      <c r="O128" s="520"/>
      <c r="P128" s="520"/>
      <c r="Q128" s="520"/>
      <c r="R128" s="520"/>
      <c r="S128" s="520"/>
      <c r="T128" s="520"/>
      <c r="U128" s="520"/>
      <c r="V128" s="520"/>
      <c r="W128" s="520"/>
      <c r="X128" s="520"/>
      <c r="Y128" s="520"/>
      <c r="Z128" s="520"/>
      <c r="AA128" s="520"/>
      <c r="AB128" s="520"/>
      <c r="AC128" s="520"/>
      <c r="AD128" s="520"/>
      <c r="AE128" s="520"/>
      <c r="AF128" s="520"/>
      <c r="AG128" s="520"/>
      <c r="AH128" s="520"/>
      <c r="AI128" s="520"/>
    </row>
    <row r="129" spans="1:35" customFormat="1" ht="18" hidden="1" customHeight="1">
      <c r="A129" s="521">
        <v>30</v>
      </c>
      <c r="B129" s="522"/>
      <c r="C129" s="523">
        <f>+C115/$B$141</f>
        <v>2.3199999999999998</v>
      </c>
      <c r="D129" s="523">
        <f t="shared" si="49"/>
        <v>69.599999999999994</v>
      </c>
      <c r="E129" s="523">
        <f>+E128</f>
        <v>61</v>
      </c>
      <c r="F129" s="523">
        <f t="shared" si="50"/>
        <v>130.6</v>
      </c>
      <c r="G129" s="523">
        <f>+G128</f>
        <v>89</v>
      </c>
      <c r="H129" s="523">
        <f t="shared" ref="H129:H137" si="51">+D129+G129</f>
        <v>158.6</v>
      </c>
      <c r="I129" s="571">
        <f t="shared" ref="I129:I137" si="52">+I115</f>
        <v>0</v>
      </c>
      <c r="J129" s="519"/>
      <c r="K129" s="520"/>
      <c r="L129" s="520"/>
      <c r="M129" s="520"/>
      <c r="N129" s="520"/>
      <c r="O129" s="520"/>
      <c r="P129" s="520"/>
      <c r="Q129" s="520"/>
      <c r="R129" s="520"/>
      <c r="S129" s="520"/>
      <c r="T129" s="520"/>
      <c r="U129" s="520"/>
      <c r="V129" s="520"/>
      <c r="W129" s="520"/>
      <c r="X129" s="520"/>
      <c r="Y129" s="520"/>
      <c r="Z129" s="520"/>
      <c r="AA129" s="520"/>
      <c r="AB129" s="520"/>
      <c r="AC129" s="520"/>
      <c r="AD129" s="520"/>
      <c r="AE129" s="520"/>
      <c r="AF129" s="520"/>
      <c r="AG129" s="520"/>
      <c r="AH129" s="520"/>
      <c r="AI129" s="520"/>
    </row>
    <row r="130" spans="1:35" customFormat="1" ht="18" hidden="1" customHeight="1">
      <c r="A130" s="569" t="s">
        <v>120</v>
      </c>
      <c r="B130" s="522"/>
      <c r="C130" s="523">
        <f>+C116/B141</f>
        <v>2.3199999999999998</v>
      </c>
      <c r="D130" s="523"/>
      <c r="E130" s="523"/>
      <c r="F130" s="523"/>
      <c r="G130" s="523"/>
      <c r="H130" s="523"/>
      <c r="I130" s="571">
        <f t="shared" si="52"/>
        <v>0</v>
      </c>
      <c r="J130" s="519"/>
      <c r="K130" s="520"/>
      <c r="L130" s="520"/>
      <c r="M130" s="520"/>
      <c r="N130" s="520"/>
      <c r="O130" s="520"/>
      <c r="P130" s="520"/>
      <c r="Q130" s="520"/>
      <c r="R130" s="520"/>
      <c r="S130" s="520"/>
      <c r="T130" s="520"/>
      <c r="U130" s="520"/>
      <c r="V130" s="520"/>
      <c r="W130" s="520"/>
      <c r="X130" s="520"/>
      <c r="Y130" s="520"/>
      <c r="Z130" s="520"/>
      <c r="AA130" s="520"/>
      <c r="AB130" s="520"/>
      <c r="AC130" s="520"/>
      <c r="AD130" s="520"/>
      <c r="AE130" s="520"/>
      <c r="AF130" s="520"/>
      <c r="AG130" s="520"/>
      <c r="AH130" s="520"/>
      <c r="AI130" s="520"/>
    </row>
    <row r="131" spans="1:35" ht="18" hidden="1" customHeight="1">
      <c r="A131" s="917">
        <v>60</v>
      </c>
      <c r="B131" s="918"/>
      <c r="C131" s="439">
        <f t="shared" ref="C131:C137" si="53">+C117/$B$141</f>
        <v>2.3199999999999998</v>
      </c>
      <c r="D131" s="439">
        <f t="shared" si="49"/>
        <v>139.19999999999999</v>
      </c>
      <c r="E131" s="439">
        <f>+E129</f>
        <v>61</v>
      </c>
      <c r="F131" s="439">
        <f t="shared" si="50"/>
        <v>200.2</v>
      </c>
      <c r="G131" s="439">
        <f>+G129</f>
        <v>89</v>
      </c>
      <c r="H131" s="527">
        <f t="shared" si="51"/>
        <v>228.2</v>
      </c>
      <c r="I131" s="571">
        <f t="shared" si="52"/>
        <v>0</v>
      </c>
      <c r="J131" s="445"/>
    </row>
    <row r="132" spans="1:35" ht="18" hidden="1" customHeight="1">
      <c r="A132" s="447">
        <v>90</v>
      </c>
      <c r="B132" s="438"/>
      <c r="C132" s="439">
        <f t="shared" si="53"/>
        <v>1.5311999999999997</v>
      </c>
      <c r="D132" s="439">
        <f t="shared" si="49"/>
        <v>137.80799999999996</v>
      </c>
      <c r="E132" s="439">
        <f t="shared" ref="E132:E137" si="54">+E131</f>
        <v>61</v>
      </c>
      <c r="F132" s="439">
        <f t="shared" si="50"/>
        <v>198.80799999999996</v>
      </c>
      <c r="G132" s="439">
        <f t="shared" ref="G132:G137" si="55">+G131</f>
        <v>89</v>
      </c>
      <c r="H132" s="527">
        <f t="shared" si="51"/>
        <v>226.80799999999996</v>
      </c>
      <c r="I132" s="571">
        <f t="shared" si="52"/>
        <v>0.34</v>
      </c>
      <c r="J132" s="445"/>
    </row>
    <row r="133" spans="1:35" ht="18" hidden="1" customHeight="1">
      <c r="A133" s="917">
        <v>120</v>
      </c>
      <c r="B133" s="918"/>
      <c r="C133" s="439">
        <f t="shared" si="53"/>
        <v>1.5311999999999997</v>
      </c>
      <c r="D133" s="439">
        <f t="shared" si="49"/>
        <v>183.74399999999997</v>
      </c>
      <c r="E133" s="439">
        <f t="shared" si="54"/>
        <v>61</v>
      </c>
      <c r="F133" s="439">
        <f t="shared" si="50"/>
        <v>244.74399999999997</v>
      </c>
      <c r="G133" s="439">
        <f t="shared" si="55"/>
        <v>89</v>
      </c>
      <c r="H133" s="527">
        <f t="shared" si="51"/>
        <v>272.74399999999997</v>
      </c>
      <c r="I133" s="571">
        <f t="shared" si="52"/>
        <v>0.34</v>
      </c>
      <c r="J133" s="445"/>
    </row>
    <row r="134" spans="1:35" ht="18" hidden="1" customHeight="1">
      <c r="A134" s="447">
        <v>150</v>
      </c>
      <c r="B134" s="438"/>
      <c r="C134" s="439">
        <f t="shared" si="53"/>
        <v>1.4152</v>
      </c>
      <c r="D134" s="439">
        <f t="shared" si="49"/>
        <v>212.28</v>
      </c>
      <c r="E134" s="439">
        <f t="shared" si="54"/>
        <v>61</v>
      </c>
      <c r="F134" s="439">
        <f t="shared" si="50"/>
        <v>273.27999999999997</v>
      </c>
      <c r="G134" s="439">
        <f t="shared" si="55"/>
        <v>89</v>
      </c>
      <c r="H134" s="527">
        <f t="shared" si="51"/>
        <v>301.27999999999997</v>
      </c>
      <c r="I134" s="571">
        <f t="shared" si="52"/>
        <v>0.39</v>
      </c>
      <c r="J134" s="445"/>
    </row>
    <row r="135" spans="1:35" ht="18" hidden="1" customHeight="1">
      <c r="A135" s="447">
        <v>180</v>
      </c>
      <c r="B135" s="438"/>
      <c r="C135" s="439">
        <f t="shared" si="53"/>
        <v>1.4152</v>
      </c>
      <c r="D135" s="439">
        <f t="shared" si="49"/>
        <v>254.73599999999999</v>
      </c>
      <c r="E135" s="439">
        <f t="shared" si="54"/>
        <v>61</v>
      </c>
      <c r="F135" s="439">
        <f t="shared" si="50"/>
        <v>315.73599999999999</v>
      </c>
      <c r="G135" s="439">
        <f t="shared" si="55"/>
        <v>89</v>
      </c>
      <c r="H135" s="527">
        <f t="shared" si="51"/>
        <v>343.73599999999999</v>
      </c>
      <c r="I135" s="571">
        <f t="shared" si="52"/>
        <v>0.39</v>
      </c>
      <c r="J135" s="445"/>
    </row>
    <row r="136" spans="1:35" customFormat="1" ht="18" hidden="1" customHeight="1">
      <c r="A136" s="521">
        <v>210</v>
      </c>
      <c r="B136" s="522"/>
      <c r="C136" s="523">
        <f t="shared" si="53"/>
        <v>1.4152</v>
      </c>
      <c r="D136" s="523">
        <f t="shared" si="49"/>
        <v>297.19200000000001</v>
      </c>
      <c r="E136" s="523">
        <f t="shared" si="54"/>
        <v>61</v>
      </c>
      <c r="F136" s="523">
        <f t="shared" si="50"/>
        <v>358.19200000000001</v>
      </c>
      <c r="G136" s="523">
        <f t="shared" si="55"/>
        <v>89</v>
      </c>
      <c r="H136" s="523">
        <f t="shared" si="51"/>
        <v>386.19200000000001</v>
      </c>
      <c r="I136" s="571">
        <f t="shared" si="52"/>
        <v>0.39</v>
      </c>
      <c r="J136" s="519"/>
      <c r="K136" s="520"/>
      <c r="L136" s="520"/>
      <c r="M136" s="520"/>
      <c r="N136" s="520"/>
      <c r="O136" s="520"/>
      <c r="P136" s="520"/>
      <c r="Q136" s="520"/>
      <c r="R136" s="520"/>
      <c r="S136" s="520"/>
      <c r="T136" s="520"/>
      <c r="U136" s="520"/>
      <c r="V136" s="520"/>
      <c r="W136" s="520"/>
      <c r="X136" s="520"/>
      <c r="Y136" s="520"/>
      <c r="Z136" s="520"/>
      <c r="AA136" s="520"/>
      <c r="AB136" s="520"/>
      <c r="AC136" s="520"/>
      <c r="AD136" s="520"/>
      <c r="AE136" s="520"/>
      <c r="AF136" s="520"/>
      <c r="AG136" s="520"/>
      <c r="AH136" s="520"/>
      <c r="AI136" s="520"/>
    </row>
    <row r="137" spans="1:35" customFormat="1" ht="18" hidden="1" customHeight="1">
      <c r="A137" s="521">
        <v>300</v>
      </c>
      <c r="B137" s="522"/>
      <c r="C137" s="523">
        <f t="shared" si="53"/>
        <v>1.4152</v>
      </c>
      <c r="D137" s="523">
        <f t="shared" si="49"/>
        <v>424.56</v>
      </c>
      <c r="E137" s="523">
        <f t="shared" si="54"/>
        <v>61</v>
      </c>
      <c r="F137" s="523">
        <f t="shared" si="50"/>
        <v>485.56</v>
      </c>
      <c r="G137" s="523">
        <f t="shared" si="55"/>
        <v>89</v>
      </c>
      <c r="H137" s="523">
        <f t="shared" si="51"/>
        <v>513.55999999999995</v>
      </c>
      <c r="I137" s="571">
        <f t="shared" si="52"/>
        <v>0.39</v>
      </c>
      <c r="J137" s="519"/>
      <c r="K137" s="520"/>
      <c r="L137" s="520"/>
      <c r="M137" s="520"/>
      <c r="N137" s="520"/>
      <c r="O137" s="520"/>
      <c r="P137" s="520"/>
      <c r="Q137" s="520"/>
      <c r="R137" s="520"/>
      <c r="S137" s="520"/>
      <c r="T137" s="520"/>
      <c r="U137" s="520"/>
      <c r="V137" s="520"/>
      <c r="W137" s="520"/>
      <c r="X137" s="520"/>
      <c r="Y137" s="520"/>
      <c r="Z137" s="520"/>
      <c r="AA137" s="520"/>
      <c r="AB137" s="520"/>
      <c r="AC137" s="520"/>
      <c r="AD137" s="520"/>
      <c r="AE137" s="520"/>
      <c r="AF137" s="520"/>
      <c r="AG137" s="520"/>
      <c r="AH137" s="520"/>
      <c r="AI137" s="520"/>
    </row>
    <row r="138" spans="1:35" customFormat="1" ht="18" hidden="1" customHeight="1">
      <c r="A138" s="919"/>
      <c r="B138" s="920"/>
      <c r="C138" s="523"/>
      <c r="D138" s="523"/>
      <c r="E138" s="523"/>
      <c r="F138" s="523"/>
      <c r="G138" s="523"/>
      <c r="H138" s="523"/>
      <c r="I138" s="571"/>
      <c r="J138" s="519"/>
      <c r="K138" s="520"/>
      <c r="L138" s="520"/>
      <c r="M138" s="520"/>
      <c r="N138" s="520"/>
      <c r="O138" s="520"/>
      <c r="P138" s="520"/>
      <c r="Q138" s="520"/>
      <c r="R138" s="520"/>
      <c r="S138" s="520"/>
      <c r="T138" s="520"/>
      <c r="U138" s="520"/>
      <c r="V138" s="520"/>
      <c r="W138" s="520"/>
      <c r="X138" s="520"/>
      <c r="Y138" s="520"/>
      <c r="Z138" s="520"/>
      <c r="AA138" s="520"/>
      <c r="AB138" s="520"/>
      <c r="AC138" s="520"/>
      <c r="AD138" s="520"/>
      <c r="AE138" s="520"/>
      <c r="AF138" s="520"/>
      <c r="AG138" s="520"/>
      <c r="AH138" s="520"/>
      <c r="AI138" s="520"/>
    </row>
    <row r="139" spans="1:35" ht="18" hidden="1" customHeight="1">
      <c r="A139" s="449" t="str">
        <f>+A125</f>
        <v>Montering og demontering er beregnet ved søjlebjælkehus, 50% over 2,25m og 50% under.</v>
      </c>
      <c r="B139" s="440"/>
      <c r="C139" s="441"/>
      <c r="D139" s="441"/>
      <c r="E139" s="441"/>
      <c r="F139" s="441"/>
      <c r="G139" s="441"/>
      <c r="H139" s="441"/>
      <c r="I139" s="450"/>
      <c r="J139" s="445"/>
    </row>
    <row r="140" spans="1:35" ht="18" hidden="1" customHeight="1">
      <c r="A140" s="449"/>
      <c r="B140" s="440"/>
      <c r="C140" s="441"/>
      <c r="D140" s="441"/>
      <c r="E140" s="441"/>
      <c r="F140" s="441"/>
      <c r="G140" s="441"/>
      <c r="H140" s="441"/>
      <c r="I140" s="450"/>
      <c r="J140" s="445"/>
    </row>
    <row r="141" spans="1:35" ht="18" hidden="1" customHeight="1">
      <c r="A141" s="572" t="s">
        <v>176</v>
      </c>
      <c r="B141" s="539">
        <f>+B103</f>
        <v>2.5</v>
      </c>
      <c r="C141" s="540" t="s">
        <v>177</v>
      </c>
      <c r="D141" s="541"/>
      <c r="E141" s="541"/>
      <c r="F141" s="541"/>
      <c r="G141" s="541"/>
      <c r="H141" s="541"/>
      <c r="I141" s="573"/>
      <c r="J141" s="445"/>
    </row>
    <row r="142" spans="1:35" ht="18" hidden="1" customHeight="1" thickBot="1">
      <c r="A142" s="451"/>
      <c r="B142" s="452"/>
      <c r="C142" s="453"/>
      <c r="D142" s="453"/>
      <c r="E142" s="453"/>
      <c r="F142" s="453"/>
      <c r="G142" s="453"/>
      <c r="H142" s="453"/>
      <c r="I142" s="454"/>
      <c r="J142" s="455"/>
    </row>
    <row r="143" spans="1:35" customFormat="1" ht="18" hidden="1" customHeight="1">
      <c r="A143" s="564"/>
      <c r="B143" s="564"/>
      <c r="C143" s="565"/>
      <c r="D143" s="565"/>
      <c r="E143" s="565"/>
      <c r="F143" s="565"/>
      <c r="G143" s="565"/>
      <c r="H143" s="565"/>
      <c r="I143" s="566"/>
      <c r="J143" s="520"/>
      <c r="K143" s="520"/>
      <c r="L143" s="418"/>
      <c r="M143" s="418"/>
      <c r="N143" s="418"/>
      <c r="O143" s="418"/>
      <c r="P143" s="418"/>
      <c r="Q143" s="418"/>
      <c r="R143" s="418"/>
      <c r="S143" s="418"/>
      <c r="T143" s="418"/>
      <c r="U143" s="520"/>
      <c r="V143" s="520"/>
      <c r="W143" s="520"/>
      <c r="X143" s="520"/>
      <c r="Y143" s="520"/>
      <c r="Z143" s="520"/>
      <c r="AA143" s="520"/>
      <c r="AB143" s="520"/>
      <c r="AC143" s="520"/>
      <c r="AD143" s="520"/>
      <c r="AE143" s="520"/>
      <c r="AF143" s="520"/>
      <c r="AG143" s="520"/>
      <c r="AH143" s="520"/>
      <c r="AI143" s="520"/>
    </row>
    <row r="144" spans="1:35" customFormat="1" ht="18" hidden="1" customHeight="1">
      <c r="A144" s="564"/>
      <c r="B144" s="564"/>
      <c r="C144" s="565"/>
      <c r="D144" s="565"/>
      <c r="E144" s="565"/>
      <c r="F144" s="565"/>
      <c r="G144" s="565"/>
      <c r="H144" s="565"/>
      <c r="I144" s="566"/>
      <c r="J144" s="520"/>
      <c r="K144" s="520"/>
      <c r="L144" s="418"/>
      <c r="M144" s="418"/>
      <c r="N144" s="418"/>
      <c r="O144" s="418"/>
      <c r="P144" s="418"/>
      <c r="Q144" s="418"/>
      <c r="R144" s="418"/>
      <c r="S144" s="418"/>
      <c r="T144" s="418"/>
      <c r="U144" s="520"/>
      <c r="V144" s="520"/>
      <c r="W144" s="520"/>
      <c r="X144" s="520"/>
      <c r="Y144" s="520"/>
      <c r="Z144" s="520"/>
      <c r="AA144" s="520"/>
      <c r="AB144" s="520"/>
      <c r="AC144" s="520"/>
      <c r="AD144" s="520"/>
      <c r="AE144" s="520"/>
      <c r="AF144" s="520"/>
      <c r="AG144" s="520"/>
      <c r="AH144" s="520"/>
      <c r="AI144" s="520"/>
    </row>
    <row r="145" spans="1:35" customFormat="1" ht="18" hidden="1" customHeight="1">
      <c r="A145" s="564"/>
      <c r="B145" s="564"/>
      <c r="C145" s="565"/>
      <c r="D145" s="565"/>
      <c r="E145" s="565"/>
      <c r="F145" s="565"/>
      <c r="G145" s="565"/>
      <c r="H145" s="565"/>
      <c r="I145" s="566"/>
      <c r="J145" s="520"/>
      <c r="K145" s="520"/>
      <c r="L145" s="418"/>
      <c r="M145" s="418"/>
      <c r="N145" s="418"/>
      <c r="O145" s="418"/>
      <c r="P145" s="418"/>
      <c r="Q145" s="418"/>
      <c r="R145" s="418"/>
      <c r="S145" s="418"/>
      <c r="T145" s="418"/>
      <c r="U145" s="520"/>
      <c r="V145" s="520"/>
      <c r="W145" s="520"/>
      <c r="X145" s="520"/>
      <c r="Y145" s="520"/>
      <c r="Z145" s="520"/>
      <c r="AA145" s="520"/>
      <c r="AB145" s="520"/>
      <c r="AC145" s="520"/>
      <c r="AD145" s="520"/>
      <c r="AE145" s="520"/>
      <c r="AF145" s="520"/>
      <c r="AG145" s="520"/>
      <c r="AH145" s="520"/>
      <c r="AI145" s="520"/>
    </row>
    <row r="146" spans="1:35" customFormat="1" ht="18" hidden="1" customHeight="1">
      <c r="A146" s="564"/>
      <c r="B146" s="564"/>
      <c r="C146" s="565"/>
      <c r="D146" s="565"/>
      <c r="E146" s="565"/>
      <c r="F146" s="565"/>
      <c r="G146" s="565"/>
      <c r="H146" s="565"/>
      <c r="I146" s="566"/>
      <c r="J146" s="520"/>
      <c r="K146" s="520"/>
      <c r="L146" s="418"/>
      <c r="M146" s="418"/>
      <c r="N146" s="418"/>
      <c r="O146" s="418"/>
      <c r="P146" s="418"/>
      <c r="Q146" s="418"/>
      <c r="R146" s="418"/>
      <c r="S146" s="418"/>
      <c r="T146" s="418"/>
      <c r="U146" s="520"/>
      <c r="V146" s="520"/>
      <c r="W146" s="520"/>
      <c r="X146" s="520"/>
      <c r="Y146" s="520"/>
      <c r="Z146" s="520"/>
      <c r="AA146" s="520"/>
      <c r="AB146" s="520"/>
      <c r="AC146" s="520"/>
      <c r="AD146" s="520"/>
      <c r="AE146" s="520"/>
      <c r="AF146" s="520"/>
      <c r="AG146" s="520"/>
      <c r="AH146" s="520"/>
      <c r="AI146" s="520"/>
    </row>
    <row r="147" spans="1:35" customFormat="1" ht="18" hidden="1" customHeight="1">
      <c r="A147" s="897" t="s">
        <v>187</v>
      </c>
      <c r="B147" s="898"/>
      <c r="C147" s="898"/>
      <c r="D147" s="898"/>
      <c r="E147" s="898"/>
      <c r="F147" s="898"/>
      <c r="G147" s="898"/>
      <c r="H147" s="898"/>
      <c r="I147" s="899"/>
      <c r="J147" s="897"/>
      <c r="K147" s="520"/>
      <c r="L147" s="418"/>
      <c r="M147" s="418"/>
      <c r="N147" s="418"/>
      <c r="O147" s="418"/>
      <c r="P147" s="418"/>
      <c r="Q147" s="418"/>
      <c r="R147" s="418"/>
      <c r="S147" s="418"/>
      <c r="T147" s="418"/>
      <c r="U147" s="520"/>
      <c r="V147" s="520"/>
      <c r="W147" s="520"/>
      <c r="X147" s="520"/>
      <c r="Y147" s="520"/>
      <c r="Z147" s="520"/>
      <c r="AA147" s="520"/>
      <c r="AB147" s="520"/>
      <c r="AC147" s="520"/>
      <c r="AD147" s="520"/>
      <c r="AE147" s="520"/>
      <c r="AF147" s="520"/>
      <c r="AG147" s="520"/>
      <c r="AH147" s="520"/>
      <c r="AI147" s="520"/>
    </row>
    <row r="148" spans="1:35" customFormat="1" ht="18" hidden="1" customHeight="1">
      <c r="A148" s="900"/>
      <c r="B148" s="901"/>
      <c r="C148" s="901"/>
      <c r="D148" s="901"/>
      <c r="E148" s="901"/>
      <c r="F148" s="901"/>
      <c r="G148" s="901"/>
      <c r="H148" s="901"/>
      <c r="I148" s="902"/>
      <c r="J148" s="900"/>
      <c r="K148" s="520"/>
      <c r="L148" s="418"/>
      <c r="M148" s="418"/>
      <c r="N148" s="418"/>
      <c r="O148" s="418"/>
      <c r="P148" s="418"/>
      <c r="Q148" s="418"/>
      <c r="R148" s="418"/>
      <c r="S148" s="418"/>
      <c r="T148" s="418"/>
      <c r="U148" s="520"/>
      <c r="V148" s="520"/>
      <c r="W148" s="520"/>
      <c r="X148" s="520"/>
      <c r="Y148" s="520"/>
      <c r="Z148" s="520"/>
      <c r="AA148" s="520"/>
      <c r="AB148" s="520"/>
      <c r="AC148" s="520"/>
      <c r="AD148" s="520"/>
      <c r="AE148" s="520"/>
      <c r="AF148" s="520"/>
      <c r="AG148" s="520"/>
      <c r="AH148" s="520"/>
      <c r="AI148" s="520"/>
    </row>
    <row r="149" spans="1:35" ht="15.65" customHeight="1">
      <c r="A149" s="921" t="s">
        <v>188</v>
      </c>
      <c r="B149" s="922"/>
      <c r="C149" s="922"/>
      <c r="D149" s="922"/>
      <c r="E149" s="922"/>
      <c r="F149" s="923"/>
      <c r="G149" s="930" t="s">
        <v>189</v>
      </c>
      <c r="H149" s="931"/>
      <c r="I149" s="932"/>
      <c r="J149" s="939" t="s">
        <v>190</v>
      </c>
    </row>
    <row r="150" spans="1:35" ht="18.649999999999999" hidden="1" customHeight="1">
      <c r="A150" s="924"/>
      <c r="B150" s="925"/>
      <c r="C150" s="925"/>
      <c r="D150" s="925"/>
      <c r="E150" s="925"/>
      <c r="F150" s="926"/>
      <c r="G150" s="933"/>
      <c r="H150" s="934"/>
      <c r="I150" s="935"/>
      <c r="J150" s="940"/>
    </row>
    <row r="151" spans="1:35" ht="18.649999999999999" hidden="1" customHeight="1">
      <c r="A151" s="927"/>
      <c r="B151" s="928"/>
      <c r="C151" s="928"/>
      <c r="D151" s="928"/>
      <c r="E151" s="928"/>
      <c r="F151" s="929"/>
      <c r="G151" s="936"/>
      <c r="H151" s="937"/>
      <c r="I151" s="938"/>
      <c r="J151" s="940"/>
    </row>
    <row r="152" spans="1:35" hidden="1">
      <c r="A152" s="894" t="s">
        <v>191</v>
      </c>
      <c r="B152" s="895"/>
      <c r="C152" s="895"/>
      <c r="D152" s="895"/>
      <c r="E152" s="896"/>
      <c r="F152" s="574">
        <v>220</v>
      </c>
      <c r="G152" s="575" t="s">
        <v>192</v>
      </c>
      <c r="H152" s="576" t="s">
        <v>105</v>
      </c>
      <c r="I152" s="577" t="s">
        <v>14</v>
      </c>
      <c r="J152" s="941"/>
      <c r="M152" s="592">
        <f>+F152/8.25</f>
        <v>26.666666666666668</v>
      </c>
    </row>
    <row r="153" spans="1:35">
      <c r="A153" s="894" t="s">
        <v>193</v>
      </c>
      <c r="B153" s="895"/>
      <c r="C153" s="895"/>
      <c r="D153" s="895"/>
      <c r="E153" s="896"/>
      <c r="F153" s="578">
        <v>267</v>
      </c>
      <c r="G153" s="579">
        <f>+(F153+F152)/2</f>
        <v>243.5</v>
      </c>
      <c r="H153" s="594">
        <v>37</v>
      </c>
      <c r="I153" s="580">
        <f>+G153+H153</f>
        <v>280.5</v>
      </c>
      <c r="J153" s="581">
        <v>150</v>
      </c>
      <c r="M153" s="592"/>
      <c r="N153" s="593"/>
    </row>
    <row r="154" spans="1:35" hidden="1">
      <c r="A154" s="894" t="s">
        <v>194</v>
      </c>
      <c r="B154" s="895"/>
      <c r="C154" s="895"/>
      <c r="D154" s="895"/>
      <c r="E154" s="896"/>
      <c r="F154" s="582">
        <v>69</v>
      </c>
      <c r="G154" s="418"/>
      <c r="H154" s="583"/>
      <c r="I154" s="584"/>
      <c r="J154" s="585"/>
      <c r="M154" s="592"/>
    </row>
    <row r="155" spans="1:35">
      <c r="A155" s="894" t="s">
        <v>195</v>
      </c>
      <c r="B155" s="895"/>
      <c r="C155" s="895"/>
      <c r="D155" s="895"/>
      <c r="E155" s="896"/>
      <c r="F155" s="586">
        <v>267</v>
      </c>
      <c r="G155" s="579">
        <f>+(F155+F154)/2</f>
        <v>168</v>
      </c>
      <c r="H155" s="594">
        <v>17</v>
      </c>
      <c r="I155" s="580">
        <f>+G155+H155</f>
        <v>185</v>
      </c>
      <c r="J155" s="581">
        <v>50</v>
      </c>
      <c r="M155" s="592"/>
      <c r="N155" s="593"/>
    </row>
    <row r="156" spans="1:35" hidden="1">
      <c r="A156" s="442" t="s">
        <v>196</v>
      </c>
      <c r="B156" s="457"/>
      <c r="C156" s="457"/>
      <c r="D156" s="457"/>
      <c r="E156" s="458"/>
      <c r="F156" s="458"/>
      <c r="G156" s="417"/>
      <c r="H156" s="417"/>
      <c r="I156" s="417"/>
      <c r="J156" s="417"/>
      <c r="N156" s="593"/>
    </row>
    <row r="157" spans="1:35" hidden="1"/>
    <row r="158" spans="1:35" hidden="1"/>
    <row r="159" spans="1:35" hidden="1">
      <c r="A159" s="897" t="s">
        <v>197</v>
      </c>
      <c r="B159" s="898"/>
      <c r="C159" s="898"/>
      <c r="D159" s="898"/>
      <c r="E159" s="898"/>
      <c r="F159" s="898"/>
      <c r="G159" s="898"/>
      <c r="H159" s="898"/>
      <c r="I159" s="899"/>
    </row>
    <row r="160" spans="1:35" hidden="1">
      <c r="A160" s="900"/>
      <c r="B160" s="901"/>
      <c r="C160" s="901"/>
      <c r="D160" s="901"/>
      <c r="E160" s="901"/>
      <c r="F160" s="901"/>
      <c r="G160" s="901"/>
      <c r="H160" s="901"/>
      <c r="I160" s="902"/>
    </row>
    <row r="161" spans="1:9" hidden="1">
      <c r="A161" s="903" t="s">
        <v>198</v>
      </c>
      <c r="B161" s="904"/>
      <c r="C161" s="904"/>
      <c r="D161" s="904"/>
      <c r="E161" s="904"/>
      <c r="F161" s="905"/>
      <c r="G161" s="912" t="s">
        <v>189</v>
      </c>
      <c r="H161" s="913"/>
      <c r="I161" s="914" t="s">
        <v>199</v>
      </c>
    </row>
    <row r="162" spans="1:9" hidden="1">
      <c r="A162" s="906"/>
      <c r="B162" s="907"/>
      <c r="C162" s="907"/>
      <c r="D162" s="907"/>
      <c r="E162" s="907"/>
      <c r="F162" s="908"/>
      <c r="G162" s="912"/>
      <c r="H162" s="913"/>
      <c r="I162" s="915"/>
    </row>
    <row r="163" spans="1:9" hidden="1">
      <c r="A163" s="906"/>
      <c r="B163" s="907"/>
      <c r="C163" s="907"/>
      <c r="D163" s="907"/>
      <c r="E163" s="907"/>
      <c r="F163" s="908"/>
      <c r="G163" s="912"/>
      <c r="H163" s="913"/>
      <c r="I163" s="915"/>
    </row>
    <row r="164" spans="1:9" hidden="1">
      <c r="A164" s="909"/>
      <c r="B164" s="910"/>
      <c r="C164" s="910"/>
      <c r="D164" s="910"/>
      <c r="E164" s="910"/>
      <c r="F164" s="911"/>
      <c r="G164" s="912"/>
      <c r="H164" s="913"/>
      <c r="I164" s="916"/>
    </row>
    <row r="165" spans="1:9" hidden="1">
      <c r="A165" s="894" t="s">
        <v>191</v>
      </c>
      <c r="B165" s="895"/>
      <c r="C165" s="895"/>
      <c r="D165" s="895"/>
      <c r="E165" s="896"/>
      <c r="F165" s="574">
        <v>125</v>
      </c>
      <c r="G165" s="587" t="s">
        <v>192</v>
      </c>
      <c r="H165" s="418"/>
      <c r="I165" s="588" t="str">
        <f>+G165</f>
        <v>Modul</v>
      </c>
    </row>
    <row r="166" spans="1:9" hidden="1">
      <c r="A166" s="894" t="s">
        <v>193</v>
      </c>
      <c r="B166" s="895"/>
      <c r="C166" s="895"/>
      <c r="D166" s="895"/>
      <c r="E166" s="896"/>
      <c r="F166" s="578">
        <v>180</v>
      </c>
      <c r="G166" s="579">
        <f>+(F166+F165)/2</f>
        <v>152.5</v>
      </c>
      <c r="H166" s="418"/>
      <c r="I166" s="581">
        <v>100</v>
      </c>
    </row>
    <row r="167" spans="1:9" hidden="1">
      <c r="A167" s="894" t="s">
        <v>194</v>
      </c>
      <c r="B167" s="895"/>
      <c r="C167" s="895"/>
      <c r="D167" s="895"/>
      <c r="E167" s="896"/>
      <c r="F167" s="582">
        <v>65</v>
      </c>
      <c r="G167" s="418"/>
      <c r="H167" s="418"/>
      <c r="I167" s="585"/>
    </row>
    <row r="168" spans="1:9" hidden="1">
      <c r="A168" s="894" t="s">
        <v>195</v>
      </c>
      <c r="B168" s="895"/>
      <c r="C168" s="895"/>
      <c r="D168" s="895"/>
      <c r="E168" s="896"/>
      <c r="F168" s="586">
        <v>75</v>
      </c>
      <c r="G168" s="579">
        <f>+(F168+F167)/2</f>
        <v>70</v>
      </c>
      <c r="H168" s="418"/>
      <c r="I168" s="581">
        <v>50</v>
      </c>
    </row>
    <row r="169" spans="1:9" hidden="1"/>
    <row r="170" spans="1:9" hidden="1"/>
    <row r="171" spans="1:9" hidden="1">
      <c r="A171" s="897" t="s">
        <v>200</v>
      </c>
      <c r="B171" s="898"/>
      <c r="C171" s="898"/>
      <c r="D171" s="898"/>
      <c r="E171" s="898"/>
      <c r="F171" s="899"/>
    </row>
    <row r="172" spans="1:9" hidden="1">
      <c r="A172" s="900"/>
      <c r="B172" s="901"/>
      <c r="C172" s="901"/>
      <c r="D172" s="901"/>
      <c r="E172" s="901"/>
      <c r="F172" s="902"/>
    </row>
    <row r="173" spans="1:9" ht="15.65" hidden="1" customHeight="1">
      <c r="A173" s="891" t="s">
        <v>122</v>
      </c>
      <c r="B173" s="892"/>
      <c r="C173" s="892"/>
      <c r="D173" s="892"/>
      <c r="E173" s="893"/>
      <c r="F173" s="589">
        <v>30</v>
      </c>
    </row>
    <row r="174" spans="1:9" ht="15.65" hidden="1" customHeight="1">
      <c r="A174" s="459"/>
      <c r="B174" s="502"/>
      <c r="C174" s="502"/>
      <c r="D174" s="502"/>
      <c r="E174" s="502"/>
      <c r="F174" s="590"/>
    </row>
    <row r="175" spans="1:9" hidden="1">
      <c r="A175" s="459" t="s">
        <v>123</v>
      </c>
      <c r="B175" s="460"/>
      <c r="C175" s="460"/>
      <c r="D175" s="460"/>
      <c r="E175" s="460"/>
      <c r="F175" s="591">
        <v>14</v>
      </c>
    </row>
    <row r="176" spans="1:9" hidden="1"/>
  </sheetData>
  <sheetProtection selectLockedCells="1" autoFilter="0"/>
  <autoFilter ref="J7:J176" xr:uid="{00000000-0009-0000-0000-000004000000}">
    <filterColumn colId="0">
      <customFilters>
        <customFilter operator="notEqual" val=" "/>
      </customFilters>
    </filterColumn>
  </autoFilter>
  <mergeCells count="57">
    <mergeCell ref="A20:B20"/>
    <mergeCell ref="A1:A2"/>
    <mergeCell ref="B1:B2"/>
    <mergeCell ref="A3:C5"/>
    <mergeCell ref="F10:H12"/>
    <mergeCell ref="A16:B16"/>
    <mergeCell ref="A64:B64"/>
    <mergeCell ref="A22:B22"/>
    <mergeCell ref="A27:B27"/>
    <mergeCell ref="A30:B30"/>
    <mergeCell ref="A34:B34"/>
    <mergeCell ref="A36:B36"/>
    <mergeCell ref="A41:B41"/>
    <mergeCell ref="A47:B47"/>
    <mergeCell ref="A51:B51"/>
    <mergeCell ref="A53:B53"/>
    <mergeCell ref="A58:B58"/>
    <mergeCell ref="A60:B60"/>
    <mergeCell ref="D110:F110"/>
    <mergeCell ref="D111:F111"/>
    <mergeCell ref="A66:B66"/>
    <mergeCell ref="A71:B71"/>
    <mergeCell ref="A75:B75"/>
    <mergeCell ref="A79:B79"/>
    <mergeCell ref="A81:B81"/>
    <mergeCell ref="A86:B86"/>
    <mergeCell ref="A131:B131"/>
    <mergeCell ref="A89:B89"/>
    <mergeCell ref="A93:B93"/>
    <mergeCell ref="A95:B95"/>
    <mergeCell ref="A100:B100"/>
    <mergeCell ref="A113:B113"/>
    <mergeCell ref="A117:B117"/>
    <mergeCell ref="A119:B119"/>
    <mergeCell ref="A124:B124"/>
    <mergeCell ref="A127:B127"/>
    <mergeCell ref="A133:B133"/>
    <mergeCell ref="A138:B138"/>
    <mergeCell ref="A147:I148"/>
    <mergeCell ref="J147:J148"/>
    <mergeCell ref="A149:F151"/>
    <mergeCell ref="G149:I151"/>
    <mergeCell ref="J149:J152"/>
    <mergeCell ref="A152:E152"/>
    <mergeCell ref="A173:E173"/>
    <mergeCell ref="A153:E153"/>
    <mergeCell ref="A154:E154"/>
    <mergeCell ref="A155:E155"/>
    <mergeCell ref="A159:I160"/>
    <mergeCell ref="A161:F164"/>
    <mergeCell ref="G161:H164"/>
    <mergeCell ref="I161:I164"/>
    <mergeCell ref="A165:E165"/>
    <mergeCell ref="A166:E166"/>
    <mergeCell ref="A167:E167"/>
    <mergeCell ref="A168:E168"/>
    <mergeCell ref="A171:F172"/>
  </mergeCells>
  <pageMargins left="0.70866141732283472" right="0.51181102362204722" top="0.35433070866141736" bottom="0.74803149606299213" header="0.31496062992125984" footer="0.31496062992125984"/>
  <pageSetup paperSize="9" scale="54" fitToHeight="0" orientation="landscape"/>
  <headerFooter>
    <oddFooter>Side &amp;P af &amp;N</oddFooter>
  </headerFooter>
  <rowBreaks count="2" manualBreakCount="2">
    <brk id="45" max="8" man="1"/>
    <brk id="106" max="8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BD98"/>
  <sheetViews>
    <sheetView showGridLines="0" zoomScale="55" zoomScaleNormal="55" zoomScalePageLayoutView="55" workbookViewId="0">
      <selection activeCell="D21" sqref="D21"/>
    </sheetView>
  </sheetViews>
  <sheetFormatPr defaultColWidth="9.1796875" defaultRowHeight="15.5"/>
  <cols>
    <col min="1" max="1" width="19.453125" style="417" customWidth="1"/>
    <col min="2" max="2" width="15.1796875" style="417" customWidth="1"/>
    <col min="3" max="3" width="25.81640625" style="419" customWidth="1"/>
    <col min="4" max="5" width="27.81640625" style="419" customWidth="1"/>
    <col min="6" max="6" width="31.453125" style="419" bestFit="1" customWidth="1"/>
    <col min="7" max="7" width="27.81640625" style="419" customWidth="1"/>
    <col min="8" max="8" width="36.453125" style="419" customWidth="1"/>
    <col min="9" max="9" width="19.1796875" style="420" customWidth="1"/>
    <col min="10" max="10" width="15.1796875" style="418" bestFit="1" customWidth="1"/>
    <col min="11" max="12" width="4.1796875" style="418" customWidth="1"/>
    <col min="13" max="13" width="56.81640625" style="418" customWidth="1"/>
    <col min="14" max="17" width="13" style="418" customWidth="1"/>
    <col min="18" max="18" width="34.453125" style="418" customWidth="1"/>
    <col min="19" max="35" width="13" style="418" customWidth="1"/>
    <col min="36" max="16384" width="9.1796875" style="417"/>
  </cols>
  <sheetData>
    <row r="1" spans="1:35">
      <c r="A1" s="951" t="s">
        <v>124</v>
      </c>
      <c r="B1" s="421"/>
      <c r="C1" s="421"/>
    </row>
    <row r="2" spans="1:35">
      <c r="A2" s="951"/>
      <c r="B2" s="461"/>
      <c r="C2" s="421"/>
    </row>
    <row r="3" spans="1:35">
      <c r="A3" s="953" t="s">
        <v>201</v>
      </c>
      <c r="B3" s="953"/>
      <c r="C3" s="953"/>
      <c r="G3" s="419" t="s">
        <v>104</v>
      </c>
    </row>
    <row r="4" spans="1:35">
      <c r="A4" s="953"/>
      <c r="B4" s="953"/>
      <c r="C4" s="953"/>
    </row>
    <row r="5" spans="1:35">
      <c r="A5" s="953"/>
      <c r="B5" s="953"/>
      <c r="C5" s="953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</row>
    <row r="6" spans="1:35">
      <c r="A6" s="423" t="s">
        <v>125</v>
      </c>
      <c r="B6" s="424"/>
    </row>
    <row r="7" spans="1:35">
      <c r="A7" s="425"/>
      <c r="B7" s="419"/>
    </row>
    <row r="8" spans="1:35">
      <c r="B8" s="443"/>
      <c r="C8" s="417"/>
      <c r="D8" s="417"/>
      <c r="E8" s="426"/>
      <c r="F8" s="426"/>
      <c r="G8" s="426"/>
      <c r="H8" s="426"/>
      <c r="I8" s="427"/>
      <c r="J8" s="418" t="s">
        <v>110</v>
      </c>
    </row>
    <row r="9" spans="1:35">
      <c r="A9" s="462" t="s">
        <v>111</v>
      </c>
      <c r="B9" s="443"/>
      <c r="C9" s="417"/>
      <c r="D9" s="417"/>
      <c r="E9" s="426"/>
      <c r="F9" s="426"/>
      <c r="G9" s="426"/>
      <c r="H9" s="426"/>
      <c r="J9" s="418" t="s">
        <v>110</v>
      </c>
    </row>
    <row r="10" spans="1:35">
      <c r="A10" s="428" t="s">
        <v>112</v>
      </c>
      <c r="B10" s="430"/>
      <c r="C10" s="430"/>
      <c r="D10" s="417"/>
      <c r="E10" s="430"/>
      <c r="F10" s="430"/>
      <c r="G10" s="430"/>
      <c r="H10" s="430"/>
      <c r="I10" s="430"/>
      <c r="J10" s="418" t="s">
        <v>110</v>
      </c>
    </row>
    <row r="11" spans="1:35">
      <c r="A11" s="431" t="s">
        <v>113</v>
      </c>
      <c r="B11" s="430"/>
      <c r="C11" s="429"/>
      <c r="D11" s="429"/>
      <c r="E11" s="417"/>
      <c r="F11" s="429"/>
      <c r="G11" s="429"/>
      <c r="H11" s="429"/>
      <c r="I11" s="429"/>
      <c r="J11" s="418" t="s">
        <v>110</v>
      </c>
    </row>
    <row r="12" spans="1:35">
      <c r="A12" s="417" t="s">
        <v>126</v>
      </c>
      <c r="B12" s="439">
        <v>14.4</v>
      </c>
      <c r="C12" s="956">
        <v>0</v>
      </c>
      <c r="D12" s="429" t="s">
        <v>127</v>
      </c>
      <c r="E12" s="417"/>
      <c r="F12" s="417"/>
      <c r="G12" s="425"/>
      <c r="H12" s="425"/>
      <c r="I12" s="417"/>
      <c r="J12" s="418" t="s">
        <v>110</v>
      </c>
    </row>
    <row r="13" spans="1:35">
      <c r="A13" s="463" t="s">
        <v>105</v>
      </c>
      <c r="B13" s="439">
        <v>1.1000000000000001</v>
      </c>
      <c r="C13" s="956"/>
      <c r="D13" s="425" t="s">
        <v>128</v>
      </c>
      <c r="E13" s="425"/>
      <c r="F13" s="425"/>
      <c r="G13" s="425"/>
      <c r="H13" s="425"/>
      <c r="I13" s="432"/>
      <c r="J13" s="418" t="s">
        <v>110</v>
      </c>
    </row>
    <row r="14" spans="1:35">
      <c r="A14" s="433"/>
      <c r="B14" s="434"/>
      <c r="I14" s="435"/>
      <c r="J14" s="418" t="s">
        <v>110</v>
      </c>
    </row>
    <row r="15" spans="1:35" ht="31">
      <c r="A15" s="955" t="s">
        <v>129</v>
      </c>
      <c r="B15" s="955"/>
      <c r="C15" s="436" t="s">
        <v>114</v>
      </c>
      <c r="D15" s="436" t="s">
        <v>130</v>
      </c>
      <c r="E15" s="436" t="s">
        <v>115</v>
      </c>
      <c r="F15" s="436" t="s">
        <v>116</v>
      </c>
      <c r="G15" s="436" t="s">
        <v>117</v>
      </c>
      <c r="H15" s="605" t="s">
        <v>118</v>
      </c>
      <c r="I15" s="437" t="s">
        <v>119</v>
      </c>
      <c r="J15" s="526" t="s">
        <v>110</v>
      </c>
    </row>
    <row r="16" spans="1:35">
      <c r="A16" s="525">
        <v>14</v>
      </c>
      <c r="B16" s="438"/>
      <c r="C16" s="439">
        <f>+B12*(1-I16)*(1+C12)</f>
        <v>14.4</v>
      </c>
      <c r="D16" s="439">
        <f>A16*C16</f>
        <v>201.6</v>
      </c>
      <c r="E16" s="439">
        <f>+F62</f>
        <v>435.85</v>
      </c>
      <c r="F16" s="439">
        <f>+D16+E16</f>
        <v>637.45000000000005</v>
      </c>
      <c r="G16" s="439">
        <f>+E16+F63</f>
        <v>608.35</v>
      </c>
      <c r="H16" s="549">
        <f>+D16+G16</f>
        <v>809.95</v>
      </c>
      <c r="I16" s="528">
        <v>0</v>
      </c>
      <c r="J16" s="526" t="s">
        <v>110</v>
      </c>
    </row>
    <row r="17" spans="1:18">
      <c r="A17" s="525">
        <v>30</v>
      </c>
      <c r="B17" s="438"/>
      <c r="C17" s="439">
        <f>+$B$12*(1+$C$12)*(1-I17)</f>
        <v>14.4</v>
      </c>
      <c r="D17" s="439">
        <f>A17*C17</f>
        <v>432</v>
      </c>
      <c r="E17" s="439">
        <f>+E16</f>
        <v>435.85</v>
      </c>
      <c r="F17" s="439">
        <f>+D17+E17</f>
        <v>867.85</v>
      </c>
      <c r="G17" s="439">
        <f>+G16</f>
        <v>608.35</v>
      </c>
      <c r="H17" s="549">
        <f>+D17+G17</f>
        <v>1040.3499999999999</v>
      </c>
      <c r="I17" s="528">
        <v>0</v>
      </c>
      <c r="J17" s="526" t="s">
        <v>110</v>
      </c>
    </row>
    <row r="18" spans="1:18" ht="18" hidden="1" customHeight="1">
      <c r="A18" s="597" t="s">
        <v>120</v>
      </c>
      <c r="B18" s="598"/>
      <c r="C18" s="599">
        <f>+B12</f>
        <v>14.4</v>
      </c>
      <c r="D18" s="599"/>
      <c r="E18" s="599"/>
      <c r="F18" s="599"/>
      <c r="G18" s="599"/>
      <c r="H18" s="599"/>
      <c r="I18" s="600"/>
      <c r="J18" s="526"/>
    </row>
    <row r="19" spans="1:18">
      <c r="A19" s="944">
        <v>60</v>
      </c>
      <c r="B19" s="918"/>
      <c r="C19" s="439">
        <f t="shared" ref="C19:C25" si="0">+$B$12*(1+$C$12)*(1-I19)</f>
        <v>14.4</v>
      </c>
      <c r="D19" s="439">
        <f t="shared" ref="D19:D25" si="1">A19*C19</f>
        <v>864</v>
      </c>
      <c r="E19" s="439">
        <f>+E17</f>
        <v>435.85</v>
      </c>
      <c r="F19" s="439">
        <f t="shared" ref="F19:F25" si="2">+D19+E19</f>
        <v>1299.8499999999999</v>
      </c>
      <c r="G19" s="439">
        <f>+G17</f>
        <v>608.35</v>
      </c>
      <c r="H19" s="549">
        <f t="shared" ref="H19:H25" si="3">+D19+G19</f>
        <v>1472.35</v>
      </c>
      <c r="I19" s="528">
        <v>0</v>
      </c>
      <c r="J19" s="526" t="s">
        <v>110</v>
      </c>
    </row>
    <row r="20" spans="1:18" hidden="1">
      <c r="A20" s="597">
        <v>90</v>
      </c>
      <c r="B20" s="598"/>
      <c r="C20" s="599">
        <f t="shared" si="0"/>
        <v>12.672000000000001</v>
      </c>
      <c r="D20" s="599">
        <f t="shared" si="1"/>
        <v>1140.48</v>
      </c>
      <c r="E20" s="599">
        <f t="shared" ref="E20:E25" si="4">+E19</f>
        <v>435.85</v>
      </c>
      <c r="F20" s="599">
        <f t="shared" si="2"/>
        <v>1576.33</v>
      </c>
      <c r="G20" s="599">
        <f t="shared" ref="G20:G25" si="5">+G19</f>
        <v>608.35</v>
      </c>
      <c r="H20" s="599">
        <f t="shared" si="3"/>
        <v>1748.83</v>
      </c>
      <c r="I20" s="601">
        <v>0.12</v>
      </c>
      <c r="J20" s="526"/>
    </row>
    <row r="21" spans="1:18">
      <c r="A21" s="944">
        <v>120</v>
      </c>
      <c r="B21" s="918"/>
      <c r="C21" s="439">
        <f t="shared" si="0"/>
        <v>9.7919999999999998</v>
      </c>
      <c r="D21" s="439">
        <f t="shared" si="1"/>
        <v>1175.04</v>
      </c>
      <c r="E21" s="439">
        <f t="shared" si="4"/>
        <v>435.85</v>
      </c>
      <c r="F21" s="439">
        <f t="shared" si="2"/>
        <v>1610.8899999999999</v>
      </c>
      <c r="G21" s="439">
        <f t="shared" si="5"/>
        <v>608.35</v>
      </c>
      <c r="H21" s="549">
        <f t="shared" si="3"/>
        <v>1783.3899999999999</v>
      </c>
      <c r="I21" s="528">
        <v>0.32</v>
      </c>
      <c r="J21" s="526" t="s">
        <v>110</v>
      </c>
    </row>
    <row r="22" spans="1:18">
      <c r="A22" s="525">
        <v>150</v>
      </c>
      <c r="B22" s="438"/>
      <c r="C22" s="439">
        <f t="shared" si="0"/>
        <v>9.7919999999999998</v>
      </c>
      <c r="D22" s="439">
        <f t="shared" si="1"/>
        <v>1468.8</v>
      </c>
      <c r="E22" s="439">
        <f t="shared" si="4"/>
        <v>435.85</v>
      </c>
      <c r="F22" s="439">
        <f t="shared" si="2"/>
        <v>1904.65</v>
      </c>
      <c r="G22" s="439">
        <f t="shared" si="5"/>
        <v>608.35</v>
      </c>
      <c r="H22" s="549">
        <f t="shared" si="3"/>
        <v>2077.15</v>
      </c>
      <c r="I22" s="528">
        <v>0.32</v>
      </c>
      <c r="J22" s="526" t="s">
        <v>110</v>
      </c>
    </row>
    <row r="23" spans="1:18">
      <c r="A23" s="525">
        <v>180</v>
      </c>
      <c r="B23" s="438"/>
      <c r="C23" s="439">
        <f t="shared" si="0"/>
        <v>9.7919999999999998</v>
      </c>
      <c r="D23" s="439">
        <f t="shared" si="1"/>
        <v>1762.56</v>
      </c>
      <c r="E23" s="439">
        <f t="shared" si="4"/>
        <v>435.85</v>
      </c>
      <c r="F23" s="439">
        <f t="shared" si="2"/>
        <v>2198.41</v>
      </c>
      <c r="G23" s="439">
        <f t="shared" si="5"/>
        <v>608.35</v>
      </c>
      <c r="H23" s="549">
        <f t="shared" si="3"/>
        <v>2370.91</v>
      </c>
      <c r="I23" s="528">
        <v>0.32</v>
      </c>
      <c r="J23" s="526" t="s">
        <v>110</v>
      </c>
    </row>
    <row r="24" spans="1:18" hidden="1">
      <c r="A24" s="597">
        <v>210</v>
      </c>
      <c r="B24" s="598"/>
      <c r="C24" s="599">
        <f t="shared" si="0"/>
        <v>9.7919999999999998</v>
      </c>
      <c r="D24" s="599">
        <f t="shared" si="1"/>
        <v>2056.3200000000002</v>
      </c>
      <c r="E24" s="599">
        <f t="shared" si="4"/>
        <v>435.85</v>
      </c>
      <c r="F24" s="599">
        <f t="shared" si="2"/>
        <v>2492.17</v>
      </c>
      <c r="G24" s="599">
        <f t="shared" si="5"/>
        <v>608.35</v>
      </c>
      <c r="H24" s="599">
        <f t="shared" si="3"/>
        <v>2664.67</v>
      </c>
      <c r="I24" s="601">
        <v>0.32</v>
      </c>
      <c r="J24" s="526"/>
    </row>
    <row r="25" spans="1:18" hidden="1">
      <c r="A25" s="447">
        <v>300</v>
      </c>
      <c r="B25" s="438"/>
      <c r="C25" s="439">
        <f t="shared" si="0"/>
        <v>9.7919999999999998</v>
      </c>
      <c r="D25" s="439">
        <f t="shared" si="1"/>
        <v>2937.6</v>
      </c>
      <c r="E25" s="439">
        <f t="shared" si="4"/>
        <v>435.85</v>
      </c>
      <c r="F25" s="439">
        <f t="shared" si="2"/>
        <v>3373.45</v>
      </c>
      <c r="G25" s="439">
        <f t="shared" si="5"/>
        <v>608.35</v>
      </c>
      <c r="H25" s="439">
        <f t="shared" si="3"/>
        <v>3545.95</v>
      </c>
      <c r="I25" s="448">
        <v>0.32</v>
      </c>
      <c r="J25" s="526"/>
    </row>
    <row r="26" spans="1:18" hidden="1">
      <c r="A26" s="917"/>
      <c r="B26" s="918"/>
      <c r="C26" s="439"/>
      <c r="D26" s="439"/>
      <c r="E26" s="439"/>
      <c r="F26" s="439"/>
      <c r="G26" s="439"/>
      <c r="H26" s="439"/>
      <c r="I26" s="448"/>
      <c r="J26" s="526"/>
    </row>
    <row r="27" spans="1:18" hidden="1">
      <c r="A27" s="449"/>
      <c r="B27" s="440"/>
      <c r="C27" s="441"/>
      <c r="D27" s="441"/>
      <c r="E27" s="441"/>
      <c r="F27" s="441"/>
      <c r="G27" s="441"/>
      <c r="H27" s="441"/>
      <c r="I27" s="450"/>
      <c r="J27" s="526"/>
    </row>
    <row r="28" spans="1:18">
      <c r="A28" s="602"/>
      <c r="B28" s="603"/>
      <c r="C28" s="604"/>
      <c r="D28" s="604"/>
      <c r="E28" s="604"/>
      <c r="F28" s="604"/>
      <c r="G28" s="604"/>
      <c r="H28" s="604"/>
      <c r="I28" s="606"/>
      <c r="J28" s="526" t="s">
        <v>110</v>
      </c>
    </row>
    <row r="29" spans="1:18" hidden="1">
      <c r="A29" s="434"/>
      <c r="B29" s="434"/>
      <c r="C29" s="443"/>
      <c r="D29" s="443"/>
      <c r="E29" s="443"/>
      <c r="F29" s="443"/>
      <c r="G29" s="443"/>
      <c r="H29" s="443"/>
      <c r="I29" s="444"/>
      <c r="J29" s="526"/>
    </row>
    <row r="30" spans="1:18" ht="31" hidden="1">
      <c r="A30" s="955" t="s">
        <v>121</v>
      </c>
      <c r="B30" s="955"/>
      <c r="C30" s="436" t="s">
        <v>114</v>
      </c>
      <c r="D30" s="436" t="s">
        <v>130</v>
      </c>
      <c r="E30" s="436" t="s">
        <v>115</v>
      </c>
      <c r="F30" s="436" t="s">
        <v>116</v>
      </c>
      <c r="G30" s="436" t="s">
        <v>117</v>
      </c>
      <c r="H30" s="436" t="s">
        <v>118</v>
      </c>
      <c r="I30" s="437" t="s">
        <v>119</v>
      </c>
      <c r="J30" s="526"/>
    </row>
    <row r="31" spans="1:18" hidden="1">
      <c r="A31" s="447">
        <v>14</v>
      </c>
      <c r="B31" s="438"/>
      <c r="C31" s="439">
        <f>+B13*(1+C12)</f>
        <v>1.1000000000000001</v>
      </c>
      <c r="D31" s="439">
        <f>A31*C31</f>
        <v>15.400000000000002</v>
      </c>
      <c r="E31" s="439">
        <f>+F67</f>
        <v>37.950000000000003</v>
      </c>
      <c r="F31" s="439">
        <f>+D31+E31</f>
        <v>53.350000000000009</v>
      </c>
      <c r="G31" s="439">
        <f>+E31+F68</f>
        <v>55.2</v>
      </c>
      <c r="H31" s="439">
        <f>+D31+G31</f>
        <v>70.600000000000009</v>
      </c>
      <c r="I31" s="464">
        <f>+I16</f>
        <v>0</v>
      </c>
      <c r="J31" s="526"/>
      <c r="M31" s="417"/>
      <c r="N31" s="417"/>
      <c r="O31" s="417"/>
      <c r="P31" s="417"/>
      <c r="Q31" s="417"/>
      <c r="R31" s="417"/>
    </row>
    <row r="32" spans="1:18" hidden="1">
      <c r="A32" s="447">
        <v>30</v>
      </c>
      <c r="B32" s="438"/>
      <c r="C32" s="439">
        <f>+$C$31*(1-I32)</f>
        <v>1.1000000000000001</v>
      </c>
      <c r="D32" s="439">
        <f>A32*C32</f>
        <v>33</v>
      </c>
      <c r="E32" s="439">
        <f>+E31</f>
        <v>37.950000000000003</v>
      </c>
      <c r="F32" s="439">
        <f>+D32+E32</f>
        <v>70.95</v>
      </c>
      <c r="G32" s="439">
        <f>+G31</f>
        <v>55.2</v>
      </c>
      <c r="H32" s="439">
        <f>+D32+G32</f>
        <v>88.2</v>
      </c>
      <c r="I32" s="464">
        <f>+I17</f>
        <v>0</v>
      </c>
      <c r="J32" s="526"/>
      <c r="M32" s="417"/>
      <c r="N32" s="417"/>
      <c r="O32" s="417"/>
      <c r="P32" s="417"/>
      <c r="Q32" s="417"/>
      <c r="R32" s="417"/>
    </row>
    <row r="33" spans="1:18" hidden="1">
      <c r="A33" s="447" t="s">
        <v>120</v>
      </c>
      <c r="B33" s="438"/>
      <c r="C33" s="439">
        <f>+B13</f>
        <v>1.1000000000000001</v>
      </c>
      <c r="D33" s="439"/>
      <c r="E33" s="439"/>
      <c r="F33" s="439"/>
      <c r="G33" s="439"/>
      <c r="H33" s="439"/>
      <c r="I33" s="464"/>
      <c r="J33" s="526"/>
      <c r="M33" s="417"/>
      <c r="N33" s="417"/>
      <c r="O33" s="417"/>
      <c r="P33" s="417"/>
      <c r="Q33" s="417"/>
      <c r="R33" s="417"/>
    </row>
    <row r="34" spans="1:18" hidden="1">
      <c r="A34" s="917">
        <v>60</v>
      </c>
      <c r="B34" s="918"/>
      <c r="C34" s="439">
        <f t="shared" ref="C34:C40" si="6">+$C$31*(1-I34)</f>
        <v>1.1000000000000001</v>
      </c>
      <c r="D34" s="439">
        <f t="shared" ref="D34:D40" si="7">A34*C34</f>
        <v>66</v>
      </c>
      <c r="E34" s="439">
        <f>+E32</f>
        <v>37.950000000000003</v>
      </c>
      <c r="F34" s="439">
        <f t="shared" ref="F34:F40" si="8">+D34+E34</f>
        <v>103.95</v>
      </c>
      <c r="G34" s="439">
        <f>+G32</f>
        <v>55.2</v>
      </c>
      <c r="H34" s="439">
        <f t="shared" ref="H34:H40" si="9">+D34+G34</f>
        <v>121.2</v>
      </c>
      <c r="I34" s="464">
        <f t="shared" ref="I34:I40" si="10">+I19</f>
        <v>0</v>
      </c>
      <c r="J34" s="526"/>
      <c r="M34" s="417"/>
      <c r="N34" s="417"/>
      <c r="O34" s="417"/>
      <c r="P34" s="417"/>
      <c r="Q34" s="417"/>
      <c r="R34" s="417"/>
    </row>
    <row r="35" spans="1:18" hidden="1">
      <c r="A35" s="447">
        <v>90</v>
      </c>
      <c r="B35" s="438"/>
      <c r="C35" s="439">
        <f t="shared" si="6"/>
        <v>0.96800000000000008</v>
      </c>
      <c r="D35" s="439">
        <f t="shared" si="7"/>
        <v>87.12</v>
      </c>
      <c r="E35" s="439">
        <f t="shared" ref="E35:E40" si="11">+E34</f>
        <v>37.950000000000003</v>
      </c>
      <c r="F35" s="439">
        <f t="shared" si="8"/>
        <v>125.07000000000001</v>
      </c>
      <c r="G35" s="439">
        <f t="shared" ref="G35:G40" si="12">+G34</f>
        <v>55.2</v>
      </c>
      <c r="H35" s="439">
        <f t="shared" si="9"/>
        <v>142.32</v>
      </c>
      <c r="I35" s="464">
        <f t="shared" si="10"/>
        <v>0.12</v>
      </c>
      <c r="J35" s="526"/>
    </row>
    <row r="36" spans="1:18" hidden="1">
      <c r="A36" s="917">
        <v>120</v>
      </c>
      <c r="B36" s="918"/>
      <c r="C36" s="439">
        <f t="shared" si="6"/>
        <v>0.748</v>
      </c>
      <c r="D36" s="439">
        <f t="shared" si="7"/>
        <v>89.76</v>
      </c>
      <c r="E36" s="439">
        <f t="shared" si="11"/>
        <v>37.950000000000003</v>
      </c>
      <c r="F36" s="439">
        <f t="shared" si="8"/>
        <v>127.71000000000001</v>
      </c>
      <c r="G36" s="439">
        <f t="shared" si="12"/>
        <v>55.2</v>
      </c>
      <c r="H36" s="439">
        <f t="shared" si="9"/>
        <v>144.96</v>
      </c>
      <c r="I36" s="464">
        <f t="shared" si="10"/>
        <v>0.32</v>
      </c>
      <c r="J36" s="526"/>
    </row>
    <row r="37" spans="1:18" hidden="1">
      <c r="A37" s="447">
        <v>150</v>
      </c>
      <c r="B37" s="438"/>
      <c r="C37" s="439">
        <f t="shared" si="6"/>
        <v>0.748</v>
      </c>
      <c r="D37" s="439">
        <f t="shared" si="7"/>
        <v>112.2</v>
      </c>
      <c r="E37" s="439">
        <f t="shared" si="11"/>
        <v>37.950000000000003</v>
      </c>
      <c r="F37" s="439">
        <f t="shared" si="8"/>
        <v>150.15</v>
      </c>
      <c r="G37" s="439">
        <f t="shared" si="12"/>
        <v>55.2</v>
      </c>
      <c r="H37" s="439">
        <f t="shared" si="9"/>
        <v>167.4</v>
      </c>
      <c r="I37" s="464">
        <f t="shared" si="10"/>
        <v>0.32</v>
      </c>
      <c r="J37" s="526"/>
    </row>
    <row r="38" spans="1:18" hidden="1">
      <c r="A38" s="447">
        <v>180</v>
      </c>
      <c r="B38" s="438"/>
      <c r="C38" s="439">
        <f t="shared" si="6"/>
        <v>0.748</v>
      </c>
      <c r="D38" s="439">
        <f t="shared" si="7"/>
        <v>134.63999999999999</v>
      </c>
      <c r="E38" s="439">
        <f t="shared" si="11"/>
        <v>37.950000000000003</v>
      </c>
      <c r="F38" s="439">
        <f t="shared" si="8"/>
        <v>172.58999999999997</v>
      </c>
      <c r="G38" s="439">
        <f t="shared" si="12"/>
        <v>55.2</v>
      </c>
      <c r="H38" s="439">
        <f t="shared" si="9"/>
        <v>189.83999999999997</v>
      </c>
      <c r="I38" s="464">
        <f t="shared" si="10"/>
        <v>0.32</v>
      </c>
      <c r="J38" s="526"/>
    </row>
    <row r="39" spans="1:18" hidden="1">
      <c r="A39" s="447">
        <v>210</v>
      </c>
      <c r="B39" s="438"/>
      <c r="C39" s="439">
        <f t="shared" si="6"/>
        <v>0.748</v>
      </c>
      <c r="D39" s="439">
        <f t="shared" si="7"/>
        <v>157.08000000000001</v>
      </c>
      <c r="E39" s="439">
        <f t="shared" si="11"/>
        <v>37.950000000000003</v>
      </c>
      <c r="F39" s="439">
        <f t="shared" si="8"/>
        <v>195.03000000000003</v>
      </c>
      <c r="G39" s="439">
        <f t="shared" si="12"/>
        <v>55.2</v>
      </c>
      <c r="H39" s="439">
        <f t="shared" si="9"/>
        <v>212.28000000000003</v>
      </c>
      <c r="I39" s="464">
        <f t="shared" si="10"/>
        <v>0.32</v>
      </c>
      <c r="J39" s="526"/>
    </row>
    <row r="40" spans="1:18" hidden="1">
      <c r="A40" s="447">
        <v>300</v>
      </c>
      <c r="B40" s="438"/>
      <c r="C40" s="439">
        <f t="shared" si="6"/>
        <v>0.748</v>
      </c>
      <c r="D40" s="439">
        <f t="shared" si="7"/>
        <v>224.4</v>
      </c>
      <c r="E40" s="439">
        <f t="shared" si="11"/>
        <v>37.950000000000003</v>
      </c>
      <c r="F40" s="439">
        <f t="shared" si="8"/>
        <v>262.35000000000002</v>
      </c>
      <c r="G40" s="439">
        <f t="shared" si="12"/>
        <v>55.2</v>
      </c>
      <c r="H40" s="439">
        <f t="shared" si="9"/>
        <v>279.60000000000002</v>
      </c>
      <c r="I40" s="464">
        <f t="shared" si="10"/>
        <v>0.32</v>
      </c>
      <c r="J40" s="526"/>
    </row>
    <row r="41" spans="1:18" hidden="1">
      <c r="A41" s="917"/>
      <c r="B41" s="918"/>
      <c r="C41" s="439"/>
      <c r="D41" s="439"/>
      <c r="E41" s="439"/>
      <c r="F41" s="439"/>
      <c r="G41" s="439"/>
      <c r="H41" s="439"/>
      <c r="I41" s="464"/>
      <c r="J41" s="526"/>
    </row>
    <row r="42" spans="1:18" ht="16" hidden="1" thickBot="1">
      <c r="A42" s="465"/>
      <c r="B42" s="466"/>
      <c r="C42" s="467"/>
      <c r="D42" s="467"/>
      <c r="E42" s="467"/>
      <c r="F42" s="467"/>
      <c r="G42" s="467"/>
      <c r="H42" s="467"/>
      <c r="I42" s="468"/>
      <c r="J42" s="526"/>
    </row>
    <row r="43" spans="1:18" hidden="1">
      <c r="A43" s="434"/>
      <c r="B43" s="434"/>
      <c r="C43" s="443"/>
      <c r="D43" s="443"/>
      <c r="E43" s="443"/>
      <c r="F43" s="443"/>
      <c r="G43" s="443"/>
      <c r="H43" s="443"/>
      <c r="I43" s="444"/>
      <c r="J43" s="526"/>
    </row>
    <row r="44" spans="1:18" ht="31">
      <c r="A44" s="955" t="s">
        <v>131</v>
      </c>
      <c r="B44" s="955"/>
      <c r="C44" s="436" t="s">
        <v>114</v>
      </c>
      <c r="D44" s="436" t="s">
        <v>130</v>
      </c>
      <c r="E44" s="436" t="s">
        <v>115</v>
      </c>
      <c r="F44" s="436" t="s">
        <v>116</v>
      </c>
      <c r="G44" s="436" t="s">
        <v>117</v>
      </c>
      <c r="H44" s="436" t="s">
        <v>118</v>
      </c>
      <c r="I44" s="595" t="s">
        <v>119</v>
      </c>
      <c r="J44" s="526" t="s">
        <v>110</v>
      </c>
    </row>
    <row r="45" spans="1:18">
      <c r="A45" s="447">
        <f>+A16</f>
        <v>14</v>
      </c>
      <c r="B45" s="438"/>
      <c r="C45" s="439">
        <f t="shared" ref="C45:E46" si="13">+C16+C31</f>
        <v>15.5</v>
      </c>
      <c r="D45" s="439">
        <f t="shared" si="13"/>
        <v>217</v>
      </c>
      <c r="E45" s="439">
        <f t="shared" si="13"/>
        <v>473.8</v>
      </c>
      <c r="F45" s="439">
        <f>+D45+E45</f>
        <v>690.8</v>
      </c>
      <c r="G45" s="439">
        <f>+G16+G31</f>
        <v>663.55000000000007</v>
      </c>
      <c r="H45" s="439">
        <f>+D45+G45</f>
        <v>880.55000000000007</v>
      </c>
      <c r="I45" s="596">
        <f>+I31</f>
        <v>0</v>
      </c>
      <c r="J45" s="526" t="s">
        <v>110</v>
      </c>
    </row>
    <row r="46" spans="1:18">
      <c r="A46" s="447">
        <f>+A17</f>
        <v>30</v>
      </c>
      <c r="B46" s="438"/>
      <c r="C46" s="439">
        <f t="shared" si="13"/>
        <v>15.5</v>
      </c>
      <c r="D46" s="439">
        <f t="shared" si="13"/>
        <v>465</v>
      </c>
      <c r="E46" s="439">
        <f t="shared" si="13"/>
        <v>473.8</v>
      </c>
      <c r="F46" s="439">
        <f>+D46+E46</f>
        <v>938.8</v>
      </c>
      <c r="G46" s="439">
        <f>+G17+G32</f>
        <v>663.55000000000007</v>
      </c>
      <c r="H46" s="439">
        <f>+D46+G46</f>
        <v>1128.5500000000002</v>
      </c>
      <c r="I46" s="596">
        <f>+I32</f>
        <v>0</v>
      </c>
      <c r="J46" s="526" t="s">
        <v>110</v>
      </c>
    </row>
    <row r="47" spans="1:18" hidden="1">
      <c r="A47" s="447" t="s">
        <v>120</v>
      </c>
      <c r="B47" s="438"/>
      <c r="C47" s="439">
        <f>+B12+B13</f>
        <v>15.5</v>
      </c>
      <c r="D47" s="439"/>
      <c r="E47" s="439"/>
      <c r="F47" s="439"/>
      <c r="G47" s="439"/>
      <c r="H47" s="439"/>
      <c r="I47" s="596"/>
      <c r="J47" s="526"/>
    </row>
    <row r="48" spans="1:18">
      <c r="A48" s="917">
        <f>+A19</f>
        <v>60</v>
      </c>
      <c r="B48" s="918"/>
      <c r="C48" s="439">
        <f t="shared" ref="C48:E54" si="14">+C19+C34</f>
        <v>15.5</v>
      </c>
      <c r="D48" s="439">
        <f t="shared" si="14"/>
        <v>930</v>
      </c>
      <c r="E48" s="439">
        <f t="shared" si="14"/>
        <v>473.8</v>
      </c>
      <c r="F48" s="439">
        <f t="shared" ref="F48:F54" si="15">+D48+E48</f>
        <v>1403.8</v>
      </c>
      <c r="G48" s="439">
        <f t="shared" ref="G48:G54" si="16">+G19+G34</f>
        <v>663.55000000000007</v>
      </c>
      <c r="H48" s="439">
        <f t="shared" ref="H48:H54" si="17">+D48+G48</f>
        <v>1593.5500000000002</v>
      </c>
      <c r="I48" s="596">
        <f t="shared" ref="I48:I54" si="18">+I34</f>
        <v>0</v>
      </c>
      <c r="J48" s="526" t="s">
        <v>110</v>
      </c>
    </row>
    <row r="49" spans="1:56" hidden="1">
      <c r="A49" s="447">
        <v>90</v>
      </c>
      <c r="B49" s="438"/>
      <c r="C49" s="439">
        <f t="shared" si="14"/>
        <v>13.64</v>
      </c>
      <c r="D49" s="439">
        <f t="shared" si="14"/>
        <v>1227.5999999999999</v>
      </c>
      <c r="E49" s="439">
        <f t="shared" si="14"/>
        <v>473.8</v>
      </c>
      <c r="F49" s="439">
        <f t="shared" si="15"/>
        <v>1701.3999999999999</v>
      </c>
      <c r="G49" s="439">
        <f t="shared" si="16"/>
        <v>663.55000000000007</v>
      </c>
      <c r="H49" s="439">
        <f t="shared" si="17"/>
        <v>1891.15</v>
      </c>
      <c r="I49" s="596">
        <f t="shared" si="18"/>
        <v>0.12</v>
      </c>
      <c r="J49" s="526"/>
    </row>
    <row r="50" spans="1:56">
      <c r="A50" s="917">
        <f>+A21</f>
        <v>120</v>
      </c>
      <c r="B50" s="918"/>
      <c r="C50" s="439">
        <f t="shared" si="14"/>
        <v>10.54</v>
      </c>
      <c r="D50" s="439">
        <f t="shared" si="14"/>
        <v>1264.8</v>
      </c>
      <c r="E50" s="439">
        <f t="shared" si="14"/>
        <v>473.8</v>
      </c>
      <c r="F50" s="439">
        <f t="shared" si="15"/>
        <v>1738.6</v>
      </c>
      <c r="G50" s="439">
        <f t="shared" si="16"/>
        <v>663.55000000000007</v>
      </c>
      <c r="H50" s="439">
        <f t="shared" si="17"/>
        <v>1928.35</v>
      </c>
      <c r="I50" s="596">
        <f t="shared" si="18"/>
        <v>0.32</v>
      </c>
      <c r="J50" s="526" t="s">
        <v>110</v>
      </c>
    </row>
    <row r="51" spans="1:56">
      <c r="A51" s="447">
        <f>+A22</f>
        <v>150</v>
      </c>
      <c r="B51" s="438"/>
      <c r="C51" s="439">
        <f t="shared" si="14"/>
        <v>10.54</v>
      </c>
      <c r="D51" s="439">
        <f t="shared" si="14"/>
        <v>1581</v>
      </c>
      <c r="E51" s="439">
        <f t="shared" si="14"/>
        <v>473.8</v>
      </c>
      <c r="F51" s="439">
        <f t="shared" si="15"/>
        <v>2054.8000000000002</v>
      </c>
      <c r="G51" s="439">
        <f t="shared" si="16"/>
        <v>663.55000000000007</v>
      </c>
      <c r="H51" s="439">
        <f t="shared" si="17"/>
        <v>2244.5500000000002</v>
      </c>
      <c r="I51" s="596">
        <f t="shared" si="18"/>
        <v>0.32</v>
      </c>
      <c r="J51" s="526" t="s">
        <v>110</v>
      </c>
    </row>
    <row r="52" spans="1:56">
      <c r="A52" s="447">
        <f>+A23</f>
        <v>180</v>
      </c>
      <c r="B52" s="438"/>
      <c r="C52" s="439">
        <f t="shared" si="14"/>
        <v>10.54</v>
      </c>
      <c r="D52" s="439">
        <f t="shared" si="14"/>
        <v>1897.1999999999998</v>
      </c>
      <c r="E52" s="439">
        <f t="shared" si="14"/>
        <v>473.8</v>
      </c>
      <c r="F52" s="439">
        <f t="shared" si="15"/>
        <v>2371</v>
      </c>
      <c r="G52" s="439">
        <f t="shared" si="16"/>
        <v>663.55000000000007</v>
      </c>
      <c r="H52" s="439">
        <f t="shared" si="17"/>
        <v>2560.75</v>
      </c>
      <c r="I52" s="596">
        <f t="shared" si="18"/>
        <v>0.32</v>
      </c>
      <c r="J52" s="526" t="s">
        <v>110</v>
      </c>
    </row>
    <row r="53" spans="1:56" hidden="1">
      <c r="A53" s="447">
        <v>210</v>
      </c>
      <c r="B53" s="438"/>
      <c r="C53" s="439">
        <f t="shared" si="14"/>
        <v>10.54</v>
      </c>
      <c r="D53" s="439">
        <f t="shared" si="14"/>
        <v>2213.4</v>
      </c>
      <c r="E53" s="439">
        <f t="shared" si="14"/>
        <v>473.8</v>
      </c>
      <c r="F53" s="439">
        <f t="shared" si="15"/>
        <v>2687.2000000000003</v>
      </c>
      <c r="G53" s="439">
        <f t="shared" si="16"/>
        <v>663.55000000000007</v>
      </c>
      <c r="H53" s="439">
        <f t="shared" si="17"/>
        <v>2876.9500000000003</v>
      </c>
      <c r="I53" s="596">
        <f t="shared" si="18"/>
        <v>0.32</v>
      </c>
      <c r="J53" s="526"/>
    </row>
    <row r="54" spans="1:56" hidden="1">
      <c r="A54" s="447">
        <v>300</v>
      </c>
      <c r="B54" s="438"/>
      <c r="C54" s="439">
        <f t="shared" si="14"/>
        <v>10.54</v>
      </c>
      <c r="D54" s="439">
        <f t="shared" si="14"/>
        <v>3162</v>
      </c>
      <c r="E54" s="439">
        <f t="shared" si="14"/>
        <v>473.8</v>
      </c>
      <c r="F54" s="439">
        <f t="shared" si="15"/>
        <v>3635.8</v>
      </c>
      <c r="G54" s="439">
        <f t="shared" si="16"/>
        <v>663.55000000000007</v>
      </c>
      <c r="H54" s="439">
        <f t="shared" si="17"/>
        <v>3825.55</v>
      </c>
      <c r="I54" s="596">
        <f t="shared" si="18"/>
        <v>0.32</v>
      </c>
      <c r="J54" s="526"/>
    </row>
    <row r="55" spans="1:56" hidden="1">
      <c r="A55" s="917"/>
      <c r="B55" s="918"/>
      <c r="C55" s="439"/>
      <c r="D55" s="439"/>
      <c r="E55" s="439"/>
      <c r="F55" s="439"/>
      <c r="G55" s="439"/>
      <c r="H55" s="439"/>
      <c r="I55" s="596"/>
      <c r="J55" s="526"/>
    </row>
    <row r="56" spans="1:56" s="418" customFormat="1">
      <c r="A56" s="602"/>
      <c r="B56" s="603"/>
      <c r="C56" s="604"/>
      <c r="D56" s="604"/>
      <c r="E56" s="604"/>
      <c r="F56" s="604"/>
      <c r="G56" s="604"/>
      <c r="H56" s="604"/>
      <c r="I56" s="613"/>
      <c r="J56" s="514" t="s">
        <v>110</v>
      </c>
      <c r="AJ56" s="417"/>
      <c r="AK56" s="417"/>
      <c r="AL56" s="417"/>
      <c r="AM56" s="417"/>
      <c r="AN56" s="417"/>
      <c r="AO56" s="417"/>
      <c r="AP56" s="417"/>
      <c r="AQ56" s="417"/>
      <c r="AR56" s="417"/>
      <c r="AS56" s="417"/>
      <c r="AT56" s="417"/>
      <c r="AU56" s="417"/>
      <c r="AV56" s="417"/>
      <c r="AW56" s="417"/>
      <c r="AX56" s="417"/>
      <c r="AY56" s="417"/>
      <c r="AZ56" s="417"/>
      <c r="BA56" s="417"/>
      <c r="BB56" s="417"/>
      <c r="BC56" s="417"/>
      <c r="BD56" s="417"/>
    </row>
    <row r="57" spans="1:56" s="418" customFormat="1" hidden="1">
      <c r="A57" s="434"/>
      <c r="B57" s="434"/>
      <c r="C57" s="443"/>
      <c r="D57" s="443"/>
      <c r="E57" s="443"/>
      <c r="F57" s="443"/>
      <c r="G57" s="443"/>
      <c r="H57" s="443"/>
      <c r="I57" s="444"/>
      <c r="AJ57" s="417"/>
      <c r="AK57" s="417"/>
      <c r="AL57" s="417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  <c r="AZ57" s="417"/>
      <c r="BA57" s="417"/>
      <c r="BB57" s="417"/>
      <c r="BC57" s="417"/>
      <c r="BD57" s="417"/>
    </row>
    <row r="58" spans="1:56" s="418" customFormat="1" hidden="1">
      <c r="A58" s="434"/>
      <c r="B58" s="434"/>
      <c r="C58" s="443"/>
      <c r="D58" s="443"/>
      <c r="E58" s="443"/>
      <c r="F58" s="443"/>
      <c r="G58" s="443"/>
      <c r="H58" s="443"/>
      <c r="I58" s="444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V58" s="417"/>
      <c r="AW58" s="417"/>
      <c r="AX58" s="417"/>
      <c r="AY58" s="417"/>
      <c r="AZ58" s="417"/>
      <c r="BA58" s="417"/>
      <c r="BB58" s="417"/>
      <c r="BC58" s="417"/>
      <c r="BD58" s="417"/>
    </row>
    <row r="59" spans="1:56" s="418" customFormat="1" hidden="1">
      <c r="A59" s="434"/>
      <c r="B59" s="434"/>
      <c r="C59" s="443"/>
      <c r="D59" s="443"/>
      <c r="E59" s="443"/>
      <c r="F59" s="443"/>
      <c r="G59" s="443"/>
      <c r="H59" s="443"/>
      <c r="I59" s="444"/>
      <c r="AJ59" s="417"/>
      <c r="AK59" s="417"/>
      <c r="AL59" s="417"/>
      <c r="AM59" s="417"/>
      <c r="AN59" s="417"/>
      <c r="AO59" s="417"/>
      <c r="AP59" s="417"/>
      <c r="AQ59" s="417"/>
      <c r="AR59" s="417"/>
      <c r="AS59" s="417"/>
      <c r="AT59" s="417"/>
      <c r="AU59" s="417"/>
      <c r="AV59" s="417"/>
      <c r="AW59" s="417"/>
      <c r="AX59" s="417"/>
      <c r="AY59" s="417"/>
      <c r="AZ59" s="417"/>
      <c r="BA59" s="417"/>
      <c r="BB59" s="417"/>
      <c r="BC59" s="417"/>
      <c r="BD59" s="417"/>
    </row>
    <row r="60" spans="1:56" s="418" customFormat="1">
      <c r="A60" s="960" t="s">
        <v>132</v>
      </c>
      <c r="B60" s="961"/>
      <c r="C60" s="961"/>
      <c r="D60" s="961"/>
      <c r="E60" s="961"/>
      <c r="F60" s="962"/>
      <c r="G60" s="608"/>
      <c r="H60" s="608"/>
      <c r="I60" s="536"/>
      <c r="J60" s="550" t="s">
        <v>110</v>
      </c>
      <c r="AJ60" s="417"/>
      <c r="AK60" s="417"/>
      <c r="AL60" s="417"/>
      <c r="AM60" s="417"/>
      <c r="AN60" s="417"/>
      <c r="AO60" s="417"/>
      <c r="AP60" s="417"/>
      <c r="AQ60" s="417"/>
      <c r="AR60" s="417"/>
      <c r="AS60" s="417"/>
      <c r="AT60" s="417"/>
      <c r="AU60" s="417"/>
      <c r="AV60" s="417"/>
      <c r="AW60" s="417"/>
      <c r="AX60" s="417"/>
      <c r="AY60" s="417"/>
      <c r="AZ60" s="417"/>
      <c r="BA60" s="417"/>
      <c r="BB60" s="417"/>
      <c r="BC60" s="417"/>
      <c r="BD60" s="417"/>
    </row>
    <row r="61" spans="1:56" s="418" customFormat="1">
      <c r="A61" s="963"/>
      <c r="B61" s="964"/>
      <c r="C61" s="964"/>
      <c r="D61" s="964"/>
      <c r="E61" s="964"/>
      <c r="F61" s="965"/>
      <c r="G61" s="419"/>
      <c r="H61" s="419"/>
      <c r="I61" s="538"/>
      <c r="J61" s="551" t="s">
        <v>110</v>
      </c>
      <c r="AJ61" s="417"/>
      <c r="AK61" s="417"/>
      <c r="AL61" s="417"/>
      <c r="AM61" s="417"/>
      <c r="AN61" s="417"/>
      <c r="AO61" s="417"/>
      <c r="AP61" s="417"/>
      <c r="AQ61" s="417"/>
      <c r="AR61" s="417"/>
      <c r="AS61" s="417"/>
      <c r="AT61" s="417"/>
      <c r="AU61" s="417"/>
      <c r="AV61" s="417"/>
      <c r="AW61" s="417"/>
      <c r="AX61" s="417"/>
      <c r="AY61" s="417"/>
      <c r="AZ61" s="417"/>
      <c r="BA61" s="417"/>
      <c r="BB61" s="417"/>
      <c r="BC61" s="417"/>
      <c r="BD61" s="417"/>
    </row>
    <row r="62" spans="1:56" s="418" customFormat="1">
      <c r="A62" s="456" t="s">
        <v>133</v>
      </c>
      <c r="B62" s="460"/>
      <c r="C62" s="460"/>
      <c r="D62" s="460"/>
      <c r="E62" s="460"/>
      <c r="F62" s="469">
        <v>435.85</v>
      </c>
      <c r="G62" s="419"/>
      <c r="H62" s="419"/>
      <c r="I62" s="538"/>
      <c r="J62" s="551" t="s">
        <v>110</v>
      </c>
      <c r="AJ62" s="417"/>
      <c r="AK62" s="417"/>
      <c r="AL62" s="417"/>
      <c r="AM62" s="417"/>
      <c r="AN62" s="417"/>
      <c r="AO62" s="417"/>
      <c r="AP62" s="417"/>
      <c r="AQ62" s="417"/>
      <c r="AR62" s="417"/>
      <c r="AS62" s="417"/>
      <c r="AT62" s="417"/>
      <c r="AU62" s="417"/>
      <c r="AV62" s="417"/>
      <c r="AW62" s="417"/>
      <c r="AX62" s="417"/>
      <c r="AY62" s="417"/>
      <c r="AZ62" s="417"/>
      <c r="BA62" s="417"/>
      <c r="BB62" s="417"/>
      <c r="BC62" s="417"/>
      <c r="BD62" s="417"/>
    </row>
    <row r="63" spans="1:56" s="418" customFormat="1">
      <c r="A63" s="456" t="s">
        <v>134</v>
      </c>
      <c r="B63" s="460"/>
      <c r="C63" s="460"/>
      <c r="D63" s="460"/>
      <c r="E63" s="460"/>
      <c r="F63" s="607">
        <v>172.5</v>
      </c>
      <c r="G63" s="609"/>
      <c r="H63" s="609"/>
      <c r="I63" s="610"/>
      <c r="J63" s="551" t="s">
        <v>110</v>
      </c>
      <c r="AJ63" s="417"/>
      <c r="AK63" s="417"/>
      <c r="AL63" s="417"/>
      <c r="AM63" s="417"/>
      <c r="AN63" s="417"/>
      <c r="AO63" s="417"/>
      <c r="AP63" s="417"/>
      <c r="AQ63" s="417"/>
      <c r="AR63" s="417"/>
      <c r="AS63" s="417"/>
      <c r="AT63" s="417"/>
      <c r="AU63" s="417"/>
      <c r="AV63" s="417"/>
      <c r="AW63" s="417"/>
      <c r="AX63" s="417"/>
      <c r="AY63" s="417"/>
      <c r="AZ63" s="417"/>
      <c r="BA63" s="417"/>
      <c r="BB63" s="417"/>
      <c r="BC63" s="417"/>
      <c r="BD63" s="417"/>
    </row>
    <row r="64" spans="1:56" s="418" customFormat="1">
      <c r="G64" s="419"/>
      <c r="H64" s="419"/>
      <c r="I64" s="420"/>
      <c r="J64" s="551" t="s">
        <v>110</v>
      </c>
      <c r="AJ64" s="417"/>
      <c r="AK64" s="417"/>
      <c r="AL64" s="417"/>
      <c r="AM64" s="417"/>
      <c r="AN64" s="417"/>
      <c r="AO64" s="417"/>
      <c r="AP64" s="417"/>
      <c r="AQ64" s="417"/>
      <c r="AR64" s="417"/>
      <c r="AS64" s="417"/>
      <c r="AT64" s="417"/>
      <c r="AU64" s="417"/>
      <c r="AV64" s="417"/>
      <c r="AW64" s="417"/>
      <c r="AX64" s="417"/>
      <c r="AY64" s="417"/>
      <c r="AZ64" s="417"/>
      <c r="BA64" s="417"/>
      <c r="BB64" s="417"/>
      <c r="BC64" s="417"/>
      <c r="BD64" s="417"/>
    </row>
    <row r="65" spans="1:56" s="418" customFormat="1">
      <c r="A65" s="966" t="s">
        <v>135</v>
      </c>
      <c r="B65" s="967"/>
      <c r="C65" s="967"/>
      <c r="D65" s="967"/>
      <c r="E65" s="967"/>
      <c r="F65" s="968"/>
      <c r="G65" s="608"/>
      <c r="H65" s="608"/>
      <c r="I65" s="536"/>
      <c r="J65" s="551" t="s">
        <v>110</v>
      </c>
      <c r="AJ65" s="417"/>
      <c r="AK65" s="417"/>
      <c r="AL65" s="417"/>
      <c r="AM65" s="417"/>
      <c r="AN65" s="417"/>
      <c r="AO65" s="417"/>
      <c r="AP65" s="417"/>
      <c r="AQ65" s="417"/>
      <c r="AR65" s="417"/>
      <c r="AS65" s="417"/>
      <c r="AT65" s="417"/>
      <c r="AU65" s="417"/>
      <c r="AV65" s="417"/>
      <c r="AW65" s="417"/>
      <c r="AX65" s="417"/>
      <c r="AY65" s="417"/>
      <c r="AZ65" s="417"/>
      <c r="BA65" s="417"/>
      <c r="BB65" s="417"/>
      <c r="BC65" s="417"/>
      <c r="BD65" s="417"/>
    </row>
    <row r="66" spans="1:56" s="418" customFormat="1">
      <c r="A66" s="969"/>
      <c r="B66" s="970"/>
      <c r="C66" s="970"/>
      <c r="D66" s="970"/>
      <c r="E66" s="970"/>
      <c r="F66" s="971"/>
      <c r="G66" s="419"/>
      <c r="H66" s="419"/>
      <c r="I66" s="538"/>
      <c r="J66" s="551" t="s">
        <v>110</v>
      </c>
      <c r="AJ66" s="417"/>
      <c r="AK66" s="417"/>
      <c r="AL66" s="417"/>
      <c r="AM66" s="417"/>
      <c r="AN66" s="417"/>
      <c r="AO66" s="417"/>
      <c r="AP66" s="417"/>
      <c r="AQ66" s="417"/>
      <c r="AR66" s="417"/>
      <c r="AS66" s="417"/>
      <c r="AT66" s="417"/>
      <c r="AU66" s="417"/>
      <c r="AV66" s="417"/>
      <c r="AW66" s="417"/>
      <c r="AX66" s="417"/>
      <c r="AY66" s="417"/>
      <c r="AZ66" s="417"/>
      <c r="BA66" s="417"/>
      <c r="BB66" s="417"/>
      <c r="BC66" s="417"/>
      <c r="BD66" s="417"/>
    </row>
    <row r="67" spans="1:56" s="418" customFormat="1">
      <c r="A67" s="894" t="s">
        <v>122</v>
      </c>
      <c r="B67" s="895"/>
      <c r="C67" s="895"/>
      <c r="D67" s="895"/>
      <c r="E67" s="896"/>
      <c r="F67" s="611">
        <v>37.950000000000003</v>
      </c>
      <c r="G67" s="419"/>
      <c r="H67" s="419"/>
      <c r="I67" s="538"/>
      <c r="J67" s="551" t="s">
        <v>110</v>
      </c>
      <c r="AJ67" s="417"/>
      <c r="AK67" s="417"/>
      <c r="AL67" s="417"/>
      <c r="AM67" s="417"/>
      <c r="AN67" s="417"/>
      <c r="AO67" s="417"/>
      <c r="AP67" s="417"/>
      <c r="AQ67" s="417"/>
      <c r="AR67" s="417"/>
      <c r="AS67" s="417"/>
      <c r="AT67" s="417"/>
      <c r="AU67" s="417"/>
      <c r="AV67" s="417"/>
      <c r="AW67" s="417"/>
      <c r="AX67" s="417"/>
      <c r="AY67" s="417"/>
      <c r="AZ67" s="417"/>
      <c r="BA67" s="417"/>
      <c r="BB67" s="417"/>
      <c r="BC67" s="417"/>
      <c r="BD67" s="417"/>
    </row>
    <row r="68" spans="1:56" s="418" customFormat="1">
      <c r="A68" s="456" t="s">
        <v>123</v>
      </c>
      <c r="B68" s="460"/>
      <c r="C68" s="460"/>
      <c r="D68" s="460"/>
      <c r="E68" s="460"/>
      <c r="F68" s="612">
        <v>17.25</v>
      </c>
      <c r="G68" s="609"/>
      <c r="H68" s="609"/>
      <c r="I68" s="610"/>
      <c r="J68" s="552" t="s">
        <v>110</v>
      </c>
      <c r="AJ68" s="417"/>
      <c r="AK68" s="417"/>
      <c r="AL68" s="417"/>
      <c r="AM68" s="417"/>
      <c r="AN68" s="417"/>
      <c r="AO68" s="417"/>
      <c r="AP68" s="417"/>
      <c r="AQ68" s="417"/>
      <c r="AR68" s="417"/>
      <c r="AS68" s="417"/>
      <c r="AT68" s="417"/>
      <c r="AU68" s="417"/>
      <c r="AV68" s="417"/>
      <c r="AW68" s="417"/>
      <c r="AX68" s="417"/>
      <c r="AY68" s="417"/>
      <c r="AZ68" s="417"/>
      <c r="BA68" s="417"/>
      <c r="BB68" s="417"/>
      <c r="BC68" s="417"/>
      <c r="BD68" s="417"/>
    </row>
    <row r="69" spans="1:56" s="418" customFormat="1" hidden="1">
      <c r="A69" s="434"/>
      <c r="B69" s="434"/>
      <c r="C69" s="443"/>
      <c r="D69" s="443"/>
      <c r="E69" s="443"/>
      <c r="F69" s="443"/>
      <c r="G69" s="443"/>
      <c r="H69" s="443"/>
      <c r="I69" s="444"/>
      <c r="AJ69" s="417"/>
      <c r="AK69" s="417"/>
      <c r="AL69" s="417"/>
      <c r="AM69" s="417"/>
      <c r="AN69" s="417"/>
      <c r="AO69" s="417"/>
      <c r="AP69" s="417"/>
      <c r="AQ69" s="417"/>
      <c r="AR69" s="417"/>
      <c r="AS69" s="417"/>
      <c r="AT69" s="417"/>
      <c r="AU69" s="417"/>
      <c r="AV69" s="417"/>
      <c r="AW69" s="417"/>
      <c r="AX69" s="417"/>
      <c r="AY69" s="417"/>
      <c r="AZ69" s="417"/>
      <c r="BA69" s="417"/>
      <c r="BB69" s="417"/>
      <c r="BC69" s="417"/>
      <c r="BD69" s="417"/>
    </row>
    <row r="70" spans="1:56" s="418" customFormat="1" hidden="1">
      <c r="A70" s="434"/>
      <c r="B70" s="434"/>
      <c r="C70" s="443"/>
      <c r="D70" s="443"/>
      <c r="E70" s="443"/>
      <c r="F70" s="443"/>
      <c r="G70" s="443"/>
      <c r="H70" s="443"/>
      <c r="I70" s="444"/>
      <c r="AJ70" s="417"/>
      <c r="AK70" s="417"/>
      <c r="AL70" s="417"/>
      <c r="AM70" s="417"/>
      <c r="AN70" s="417"/>
      <c r="AO70" s="417"/>
      <c r="AP70" s="417"/>
      <c r="AQ70" s="417"/>
      <c r="AR70" s="417"/>
      <c r="AS70" s="417"/>
      <c r="AT70" s="417"/>
      <c r="AU70" s="417"/>
      <c r="AV70" s="417"/>
      <c r="AW70" s="417"/>
      <c r="AX70" s="417"/>
      <c r="AY70" s="417"/>
      <c r="AZ70" s="417"/>
      <c r="BA70" s="417"/>
      <c r="BB70" s="417"/>
      <c r="BC70" s="417"/>
      <c r="BD70" s="417"/>
    </row>
    <row r="71" spans="1:56" s="418" customFormat="1" hidden="1">
      <c r="A71" s="423" t="s">
        <v>112</v>
      </c>
      <c r="B71" s="430" t="s">
        <v>124</v>
      </c>
      <c r="C71" s="443"/>
      <c r="D71" s="443"/>
      <c r="E71" s="443"/>
      <c r="F71" s="443"/>
      <c r="G71" s="443"/>
      <c r="H71" s="443"/>
      <c r="I71" s="444"/>
      <c r="AJ71" s="417"/>
      <c r="AK71" s="417"/>
      <c r="AL71" s="417"/>
      <c r="AM71" s="417"/>
      <c r="AN71" s="417"/>
      <c r="AO71" s="417"/>
      <c r="AP71" s="417"/>
      <c r="AQ71" s="417"/>
      <c r="AR71" s="417"/>
      <c r="AS71" s="417"/>
      <c r="AT71" s="417"/>
      <c r="AU71" s="417"/>
      <c r="AV71" s="417"/>
      <c r="AW71" s="417"/>
      <c r="AX71" s="417"/>
      <c r="AY71" s="417"/>
      <c r="AZ71" s="417"/>
      <c r="BA71" s="417"/>
      <c r="BB71" s="417"/>
      <c r="BC71" s="417"/>
      <c r="BD71" s="417"/>
    </row>
    <row r="72" spans="1:56" s="418" customFormat="1" hidden="1">
      <c r="A72" s="463"/>
      <c r="B72" s="439"/>
      <c r="C72" s="443"/>
      <c r="D72" s="443"/>
      <c r="E72" s="443"/>
      <c r="F72" s="443"/>
      <c r="G72" s="443"/>
      <c r="H72" s="443"/>
      <c r="I72" s="444"/>
      <c r="AJ72" s="417"/>
      <c r="AK72" s="417"/>
      <c r="AL72" s="417"/>
      <c r="AM72" s="417"/>
      <c r="AN72" s="417"/>
      <c r="AO72" s="417"/>
      <c r="AP72" s="417"/>
      <c r="AQ72" s="417"/>
      <c r="AR72" s="417"/>
      <c r="AS72" s="417"/>
      <c r="AT72" s="417"/>
      <c r="AU72" s="417"/>
      <c r="AV72" s="417"/>
      <c r="AW72" s="417"/>
      <c r="AX72" s="417"/>
      <c r="AY72" s="417"/>
      <c r="AZ72" s="417"/>
      <c r="BA72" s="417"/>
      <c r="BB72" s="417"/>
      <c r="BC72" s="417"/>
      <c r="BD72" s="417"/>
    </row>
    <row r="73" spans="1:56" s="418" customFormat="1" hidden="1">
      <c r="A73" s="463" t="s">
        <v>113</v>
      </c>
      <c r="B73" s="439">
        <v>15.5</v>
      </c>
      <c r="C73" s="443"/>
      <c r="D73" s="443"/>
      <c r="E73" s="443"/>
      <c r="F73" s="443"/>
      <c r="G73" s="443"/>
      <c r="H73" s="443"/>
      <c r="I73" s="444"/>
      <c r="AJ73" s="417"/>
      <c r="AK73" s="417"/>
      <c r="AL73" s="417"/>
      <c r="AM73" s="417"/>
      <c r="AN73" s="417"/>
      <c r="AO73" s="417"/>
      <c r="AP73" s="417"/>
      <c r="AQ73" s="417"/>
      <c r="AR73" s="417"/>
      <c r="AS73" s="417"/>
      <c r="AT73" s="417"/>
      <c r="AU73" s="417"/>
      <c r="AV73" s="417"/>
      <c r="AW73" s="417"/>
      <c r="AX73" s="417"/>
      <c r="AY73" s="417"/>
      <c r="AZ73" s="417"/>
      <c r="BA73" s="417"/>
      <c r="BB73" s="417"/>
      <c r="BC73" s="417"/>
      <c r="BD73" s="417"/>
    </row>
    <row r="74" spans="1:56" s="418" customFormat="1" hidden="1">
      <c r="A74" s="463"/>
      <c r="B74" s="463"/>
      <c r="C74" s="443"/>
      <c r="D74" s="443"/>
      <c r="E74" s="443"/>
      <c r="F74" s="443"/>
      <c r="G74" s="443"/>
      <c r="H74" s="443"/>
      <c r="I74" s="444"/>
      <c r="AJ74" s="417"/>
      <c r="AK74" s="417"/>
      <c r="AL74" s="417"/>
      <c r="AM74" s="417"/>
      <c r="AN74" s="417"/>
      <c r="AO74" s="417"/>
      <c r="AP74" s="417"/>
      <c r="AQ74" s="417"/>
      <c r="AR74" s="417"/>
      <c r="AS74" s="417"/>
      <c r="AT74" s="417"/>
      <c r="AU74" s="417"/>
      <c r="AV74" s="417"/>
      <c r="AW74" s="417"/>
      <c r="AX74" s="417"/>
      <c r="AY74" s="417"/>
      <c r="AZ74" s="417"/>
      <c r="BA74" s="417"/>
      <c r="BB74" s="417"/>
      <c r="BC74" s="417"/>
      <c r="BD74" s="417"/>
    </row>
    <row r="75" spans="1:56" s="418" customFormat="1" ht="31" hidden="1">
      <c r="A75" s="955" t="s">
        <v>136</v>
      </c>
      <c r="B75" s="955"/>
      <c r="C75" s="436" t="s">
        <v>114</v>
      </c>
      <c r="D75" s="436" t="s">
        <v>130</v>
      </c>
      <c r="E75" s="436" t="s">
        <v>115</v>
      </c>
      <c r="F75" s="436" t="s">
        <v>116</v>
      </c>
      <c r="G75" s="436" t="s">
        <v>117</v>
      </c>
      <c r="H75" s="436" t="s">
        <v>118</v>
      </c>
      <c r="I75" s="437" t="s">
        <v>119</v>
      </c>
      <c r="J75" s="446"/>
      <c r="AJ75" s="417"/>
      <c r="AK75" s="417"/>
      <c r="AL75" s="417"/>
      <c r="AM75" s="417"/>
      <c r="AN75" s="417"/>
      <c r="AO75" s="417"/>
      <c r="AP75" s="417"/>
      <c r="AQ75" s="417"/>
      <c r="AR75" s="417"/>
      <c r="AS75" s="417"/>
      <c r="AT75" s="417"/>
      <c r="AU75" s="417"/>
      <c r="AV75" s="417"/>
      <c r="AW75" s="417"/>
      <c r="AX75" s="417"/>
      <c r="AY75" s="417"/>
      <c r="AZ75" s="417"/>
      <c r="BA75" s="417"/>
      <c r="BB75" s="417"/>
      <c r="BC75" s="417"/>
      <c r="BD75" s="417"/>
    </row>
    <row r="76" spans="1:56" s="418" customFormat="1" hidden="1">
      <c r="A76" s="447">
        <v>14</v>
      </c>
      <c r="B76" s="438"/>
      <c r="C76" s="439">
        <f>+B73*(1+C12)</f>
        <v>15.5</v>
      </c>
      <c r="D76" s="439">
        <f>A76*C76</f>
        <v>217</v>
      </c>
      <c r="E76" s="439">
        <f>+F93</f>
        <v>435.85</v>
      </c>
      <c r="F76" s="439">
        <f>+D76+E76</f>
        <v>652.85</v>
      </c>
      <c r="G76" s="439">
        <f>+E76+F94</f>
        <v>608.35</v>
      </c>
      <c r="H76" s="439">
        <f>+D76+G76</f>
        <v>825.35</v>
      </c>
      <c r="I76" s="464">
        <f>+I16</f>
        <v>0</v>
      </c>
      <c r="J76" s="445"/>
      <c r="AJ76" s="417"/>
      <c r="AK76" s="417"/>
      <c r="AL76" s="417"/>
      <c r="AM76" s="417"/>
      <c r="AN76" s="417"/>
      <c r="AO76" s="417"/>
      <c r="AP76" s="417"/>
      <c r="AQ76" s="417"/>
      <c r="AR76" s="417"/>
      <c r="AS76" s="417"/>
      <c r="AT76" s="417"/>
      <c r="AU76" s="417"/>
      <c r="AV76" s="417"/>
      <c r="AW76" s="417"/>
      <c r="AX76" s="417"/>
      <c r="AY76" s="417"/>
      <c r="AZ76" s="417"/>
      <c r="BA76" s="417"/>
      <c r="BB76" s="417"/>
      <c r="BC76" s="417"/>
      <c r="BD76" s="417"/>
    </row>
    <row r="77" spans="1:56" s="418" customFormat="1" hidden="1">
      <c r="A77" s="447">
        <v>30</v>
      </c>
      <c r="B77" s="438"/>
      <c r="C77" s="439">
        <f>+$C$76*(1-I77)</f>
        <v>15.5</v>
      </c>
      <c r="D77" s="439">
        <f>A77*C77</f>
        <v>465</v>
      </c>
      <c r="E77" s="439">
        <f>+E76</f>
        <v>435.85</v>
      </c>
      <c r="F77" s="439">
        <f>+D77+E77</f>
        <v>900.85</v>
      </c>
      <c r="G77" s="439">
        <f>+G76</f>
        <v>608.35</v>
      </c>
      <c r="H77" s="439">
        <f>+D77+G77</f>
        <v>1073.3499999999999</v>
      </c>
      <c r="I77" s="464">
        <f>+I17</f>
        <v>0</v>
      </c>
      <c r="J77" s="445"/>
      <c r="AJ77" s="417"/>
      <c r="AK77" s="417"/>
      <c r="AL77" s="417"/>
      <c r="AM77" s="417"/>
      <c r="AN77" s="417"/>
      <c r="AO77" s="417"/>
      <c r="AP77" s="417"/>
      <c r="AQ77" s="417"/>
      <c r="AR77" s="417"/>
      <c r="AS77" s="417"/>
      <c r="AT77" s="417"/>
      <c r="AU77" s="417"/>
      <c r="AV77" s="417"/>
      <c r="AW77" s="417"/>
      <c r="AX77" s="417"/>
      <c r="AY77" s="417"/>
      <c r="AZ77" s="417"/>
      <c r="BA77" s="417"/>
      <c r="BB77" s="417"/>
      <c r="BC77" s="417"/>
      <c r="BD77" s="417"/>
    </row>
    <row r="78" spans="1:56" s="418" customFormat="1" hidden="1">
      <c r="A78" s="447" t="s">
        <v>120</v>
      </c>
      <c r="B78" s="438"/>
      <c r="C78" s="439">
        <f>+B73</f>
        <v>15.5</v>
      </c>
      <c r="D78" s="439"/>
      <c r="E78" s="439"/>
      <c r="F78" s="439"/>
      <c r="G78" s="439"/>
      <c r="H78" s="439"/>
      <c r="I78" s="464"/>
      <c r="J78" s="445"/>
      <c r="AJ78" s="417"/>
      <c r="AK78" s="417"/>
      <c r="AL78" s="417"/>
      <c r="AM78" s="417"/>
      <c r="AN78" s="417"/>
      <c r="AO78" s="417"/>
      <c r="AP78" s="417"/>
      <c r="AQ78" s="417"/>
      <c r="AR78" s="417"/>
      <c r="AS78" s="417"/>
      <c r="AT78" s="417"/>
      <c r="AU78" s="417"/>
      <c r="AV78" s="417"/>
      <c r="AW78" s="417"/>
      <c r="AX78" s="417"/>
      <c r="AY78" s="417"/>
      <c r="AZ78" s="417"/>
      <c r="BA78" s="417"/>
      <c r="BB78" s="417"/>
      <c r="BC78" s="417"/>
      <c r="BD78" s="417"/>
    </row>
    <row r="79" spans="1:56" s="418" customFormat="1" hidden="1">
      <c r="A79" s="917">
        <v>60</v>
      </c>
      <c r="B79" s="918"/>
      <c r="C79" s="439">
        <f t="shared" ref="C79:C85" si="19">+$C$76*(1-I79)</f>
        <v>15.5</v>
      </c>
      <c r="D79" s="439">
        <f t="shared" ref="D79:D85" si="20">A79*C79</f>
        <v>930</v>
      </c>
      <c r="E79" s="439">
        <f>+E77</f>
        <v>435.85</v>
      </c>
      <c r="F79" s="439">
        <f t="shared" ref="F79:F85" si="21">+D79+E79</f>
        <v>1365.85</v>
      </c>
      <c r="G79" s="439">
        <f>+G77</f>
        <v>608.35</v>
      </c>
      <c r="H79" s="439">
        <f t="shared" ref="H79:H85" si="22">+D79+G79</f>
        <v>1538.35</v>
      </c>
      <c r="I79" s="464">
        <f t="shared" ref="I79:I85" si="23">+I19</f>
        <v>0</v>
      </c>
      <c r="J79" s="445"/>
      <c r="AJ79" s="417"/>
      <c r="AK79" s="417"/>
      <c r="AL79" s="417"/>
      <c r="AM79" s="417"/>
      <c r="AN79" s="417"/>
      <c r="AO79" s="417"/>
      <c r="AP79" s="417"/>
      <c r="AQ79" s="417"/>
      <c r="AR79" s="417"/>
      <c r="AS79" s="417"/>
      <c r="AT79" s="417"/>
      <c r="AU79" s="417"/>
      <c r="AV79" s="417"/>
      <c r="AW79" s="417"/>
      <c r="AX79" s="417"/>
      <c r="AY79" s="417"/>
      <c r="AZ79" s="417"/>
      <c r="BA79" s="417"/>
      <c r="BB79" s="417"/>
      <c r="BC79" s="417"/>
      <c r="BD79" s="417"/>
    </row>
    <row r="80" spans="1:56" s="418" customFormat="1" hidden="1">
      <c r="A80" s="447">
        <v>90</v>
      </c>
      <c r="B80" s="438"/>
      <c r="C80" s="439">
        <f t="shared" si="19"/>
        <v>13.64</v>
      </c>
      <c r="D80" s="439">
        <f t="shared" si="20"/>
        <v>1227.6000000000001</v>
      </c>
      <c r="E80" s="439">
        <f t="shared" ref="E80:E85" si="24">+E79</f>
        <v>435.85</v>
      </c>
      <c r="F80" s="439">
        <f t="shared" si="21"/>
        <v>1663.4500000000003</v>
      </c>
      <c r="G80" s="439">
        <f t="shared" ref="G80:G85" si="25">+G79</f>
        <v>608.35</v>
      </c>
      <c r="H80" s="439">
        <f t="shared" si="22"/>
        <v>1835.9500000000003</v>
      </c>
      <c r="I80" s="464">
        <f t="shared" si="23"/>
        <v>0.12</v>
      </c>
      <c r="J80" s="445"/>
      <c r="AJ80" s="417"/>
      <c r="AK80" s="417"/>
      <c r="AL80" s="417"/>
      <c r="AM80" s="417"/>
      <c r="AN80" s="417"/>
      <c r="AO80" s="417"/>
      <c r="AP80" s="417"/>
      <c r="AQ80" s="417"/>
      <c r="AR80" s="417"/>
      <c r="AS80" s="417"/>
      <c r="AT80" s="417"/>
      <c r="AU80" s="417"/>
      <c r="AV80" s="417"/>
      <c r="AW80" s="417"/>
      <c r="AX80" s="417"/>
      <c r="AY80" s="417"/>
      <c r="AZ80" s="417"/>
      <c r="BA80" s="417"/>
      <c r="BB80" s="417"/>
      <c r="BC80" s="417"/>
      <c r="BD80" s="417"/>
    </row>
    <row r="81" spans="1:56" s="418" customFormat="1" hidden="1">
      <c r="A81" s="917">
        <v>120</v>
      </c>
      <c r="B81" s="918"/>
      <c r="C81" s="439">
        <f t="shared" si="19"/>
        <v>10.54</v>
      </c>
      <c r="D81" s="439">
        <f t="shared" si="20"/>
        <v>1264.8</v>
      </c>
      <c r="E81" s="439">
        <f t="shared" si="24"/>
        <v>435.85</v>
      </c>
      <c r="F81" s="439">
        <f t="shared" si="21"/>
        <v>1700.65</v>
      </c>
      <c r="G81" s="439">
        <f t="shared" si="25"/>
        <v>608.35</v>
      </c>
      <c r="H81" s="439">
        <f t="shared" si="22"/>
        <v>1873.15</v>
      </c>
      <c r="I81" s="464">
        <f t="shared" si="23"/>
        <v>0.32</v>
      </c>
      <c r="J81" s="445"/>
      <c r="AJ81" s="417"/>
      <c r="AK81" s="417"/>
      <c r="AL81" s="417"/>
      <c r="AM81" s="417"/>
      <c r="AN81" s="417"/>
      <c r="AO81" s="417"/>
      <c r="AP81" s="417"/>
      <c r="AQ81" s="417"/>
      <c r="AR81" s="417"/>
      <c r="AS81" s="417"/>
      <c r="AT81" s="417"/>
      <c r="AU81" s="417"/>
      <c r="AV81" s="417"/>
      <c r="AW81" s="417"/>
      <c r="AX81" s="417"/>
      <c r="AY81" s="417"/>
      <c r="AZ81" s="417"/>
      <c r="BA81" s="417"/>
      <c r="BB81" s="417"/>
      <c r="BC81" s="417"/>
      <c r="BD81" s="417"/>
    </row>
    <row r="82" spans="1:56" s="418" customFormat="1" hidden="1">
      <c r="A82" s="447">
        <v>150</v>
      </c>
      <c r="B82" s="438"/>
      <c r="C82" s="439">
        <f t="shared" si="19"/>
        <v>10.54</v>
      </c>
      <c r="D82" s="439">
        <f t="shared" si="20"/>
        <v>1580.9999999999998</v>
      </c>
      <c r="E82" s="439">
        <f t="shared" si="24"/>
        <v>435.85</v>
      </c>
      <c r="F82" s="439">
        <f t="shared" si="21"/>
        <v>2016.85</v>
      </c>
      <c r="G82" s="439">
        <f t="shared" si="25"/>
        <v>608.35</v>
      </c>
      <c r="H82" s="439">
        <f t="shared" si="22"/>
        <v>2189.35</v>
      </c>
      <c r="I82" s="464">
        <f t="shared" si="23"/>
        <v>0.32</v>
      </c>
      <c r="J82" s="445"/>
      <c r="AJ82" s="417"/>
      <c r="AK82" s="417"/>
      <c r="AL82" s="417"/>
      <c r="AM82" s="417"/>
      <c r="AN82" s="417"/>
      <c r="AO82" s="417"/>
      <c r="AP82" s="417"/>
      <c r="AQ82" s="417"/>
      <c r="AR82" s="417"/>
      <c r="AS82" s="417"/>
      <c r="AT82" s="417"/>
      <c r="AU82" s="417"/>
      <c r="AV82" s="417"/>
      <c r="AW82" s="417"/>
      <c r="AX82" s="417"/>
      <c r="AY82" s="417"/>
      <c r="AZ82" s="417"/>
      <c r="BA82" s="417"/>
      <c r="BB82" s="417"/>
      <c r="BC82" s="417"/>
      <c r="BD82" s="417"/>
    </row>
    <row r="83" spans="1:56" s="418" customFormat="1" hidden="1">
      <c r="A83" s="447">
        <v>180</v>
      </c>
      <c r="B83" s="438"/>
      <c r="C83" s="439">
        <f t="shared" si="19"/>
        <v>10.54</v>
      </c>
      <c r="D83" s="439">
        <f t="shared" si="20"/>
        <v>1897.1999999999998</v>
      </c>
      <c r="E83" s="439">
        <f t="shared" si="24"/>
        <v>435.85</v>
      </c>
      <c r="F83" s="439">
        <f t="shared" si="21"/>
        <v>2333.0499999999997</v>
      </c>
      <c r="G83" s="439">
        <f t="shared" si="25"/>
        <v>608.35</v>
      </c>
      <c r="H83" s="439">
        <f t="shared" si="22"/>
        <v>2505.5499999999997</v>
      </c>
      <c r="I83" s="464">
        <f t="shared" si="23"/>
        <v>0.32</v>
      </c>
      <c r="J83" s="445"/>
      <c r="AJ83" s="417"/>
      <c r="AK83" s="417"/>
      <c r="AL83" s="417"/>
      <c r="AM83" s="417"/>
      <c r="AN83" s="417"/>
      <c r="AO83" s="417"/>
      <c r="AP83" s="417"/>
      <c r="AQ83" s="417"/>
      <c r="AR83" s="417"/>
      <c r="AS83" s="417"/>
      <c r="AT83" s="417"/>
      <c r="AU83" s="417"/>
      <c r="AV83" s="417"/>
      <c r="AW83" s="417"/>
      <c r="AX83" s="417"/>
      <c r="AY83" s="417"/>
      <c r="AZ83" s="417"/>
      <c r="BA83" s="417"/>
      <c r="BB83" s="417"/>
      <c r="BC83" s="417"/>
      <c r="BD83" s="417"/>
    </row>
    <row r="84" spans="1:56" s="418" customFormat="1" hidden="1">
      <c r="A84" s="447">
        <v>210</v>
      </c>
      <c r="B84" s="438"/>
      <c r="C84" s="439">
        <f t="shared" si="19"/>
        <v>10.54</v>
      </c>
      <c r="D84" s="439">
        <f t="shared" si="20"/>
        <v>2213.3999999999996</v>
      </c>
      <c r="E84" s="439">
        <f t="shared" si="24"/>
        <v>435.85</v>
      </c>
      <c r="F84" s="439">
        <f t="shared" si="21"/>
        <v>2649.2499999999995</v>
      </c>
      <c r="G84" s="439">
        <f t="shared" si="25"/>
        <v>608.35</v>
      </c>
      <c r="H84" s="439">
        <f t="shared" si="22"/>
        <v>2821.7499999999995</v>
      </c>
      <c r="I84" s="464">
        <f t="shared" si="23"/>
        <v>0.32</v>
      </c>
      <c r="J84" s="445"/>
      <c r="AJ84" s="417"/>
      <c r="AK84" s="417"/>
      <c r="AL84" s="417"/>
      <c r="AM84" s="417"/>
      <c r="AN84" s="417"/>
      <c r="AO84" s="417"/>
      <c r="AP84" s="417"/>
      <c r="AQ84" s="417"/>
      <c r="AR84" s="417"/>
      <c r="AS84" s="417"/>
      <c r="AT84" s="417"/>
      <c r="AU84" s="417"/>
      <c r="AV84" s="417"/>
      <c r="AW84" s="417"/>
      <c r="AX84" s="417"/>
      <c r="AY84" s="417"/>
      <c r="AZ84" s="417"/>
      <c r="BA84" s="417"/>
      <c r="BB84" s="417"/>
      <c r="BC84" s="417"/>
      <c r="BD84" s="417"/>
    </row>
    <row r="85" spans="1:56" s="418" customFormat="1" hidden="1">
      <c r="A85" s="447">
        <v>300</v>
      </c>
      <c r="B85" s="438"/>
      <c r="C85" s="439">
        <f t="shared" si="19"/>
        <v>10.54</v>
      </c>
      <c r="D85" s="439">
        <f t="shared" si="20"/>
        <v>3161.9999999999995</v>
      </c>
      <c r="E85" s="439">
        <f t="shared" si="24"/>
        <v>435.85</v>
      </c>
      <c r="F85" s="439">
        <f t="shared" si="21"/>
        <v>3597.8499999999995</v>
      </c>
      <c r="G85" s="439">
        <f t="shared" si="25"/>
        <v>608.35</v>
      </c>
      <c r="H85" s="439">
        <f t="shared" si="22"/>
        <v>3770.3499999999995</v>
      </c>
      <c r="I85" s="464">
        <f t="shared" si="23"/>
        <v>0.32</v>
      </c>
      <c r="J85" s="445"/>
      <c r="AJ85" s="417"/>
      <c r="AK85" s="417"/>
      <c r="AL85" s="417"/>
      <c r="AM85" s="417"/>
      <c r="AN85" s="417"/>
      <c r="AO85" s="417"/>
      <c r="AP85" s="417"/>
      <c r="AQ85" s="417"/>
      <c r="AR85" s="417"/>
      <c r="AS85" s="417"/>
      <c r="AT85" s="417"/>
      <c r="AU85" s="417"/>
      <c r="AV85" s="417"/>
      <c r="AW85" s="417"/>
      <c r="AX85" s="417"/>
      <c r="AY85" s="417"/>
      <c r="AZ85" s="417"/>
      <c r="BA85" s="417"/>
      <c r="BB85" s="417"/>
      <c r="BC85" s="417"/>
      <c r="BD85" s="417"/>
    </row>
    <row r="86" spans="1:56" s="418" customFormat="1" hidden="1">
      <c r="A86" s="917"/>
      <c r="B86" s="918"/>
      <c r="C86" s="439"/>
      <c r="D86" s="439"/>
      <c r="E86" s="439"/>
      <c r="F86" s="439"/>
      <c r="G86" s="439"/>
      <c r="H86" s="439"/>
      <c r="I86" s="464"/>
      <c r="J86" s="445"/>
      <c r="AJ86" s="417"/>
      <c r="AK86" s="417"/>
      <c r="AL86" s="417"/>
      <c r="AM86" s="417"/>
      <c r="AN86" s="417"/>
      <c r="AO86" s="417"/>
      <c r="AP86" s="417"/>
      <c r="AQ86" s="417"/>
      <c r="AR86" s="417"/>
      <c r="AS86" s="417"/>
      <c r="AT86" s="417"/>
      <c r="AU86" s="417"/>
      <c r="AV86" s="417"/>
      <c r="AW86" s="417"/>
      <c r="AX86" s="417"/>
      <c r="AY86" s="417"/>
      <c r="AZ86" s="417"/>
      <c r="BA86" s="417"/>
      <c r="BB86" s="417"/>
      <c r="BC86" s="417"/>
      <c r="BD86" s="417"/>
    </row>
    <row r="87" spans="1:56" s="418" customFormat="1" ht="16" hidden="1" thickBot="1">
      <c r="A87" s="451"/>
      <c r="B87" s="452"/>
      <c r="C87" s="453"/>
      <c r="D87" s="453"/>
      <c r="E87" s="453"/>
      <c r="F87" s="453"/>
      <c r="G87" s="453"/>
      <c r="H87" s="453"/>
      <c r="I87" s="454"/>
      <c r="J87" s="455"/>
      <c r="AJ87" s="417"/>
      <c r="AK87" s="417"/>
      <c r="AL87" s="417"/>
      <c r="AM87" s="417"/>
      <c r="AN87" s="417"/>
      <c r="AO87" s="417"/>
      <c r="AP87" s="417"/>
      <c r="AQ87" s="417"/>
      <c r="AR87" s="417"/>
      <c r="AS87" s="417"/>
      <c r="AT87" s="417"/>
      <c r="AU87" s="417"/>
      <c r="AV87" s="417"/>
      <c r="AW87" s="417"/>
      <c r="AX87" s="417"/>
      <c r="AY87" s="417"/>
      <c r="AZ87" s="417"/>
      <c r="BA87" s="417"/>
      <c r="BB87" s="417"/>
      <c r="BC87" s="417"/>
      <c r="BD87" s="417"/>
    </row>
    <row r="88" spans="1:56" s="418" customFormat="1" hidden="1">
      <c r="A88" s="434"/>
      <c r="B88" s="434"/>
      <c r="C88" s="443"/>
      <c r="D88" s="443"/>
      <c r="E88" s="443"/>
      <c r="F88" s="443"/>
      <c r="G88" s="443"/>
      <c r="H88" s="443"/>
      <c r="I88" s="444"/>
      <c r="AJ88" s="417"/>
      <c r="AK88" s="417"/>
      <c r="AL88" s="417"/>
      <c r="AM88" s="417"/>
      <c r="AN88" s="417"/>
      <c r="AO88" s="417"/>
      <c r="AP88" s="417"/>
      <c r="AQ88" s="417"/>
      <c r="AR88" s="417"/>
      <c r="AS88" s="417"/>
      <c r="AT88" s="417"/>
      <c r="AU88" s="417"/>
      <c r="AV88" s="417"/>
      <c r="AW88" s="417"/>
      <c r="AX88" s="417"/>
      <c r="AY88" s="417"/>
      <c r="AZ88" s="417"/>
      <c r="BA88" s="417"/>
      <c r="BB88" s="417"/>
      <c r="BC88" s="417"/>
      <c r="BD88" s="417"/>
    </row>
    <row r="89" spans="1:56" s="418" customFormat="1" hidden="1">
      <c r="A89" s="972" t="s">
        <v>137</v>
      </c>
      <c r="B89" s="973"/>
      <c r="C89" s="973"/>
      <c r="D89" s="973"/>
      <c r="E89" s="973"/>
      <c r="F89" s="974"/>
      <c r="G89" s="957" t="s">
        <v>138</v>
      </c>
      <c r="H89" s="443"/>
      <c r="I89" s="444"/>
      <c r="AJ89" s="417"/>
      <c r="AK89" s="417"/>
      <c r="AL89" s="417"/>
      <c r="AM89" s="417"/>
      <c r="AN89" s="417"/>
      <c r="AO89" s="417"/>
      <c r="AP89" s="417"/>
      <c r="AQ89" s="417"/>
      <c r="AR89" s="417"/>
      <c r="AS89" s="417"/>
      <c r="AT89" s="417"/>
      <c r="AU89" s="417"/>
      <c r="AV89" s="417"/>
      <c r="AW89" s="417"/>
      <c r="AX89" s="417"/>
      <c r="AY89" s="417"/>
      <c r="AZ89" s="417"/>
      <c r="BA89" s="417"/>
      <c r="BB89" s="417"/>
      <c r="BC89" s="417"/>
      <c r="BD89" s="417"/>
    </row>
    <row r="90" spans="1:56" s="418" customFormat="1" hidden="1">
      <c r="A90" s="975"/>
      <c r="B90" s="976"/>
      <c r="C90" s="976"/>
      <c r="D90" s="976"/>
      <c r="E90" s="976"/>
      <c r="F90" s="977"/>
      <c r="G90" s="958"/>
      <c r="H90" s="443"/>
      <c r="I90" s="444"/>
      <c r="AJ90" s="417"/>
      <c r="AK90" s="417"/>
      <c r="AL90" s="417"/>
      <c r="AM90" s="417"/>
      <c r="AN90" s="417"/>
      <c r="AO90" s="417"/>
      <c r="AP90" s="417"/>
      <c r="AQ90" s="417"/>
      <c r="AR90" s="417"/>
      <c r="AS90" s="417"/>
      <c r="AT90" s="417"/>
      <c r="AU90" s="417"/>
      <c r="AV90" s="417"/>
      <c r="AW90" s="417"/>
      <c r="AX90" s="417"/>
      <c r="AY90" s="417"/>
      <c r="AZ90" s="417"/>
      <c r="BA90" s="417"/>
      <c r="BB90" s="417"/>
      <c r="BC90" s="417"/>
      <c r="BD90" s="417"/>
    </row>
    <row r="91" spans="1:56" s="418" customFormat="1" hidden="1">
      <c r="A91" s="975"/>
      <c r="B91" s="976"/>
      <c r="C91" s="976"/>
      <c r="D91" s="976"/>
      <c r="E91" s="976"/>
      <c r="F91" s="977"/>
      <c r="G91" s="958"/>
      <c r="H91" s="443"/>
      <c r="I91" s="444"/>
      <c r="AJ91" s="417"/>
      <c r="AK91" s="417"/>
      <c r="AL91" s="417"/>
      <c r="AM91" s="417"/>
      <c r="AN91" s="417"/>
      <c r="AO91" s="417"/>
      <c r="AP91" s="417"/>
      <c r="AQ91" s="417"/>
      <c r="AR91" s="417"/>
      <c r="AS91" s="417"/>
      <c r="AT91" s="417"/>
      <c r="AU91" s="417"/>
      <c r="AV91" s="417"/>
      <c r="AW91" s="417"/>
      <c r="AX91" s="417"/>
      <c r="AY91" s="417"/>
      <c r="AZ91" s="417"/>
      <c r="BA91" s="417"/>
      <c r="BB91" s="417"/>
      <c r="BC91" s="417"/>
      <c r="BD91" s="417"/>
    </row>
    <row r="92" spans="1:56" s="418" customFormat="1" hidden="1">
      <c r="A92" s="978"/>
      <c r="B92" s="979"/>
      <c r="C92" s="979"/>
      <c r="D92" s="979"/>
      <c r="E92" s="979"/>
      <c r="F92" s="980"/>
      <c r="G92" s="959"/>
      <c r="H92" s="443"/>
      <c r="I92" s="444"/>
      <c r="AJ92" s="417"/>
      <c r="AK92" s="417"/>
      <c r="AL92" s="417"/>
      <c r="AM92" s="417"/>
      <c r="AN92" s="417"/>
      <c r="AO92" s="417"/>
      <c r="AP92" s="417"/>
      <c r="AQ92" s="417"/>
      <c r="AR92" s="417"/>
      <c r="AS92" s="417"/>
      <c r="AT92" s="417"/>
      <c r="AU92" s="417"/>
      <c r="AV92" s="417"/>
      <c r="AW92" s="417"/>
      <c r="AX92" s="417"/>
      <c r="AY92" s="417"/>
      <c r="AZ92" s="417"/>
      <c r="BA92" s="417"/>
      <c r="BB92" s="417"/>
      <c r="BC92" s="417"/>
      <c r="BD92" s="417"/>
    </row>
    <row r="93" spans="1:56" hidden="1">
      <c r="A93" s="456" t="s">
        <v>133</v>
      </c>
      <c r="B93" s="460"/>
      <c r="C93" s="460"/>
      <c r="D93" s="460"/>
      <c r="E93" s="460"/>
      <c r="F93" s="469">
        <v>435.85</v>
      </c>
      <c r="G93" s="470">
        <v>220</v>
      </c>
    </row>
    <row r="94" spans="1:56" hidden="1">
      <c r="A94" s="456" t="s">
        <v>134</v>
      </c>
      <c r="B94" s="460"/>
      <c r="C94" s="460"/>
      <c r="D94" s="460"/>
      <c r="E94" s="460"/>
      <c r="F94" s="469">
        <v>172.5</v>
      </c>
      <c r="G94" s="471">
        <v>120</v>
      </c>
    </row>
    <row r="95" spans="1:56" hidden="1">
      <c r="A95" s="442"/>
      <c r="B95" s="457"/>
      <c r="C95" s="457"/>
      <c r="D95" s="457"/>
      <c r="E95" s="458"/>
    </row>
    <row r="96" spans="1:56" hidden="1"/>
    <row r="98" spans="9:9">
      <c r="I98" s="618"/>
    </row>
  </sheetData>
  <autoFilter ref="J7:J92" xr:uid="{00000000-0009-0000-0000-000005000000}">
    <filterColumn colId="0">
      <customFilters>
        <customFilter operator="notEqual" val=" "/>
      </customFilters>
    </filterColumn>
  </autoFilter>
  <mergeCells count="24">
    <mergeCell ref="G89:G92"/>
    <mergeCell ref="A48:B48"/>
    <mergeCell ref="A50:B50"/>
    <mergeCell ref="A55:B55"/>
    <mergeCell ref="A60:F61"/>
    <mergeCell ref="A65:F66"/>
    <mergeCell ref="A67:E67"/>
    <mergeCell ref="A75:B75"/>
    <mergeCell ref="A79:B79"/>
    <mergeCell ref="A81:B81"/>
    <mergeCell ref="A86:B86"/>
    <mergeCell ref="A89:F92"/>
    <mergeCell ref="A44:B44"/>
    <mergeCell ref="A1:A2"/>
    <mergeCell ref="A3:C5"/>
    <mergeCell ref="C12:C13"/>
    <mergeCell ref="A15:B15"/>
    <mergeCell ref="A19:B19"/>
    <mergeCell ref="A21:B21"/>
    <mergeCell ref="A26:B26"/>
    <mergeCell ref="A30:B30"/>
    <mergeCell ref="A34:B34"/>
    <mergeCell ref="A36:B36"/>
    <mergeCell ref="A41:B41"/>
  </mergeCells>
  <pageMargins left="0.70866141732283472" right="0.51181102362204722" top="0.35433070866141736" bottom="0.74803149606299213" header="0.31496062992125984" footer="0.31496062992125984"/>
  <pageSetup paperSize="9" scale="57" fitToHeight="0" orientation="landscape"/>
  <headerFooter>
    <oddFooter>Side &amp;P af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8"/>
  <sheetViews>
    <sheetView showGridLines="0" topLeftCell="B14" zoomScale="145" zoomScaleNormal="145" zoomScalePageLayoutView="145" workbookViewId="0">
      <selection activeCell="F36" sqref="F36"/>
    </sheetView>
  </sheetViews>
  <sheetFormatPr defaultColWidth="8.81640625" defaultRowHeight="14.5"/>
  <cols>
    <col min="1" max="1" width="19.81640625" customWidth="1"/>
    <col min="2" max="2" width="15.453125" bestFit="1" customWidth="1"/>
    <col min="3" max="3" width="15.81640625" bestFit="1" customWidth="1"/>
    <col min="4" max="4" width="16.81640625" customWidth="1"/>
    <col min="5" max="5" width="16.453125" customWidth="1"/>
    <col min="6" max="6" width="14.453125" customWidth="1"/>
    <col min="7" max="7" width="15.1796875" customWidth="1"/>
    <col min="10" max="10" width="12.1796875" bestFit="1" customWidth="1"/>
  </cols>
  <sheetData>
    <row r="1" spans="1:13" s="472" customFormat="1" ht="21">
      <c r="A1" s="473" t="s">
        <v>139</v>
      </c>
    </row>
    <row r="2" spans="1:13">
      <c r="A2" s="60" t="s">
        <v>140</v>
      </c>
    </row>
    <row r="3" spans="1:13">
      <c r="A3" s="474" t="s">
        <v>141</v>
      </c>
    </row>
    <row r="5" spans="1:13">
      <c r="B5" s="991" t="s">
        <v>142</v>
      </c>
      <c r="C5" s="992"/>
      <c r="D5" s="993"/>
      <c r="E5" s="475"/>
      <c r="I5" s="994" t="s">
        <v>143</v>
      </c>
      <c r="J5" s="994"/>
      <c r="K5" s="994"/>
      <c r="L5" s="994"/>
      <c r="M5" s="994"/>
    </row>
    <row r="6" spans="1:13">
      <c r="B6" s="981">
        <v>60</v>
      </c>
      <c r="C6" s="982"/>
      <c r="D6" s="983"/>
      <c r="E6" s="475"/>
      <c r="I6" s="990">
        <v>90</v>
      </c>
      <c r="J6" s="990"/>
      <c r="K6" s="990"/>
      <c r="L6" s="990"/>
      <c r="M6" s="990"/>
    </row>
    <row r="7" spans="1:13">
      <c r="B7" s="984"/>
      <c r="C7" s="985"/>
      <c r="D7" s="986"/>
      <c r="E7" s="475"/>
      <c r="I7" s="990"/>
      <c r="J7" s="990"/>
      <c r="K7" s="990"/>
      <c r="L7" s="990"/>
      <c r="M7" s="990"/>
    </row>
    <row r="8" spans="1:13">
      <c r="B8" s="987"/>
      <c r="C8" s="988"/>
      <c r="D8" s="989"/>
      <c r="E8" s="475"/>
      <c r="I8" s="990"/>
      <c r="J8" s="990"/>
      <c r="K8" s="990"/>
      <c r="L8" s="990"/>
      <c r="M8" s="990"/>
    </row>
    <row r="9" spans="1:13">
      <c r="B9" s="995">
        <v>3000</v>
      </c>
      <c r="C9" s="996"/>
      <c r="D9" s="997"/>
      <c r="E9" s="475"/>
      <c r="I9" s="1004">
        <v>800</v>
      </c>
      <c r="J9" s="1004"/>
      <c r="K9" s="1004"/>
      <c r="L9" s="1004"/>
      <c r="M9" s="1004"/>
    </row>
    <row r="10" spans="1:13">
      <c r="B10" s="998"/>
      <c r="C10" s="999"/>
      <c r="D10" s="1000"/>
      <c r="E10" s="475"/>
      <c r="I10" s="1004"/>
      <c r="J10" s="1004"/>
      <c r="K10" s="1004"/>
      <c r="L10" s="1004"/>
      <c r="M10" s="1004"/>
    </row>
    <row r="11" spans="1:13">
      <c r="B11" s="1001"/>
      <c r="C11" s="1002"/>
      <c r="D11" s="1003"/>
      <c r="E11" s="475"/>
      <c r="I11" s="1004"/>
      <c r="J11" s="1004"/>
      <c r="K11" s="1004"/>
      <c r="L11" s="1004"/>
      <c r="M11" s="1004"/>
    </row>
    <row r="12" spans="1:13">
      <c r="B12" s="477"/>
      <c r="C12" s="477"/>
      <c r="D12" s="477"/>
      <c r="E12" s="475"/>
    </row>
    <row r="13" spans="1:13">
      <c r="E13" s="475"/>
      <c r="F13" s="1005" t="s">
        <v>144</v>
      </c>
      <c r="G13" s="1006"/>
    </row>
    <row r="14" spans="1:13">
      <c r="E14" s="475"/>
      <c r="F14" s="1007"/>
      <c r="G14" s="1008"/>
    </row>
    <row r="15" spans="1:13">
      <c r="E15" s="475"/>
      <c r="F15" s="1009">
        <f>+A32</f>
        <v>76.307692307692307</v>
      </c>
      <c r="G15" s="1010"/>
    </row>
    <row r="16" spans="1:13">
      <c r="E16" s="475"/>
      <c r="F16" s="1011">
        <f>+F32</f>
        <v>545.05494505494505</v>
      </c>
      <c r="G16" s="1012"/>
    </row>
    <row r="17" spans="1:14">
      <c r="E17" s="475"/>
      <c r="G17" s="478"/>
    </row>
    <row r="18" spans="1:14">
      <c r="B18" s="991" t="s">
        <v>145</v>
      </c>
      <c r="C18" s="992"/>
      <c r="D18" s="993"/>
      <c r="E18" s="475"/>
      <c r="I18" s="994" t="s">
        <v>146</v>
      </c>
      <c r="J18" s="994"/>
      <c r="K18" s="994"/>
      <c r="L18" s="994"/>
      <c r="M18" s="994"/>
    </row>
    <row r="19" spans="1:14">
      <c r="B19" s="981">
        <v>40</v>
      </c>
      <c r="C19" s="982"/>
      <c r="D19" s="983"/>
      <c r="E19" s="475"/>
      <c r="I19" s="990">
        <v>720</v>
      </c>
      <c r="J19" s="990"/>
      <c r="K19" s="990"/>
      <c r="L19" s="990"/>
      <c r="M19" s="990"/>
    </row>
    <row r="20" spans="1:14">
      <c r="B20" s="984"/>
      <c r="C20" s="985"/>
      <c r="D20" s="986"/>
      <c r="E20" s="475"/>
      <c r="I20" s="990"/>
      <c r="J20" s="990"/>
      <c r="K20" s="990"/>
      <c r="L20" s="990"/>
      <c r="M20" s="990"/>
    </row>
    <row r="21" spans="1:14">
      <c r="B21" s="987"/>
      <c r="C21" s="988"/>
      <c r="D21" s="989"/>
      <c r="E21" s="475"/>
      <c r="I21" s="990"/>
      <c r="J21" s="990"/>
      <c r="K21" s="990"/>
      <c r="L21" s="990"/>
      <c r="M21" s="990"/>
    </row>
    <row r="22" spans="1:14">
      <c r="B22" s="995">
        <v>2500</v>
      </c>
      <c r="C22" s="996"/>
      <c r="D22" s="997"/>
      <c r="E22" s="476"/>
      <c r="I22" s="1004">
        <v>200</v>
      </c>
      <c r="J22" s="1004"/>
      <c r="K22" s="1004"/>
      <c r="L22" s="1004"/>
      <c r="M22" s="1004"/>
    </row>
    <row r="23" spans="1:14">
      <c r="B23" s="998"/>
      <c r="C23" s="999"/>
      <c r="D23" s="1000"/>
      <c r="E23" s="476"/>
      <c r="I23" s="1004"/>
      <c r="J23" s="1004"/>
      <c r="K23" s="1004"/>
      <c r="L23" s="1004"/>
      <c r="M23" s="1004"/>
    </row>
    <row r="24" spans="1:14">
      <c r="B24" s="1001"/>
      <c r="C24" s="1002"/>
      <c r="D24" s="1003"/>
      <c r="E24" s="476"/>
      <c r="I24" s="1004"/>
      <c r="J24" s="1004"/>
      <c r="K24" s="1004"/>
      <c r="L24" s="1004"/>
      <c r="M24" s="1004"/>
    </row>
    <row r="25" spans="1:14">
      <c r="B25" s="476"/>
      <c r="C25" s="476"/>
      <c r="D25" s="476"/>
      <c r="E25" s="476"/>
      <c r="I25" s="476"/>
      <c r="J25" s="476"/>
      <c r="K25" s="476"/>
      <c r="L25" s="476"/>
      <c r="M25" s="476"/>
    </row>
    <row r="27" spans="1:14" ht="16.5">
      <c r="A27" s="1013"/>
      <c r="B27" s="1014"/>
      <c r="C27" s="479" t="s">
        <v>147</v>
      </c>
      <c r="D27" s="479" t="s">
        <v>148</v>
      </c>
      <c r="E27" s="479" t="s">
        <v>149</v>
      </c>
      <c r="F27" s="1014"/>
      <c r="G27" s="1015"/>
      <c r="J27" s="1020"/>
      <c r="K27" s="1020"/>
      <c r="L27" s="1020"/>
      <c r="M27" s="1020"/>
      <c r="N27" s="1020"/>
    </row>
    <row r="28" spans="1:14">
      <c r="A28" s="16" t="str">
        <f>+B5</f>
        <v>Aflukning nr. 1</v>
      </c>
      <c r="B28" s="480">
        <f>+C28/$C$32</f>
        <v>0.46153846153846156</v>
      </c>
      <c r="C28" s="481">
        <f>+B9</f>
        <v>3000</v>
      </c>
      <c r="D28" s="482">
        <f>+E28*C28</f>
        <v>180000</v>
      </c>
      <c r="E28" s="483">
        <f>+B6</f>
        <v>60</v>
      </c>
      <c r="F28" s="484"/>
      <c r="G28" s="485"/>
      <c r="J28" s="3"/>
    </row>
    <row r="29" spans="1:14">
      <c r="A29" s="16" t="str">
        <f>+I5</f>
        <v>Aflukning nr. 2</v>
      </c>
      <c r="B29" s="480">
        <f>+C29/$C$32</f>
        <v>0.12307692307692308</v>
      </c>
      <c r="C29" s="481">
        <f>+I9</f>
        <v>800</v>
      </c>
      <c r="D29" s="482">
        <f>+E29*C29</f>
        <v>72000</v>
      </c>
      <c r="E29" s="483">
        <f>+I6</f>
        <v>90</v>
      </c>
      <c r="F29" s="484"/>
      <c r="G29" s="485"/>
      <c r="J29" s="3"/>
    </row>
    <row r="30" spans="1:14">
      <c r="A30" s="16" t="str">
        <f>+B18</f>
        <v>Aflukning nr. 3</v>
      </c>
      <c r="B30" s="480">
        <f>+C30/$C$32</f>
        <v>0.38461538461538464</v>
      </c>
      <c r="C30" s="481">
        <f>+B22</f>
        <v>2500</v>
      </c>
      <c r="D30" s="482">
        <f>+E30*C30</f>
        <v>100000</v>
      </c>
      <c r="E30" s="483">
        <f>+B19</f>
        <v>40</v>
      </c>
      <c r="F30" s="484"/>
      <c r="G30" s="485"/>
      <c r="J30" s="3"/>
      <c r="N30" s="3"/>
    </row>
    <row r="31" spans="1:14">
      <c r="A31" s="16" t="str">
        <f>+I18</f>
        <v>Aflukning nr. 4</v>
      </c>
      <c r="B31" s="480">
        <f>+C31/$C$32</f>
        <v>3.0769230769230771E-2</v>
      </c>
      <c r="C31" s="486">
        <f>+I22</f>
        <v>200</v>
      </c>
      <c r="D31" s="487">
        <f>+E31*C31</f>
        <v>144000</v>
      </c>
      <c r="E31" s="488">
        <f>+I19</f>
        <v>720</v>
      </c>
      <c r="F31" s="489"/>
      <c r="G31" s="490"/>
      <c r="N31" s="3"/>
    </row>
    <row r="32" spans="1:14">
      <c r="A32" s="1016">
        <f>+D32/C32</f>
        <v>76.307692307692307</v>
      </c>
      <c r="B32" s="1017"/>
      <c r="C32" s="491">
        <f>+C28+C29+C30+C31</f>
        <v>6500</v>
      </c>
      <c r="D32" s="492">
        <f>SUM(D28:D31)</f>
        <v>496000</v>
      </c>
      <c r="E32" s="493">
        <f>SUM(E28:E31)</f>
        <v>910</v>
      </c>
      <c r="F32" s="1018">
        <f>D32/E32</f>
        <v>545.05494505494505</v>
      </c>
      <c r="G32" s="1019"/>
      <c r="J32" s="652"/>
    </row>
    <row r="33" spans="1:6">
      <c r="A33" t="s">
        <v>150</v>
      </c>
    </row>
    <row r="34" spans="1:6">
      <c r="C34" s="3"/>
      <c r="D34" s="3"/>
      <c r="E34" s="3"/>
      <c r="F34" s="3"/>
    </row>
    <row r="35" spans="1:6">
      <c r="A35" t="s">
        <v>312</v>
      </c>
      <c r="B35" s="3">
        <f>+C32*F15*(B36/B37)</f>
        <v>644800</v>
      </c>
      <c r="C35" s="3"/>
      <c r="D35" s="3"/>
    </row>
    <row r="36" spans="1:6">
      <c r="A36" t="s">
        <v>313</v>
      </c>
      <c r="B36" s="3">
        <v>3.25</v>
      </c>
      <c r="C36" s="3"/>
      <c r="D36" s="3"/>
    </row>
    <row r="37" spans="1:6">
      <c r="A37" t="s">
        <v>314</v>
      </c>
      <c r="B37" s="706">
        <v>2.5</v>
      </c>
    </row>
    <row r="38" spans="1:6">
      <c r="A38" s="60" t="s">
        <v>315</v>
      </c>
      <c r="B38" s="4">
        <f>+B35/C32</f>
        <v>99.2</v>
      </c>
    </row>
  </sheetData>
  <mergeCells count="20">
    <mergeCell ref="B22:D24"/>
    <mergeCell ref="I22:M24"/>
    <mergeCell ref="A27:B27"/>
    <mergeCell ref="F27:G27"/>
    <mergeCell ref="A32:B32"/>
    <mergeCell ref="F32:G32"/>
    <mergeCell ref="J27:N27"/>
    <mergeCell ref="B19:D21"/>
    <mergeCell ref="I19:M21"/>
    <mergeCell ref="B5:D5"/>
    <mergeCell ref="I5:M5"/>
    <mergeCell ref="B6:D8"/>
    <mergeCell ref="I6:M8"/>
    <mergeCell ref="B9:D11"/>
    <mergeCell ref="I9:M11"/>
    <mergeCell ref="F13:G14"/>
    <mergeCell ref="F15:G15"/>
    <mergeCell ref="F16:G16"/>
    <mergeCell ref="B18:D18"/>
    <mergeCell ref="I18:M18"/>
  </mergeCells>
  <pageMargins left="0.7" right="0.7" top="0.75" bottom="0.75" header="0.3" footer="0.3"/>
  <pageSetup paperSize="9" scale="7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6"/>
  <sheetViews>
    <sheetView showGridLines="0" topLeftCell="A3" workbookViewId="0">
      <selection activeCell="I37" sqref="I37"/>
    </sheetView>
  </sheetViews>
  <sheetFormatPr defaultColWidth="8.81640625" defaultRowHeight="14.5"/>
  <cols>
    <col min="1" max="1" width="16" customWidth="1"/>
    <col min="2" max="2" width="14.453125" bestFit="1" customWidth="1"/>
    <col min="3" max="3" width="11.81640625" bestFit="1" customWidth="1"/>
    <col min="4" max="4" width="13.453125" bestFit="1" customWidth="1"/>
    <col min="5" max="5" width="13.81640625" customWidth="1"/>
    <col min="6" max="6" width="6.1796875" customWidth="1"/>
    <col min="7" max="7" width="23.81640625" customWidth="1"/>
    <col min="8" max="8" width="4.81640625" customWidth="1"/>
    <col min="9" max="13" width="7.453125" customWidth="1"/>
  </cols>
  <sheetData>
    <row r="1" spans="1:13" s="472" customFormat="1" ht="21">
      <c r="A1" s="473" t="s">
        <v>139</v>
      </c>
    </row>
    <row r="2" spans="1:13">
      <c r="A2" s="60" t="s">
        <v>151</v>
      </c>
    </row>
    <row r="3" spans="1:13">
      <c r="A3" s="474" t="s">
        <v>152</v>
      </c>
      <c r="D3" s="477"/>
      <c r="E3" s="477"/>
    </row>
    <row r="4" spans="1:13">
      <c r="D4" s="477"/>
      <c r="E4" s="477"/>
    </row>
    <row r="5" spans="1:13">
      <c r="C5" s="991" t="s">
        <v>153</v>
      </c>
      <c r="D5" s="992"/>
      <c r="E5" s="993"/>
      <c r="I5" s="994" t="s">
        <v>154</v>
      </c>
      <c r="J5" s="994"/>
      <c r="K5" s="994"/>
      <c r="L5" s="994"/>
      <c r="M5" s="994"/>
    </row>
    <row r="6" spans="1:13">
      <c r="C6" s="1021">
        <v>70</v>
      </c>
      <c r="D6" s="1022"/>
      <c r="E6" s="1023"/>
      <c r="I6" s="1021">
        <v>150</v>
      </c>
      <c r="J6" s="1022"/>
      <c r="K6" s="1022"/>
      <c r="L6" s="1022"/>
      <c r="M6" s="1023"/>
    </row>
    <row r="7" spans="1:13">
      <c r="C7" s="1024"/>
      <c r="D7" s="1025"/>
      <c r="E7" s="1026"/>
      <c r="I7" s="1024"/>
      <c r="J7" s="1025"/>
      <c r="K7" s="1025"/>
      <c r="L7" s="1025"/>
      <c r="M7" s="1026"/>
    </row>
    <row r="8" spans="1:13">
      <c r="C8" s="1027"/>
      <c r="D8" s="1028"/>
      <c r="E8" s="1029"/>
      <c r="I8" s="1027"/>
      <c r="J8" s="1028"/>
      <c r="K8" s="1028"/>
      <c r="L8" s="1028"/>
      <c r="M8" s="1029"/>
    </row>
    <row r="9" spans="1:13">
      <c r="C9" s="995">
        <v>3000</v>
      </c>
      <c r="D9" s="996"/>
      <c r="E9" s="997"/>
      <c r="I9" s="1004">
        <v>300</v>
      </c>
      <c r="J9" s="1004"/>
      <c r="K9" s="1004"/>
      <c r="L9" s="1004"/>
      <c r="M9" s="1004"/>
    </row>
    <row r="10" spans="1:13">
      <c r="C10" s="998"/>
      <c r="D10" s="999"/>
      <c r="E10" s="1000"/>
      <c r="I10" s="1004"/>
      <c r="J10" s="1004"/>
      <c r="K10" s="1004"/>
      <c r="L10" s="1004"/>
      <c r="M10" s="1004"/>
    </row>
    <row r="11" spans="1:13">
      <c r="A11" s="477"/>
      <c r="B11" s="477"/>
      <c r="C11" s="1001"/>
      <c r="D11" s="1002"/>
      <c r="E11" s="1003"/>
      <c r="G11" s="1030" t="s">
        <v>155</v>
      </c>
      <c r="I11" s="1004"/>
      <c r="J11" s="1004"/>
      <c r="K11" s="1004"/>
      <c r="L11" s="1004"/>
      <c r="M11" s="1004"/>
    </row>
    <row r="12" spans="1:13">
      <c r="G12" s="1031"/>
    </row>
    <row r="13" spans="1:13">
      <c r="G13" s="494">
        <f>+A30</f>
        <v>90.727272727272734</v>
      </c>
    </row>
    <row r="14" spans="1:13">
      <c r="G14" s="495">
        <f>+F30</f>
        <v>504.04040404040404</v>
      </c>
    </row>
    <row r="15" spans="1:13">
      <c r="G15" s="478"/>
    </row>
    <row r="16" spans="1:13">
      <c r="C16" s="991" t="s">
        <v>156</v>
      </c>
      <c r="D16" s="992"/>
      <c r="E16" s="993"/>
      <c r="I16" s="994" t="s">
        <v>157</v>
      </c>
      <c r="J16" s="994"/>
      <c r="K16" s="994"/>
      <c r="L16" s="994"/>
      <c r="M16" s="994"/>
    </row>
    <row r="17" spans="1:14">
      <c r="C17" s="1021">
        <v>50</v>
      </c>
      <c r="D17" s="1022"/>
      <c r="E17" s="1023"/>
      <c r="I17" s="1021">
        <v>720</v>
      </c>
      <c r="J17" s="1022"/>
      <c r="K17" s="1022"/>
      <c r="L17" s="1022"/>
      <c r="M17" s="1023"/>
    </row>
    <row r="18" spans="1:14">
      <c r="C18" s="1024"/>
      <c r="D18" s="1025"/>
      <c r="E18" s="1026"/>
      <c r="I18" s="1024"/>
      <c r="J18" s="1025"/>
      <c r="K18" s="1025"/>
      <c r="L18" s="1025"/>
      <c r="M18" s="1026"/>
    </row>
    <row r="19" spans="1:14">
      <c r="C19" s="1027"/>
      <c r="D19" s="1028"/>
      <c r="E19" s="1029"/>
      <c r="I19" s="1027"/>
      <c r="J19" s="1028"/>
      <c r="K19" s="1028"/>
      <c r="L19" s="1028"/>
      <c r="M19" s="1029"/>
    </row>
    <row r="20" spans="1:14">
      <c r="C20" s="995">
        <v>2000</v>
      </c>
      <c r="D20" s="996"/>
      <c r="E20" s="997"/>
      <c r="I20" s="1004">
        <v>200</v>
      </c>
      <c r="J20" s="1004"/>
      <c r="K20" s="1004"/>
      <c r="L20" s="1004"/>
      <c r="M20" s="1004"/>
    </row>
    <row r="21" spans="1:14">
      <c r="C21" s="998"/>
      <c r="D21" s="999"/>
      <c r="E21" s="1000"/>
      <c r="I21" s="1004"/>
      <c r="J21" s="1004"/>
      <c r="K21" s="1004"/>
      <c r="L21" s="1004"/>
      <c r="M21" s="1004"/>
    </row>
    <row r="22" spans="1:14">
      <c r="C22" s="1001"/>
      <c r="D22" s="1002"/>
      <c r="E22" s="1003"/>
      <c r="I22" s="1004"/>
      <c r="J22" s="1004"/>
      <c r="K22" s="1004"/>
      <c r="L22" s="1004"/>
      <c r="M22" s="1004"/>
    </row>
    <row r="25" spans="1:14" ht="16.5">
      <c r="A25" s="1013"/>
      <c r="B25" s="1014"/>
      <c r="C25" s="479" t="s">
        <v>147</v>
      </c>
      <c r="D25" s="479" t="s">
        <v>158</v>
      </c>
      <c r="E25" s="479" t="s">
        <v>159</v>
      </c>
      <c r="F25" s="1014"/>
      <c r="G25" s="1015"/>
    </row>
    <row r="26" spans="1:14">
      <c r="A26" s="16" t="str">
        <f>+C5</f>
        <v>Closure nr. 1</v>
      </c>
      <c r="B26" s="480">
        <f>+C26/$C$30</f>
        <v>0.54545454545454541</v>
      </c>
      <c r="C26" s="481">
        <f>+C9</f>
        <v>3000</v>
      </c>
      <c r="D26" s="496">
        <f>E26*C26</f>
        <v>210000</v>
      </c>
      <c r="E26" s="497">
        <f>+C6</f>
        <v>70</v>
      </c>
      <c r="F26" s="484"/>
      <c r="G26" s="485"/>
    </row>
    <row r="27" spans="1:14" ht="15" customHeight="1">
      <c r="A27" s="16" t="str">
        <f>+I5</f>
        <v>Closure nr. 2</v>
      </c>
      <c r="B27" s="480">
        <f>+C27/$C$30</f>
        <v>5.4545454545454543E-2</v>
      </c>
      <c r="C27" s="481">
        <f>+I9</f>
        <v>300</v>
      </c>
      <c r="D27" s="496">
        <f>E27*C27</f>
        <v>45000</v>
      </c>
      <c r="E27" s="497">
        <f>+I6</f>
        <v>150</v>
      </c>
      <c r="F27" s="484"/>
      <c r="G27" s="485"/>
    </row>
    <row r="28" spans="1:14">
      <c r="A28" s="16" t="str">
        <f>+C16</f>
        <v>Closure nr. 3</v>
      </c>
      <c r="B28" s="480">
        <f>+C28/$C$30</f>
        <v>0.36363636363636365</v>
      </c>
      <c r="C28" s="481">
        <f>+C20</f>
        <v>2000</v>
      </c>
      <c r="D28" s="496">
        <f>E28*C28</f>
        <v>100000</v>
      </c>
      <c r="E28" s="497">
        <f>+C17</f>
        <v>50</v>
      </c>
      <c r="F28" s="484"/>
      <c r="G28" s="485"/>
    </row>
    <row r="29" spans="1:14">
      <c r="A29" s="16" t="str">
        <f>+I16</f>
        <v>Closure nr. 4</v>
      </c>
      <c r="B29" s="480">
        <f>+C29/$C$30</f>
        <v>3.6363636363636362E-2</v>
      </c>
      <c r="C29" s="481">
        <f>+I20</f>
        <v>200</v>
      </c>
      <c r="D29" s="496">
        <f>E29*C29</f>
        <v>144000</v>
      </c>
      <c r="E29" s="497">
        <f>+I17</f>
        <v>720</v>
      </c>
      <c r="F29" s="484"/>
      <c r="G29" s="485"/>
    </row>
    <row r="30" spans="1:14">
      <c r="A30" s="1032">
        <f>+D30/C30</f>
        <v>90.727272727272734</v>
      </c>
      <c r="B30" s="1033"/>
      <c r="C30" s="498">
        <f>+C26+C27+C28+C29</f>
        <v>5500</v>
      </c>
      <c r="D30" s="499">
        <f>SUM(D26:D29)</f>
        <v>499000</v>
      </c>
      <c r="E30" s="500">
        <f>E26+E27+E28+E29</f>
        <v>990</v>
      </c>
      <c r="F30" s="1034">
        <f>D30/E30</f>
        <v>504.04040404040404</v>
      </c>
      <c r="G30" s="1035"/>
    </row>
    <row r="31" spans="1:14">
      <c r="A31" t="s">
        <v>160</v>
      </c>
      <c r="N31" s="1"/>
    </row>
    <row r="33" spans="1:2">
      <c r="A33" t="s">
        <v>316</v>
      </c>
      <c r="B33" s="3">
        <f>+C30*G13*(B34/B35)</f>
        <v>648700.00000000012</v>
      </c>
    </row>
    <row r="34" spans="1:2">
      <c r="A34" t="s">
        <v>317</v>
      </c>
      <c r="B34" s="3">
        <v>3.25</v>
      </c>
    </row>
    <row r="35" spans="1:2">
      <c r="A35" t="s">
        <v>318</v>
      </c>
      <c r="B35" s="706">
        <v>2.5</v>
      </c>
    </row>
    <row r="36" spans="1:2">
      <c r="A36" t="s">
        <v>319</v>
      </c>
      <c r="B36" s="3">
        <f>+B33/C30/B35</f>
        <v>47.178181818181827</v>
      </c>
    </row>
  </sheetData>
  <mergeCells count="17">
    <mergeCell ref="A25:B25"/>
    <mergeCell ref="F25:G25"/>
    <mergeCell ref="A30:B30"/>
    <mergeCell ref="F30:G30"/>
    <mergeCell ref="C16:E16"/>
    <mergeCell ref="I16:M16"/>
    <mergeCell ref="C17:E19"/>
    <mergeCell ref="I17:M19"/>
    <mergeCell ref="C20:E22"/>
    <mergeCell ref="I20:M22"/>
    <mergeCell ref="C5:E5"/>
    <mergeCell ref="I5:M5"/>
    <mergeCell ref="C6:E8"/>
    <mergeCell ref="I6:M8"/>
    <mergeCell ref="C9:E11"/>
    <mergeCell ref="I9:M11"/>
    <mergeCell ref="G11:G12"/>
  </mergeCells>
  <pageMargins left="0.7" right="0.7" top="0.75" bottom="0.75" header="0.3" footer="0.3"/>
  <pageSetup paperSize="9" scale="9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0"/>
  <sheetViews>
    <sheetView showGridLines="0" zoomScale="110" zoomScaleNormal="110" zoomScalePageLayoutView="110" workbookViewId="0">
      <selection activeCell="T37" sqref="T37"/>
    </sheetView>
  </sheetViews>
  <sheetFormatPr defaultColWidth="8.81640625" defaultRowHeight="14.5"/>
  <sheetData>
    <row r="30" spans="1:1">
      <c r="A30" t="s">
        <v>202</v>
      </c>
    </row>
  </sheetData>
  <pageMargins left="0.25" right="0.25" top="0.75" bottom="0.75" header="0.3" footer="0.3"/>
  <pageSetup paperSize="9" scale="8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09"/>
  <sheetViews>
    <sheetView zoomScale="50" zoomScaleNormal="50" zoomScaleSheetLayoutView="37" zoomScalePageLayoutView="50" workbookViewId="0">
      <selection activeCell="H13" sqref="H13"/>
    </sheetView>
  </sheetViews>
  <sheetFormatPr defaultColWidth="8.81640625" defaultRowHeight="14.5"/>
  <cols>
    <col min="1" max="1" width="30.1796875" customWidth="1"/>
    <col min="2" max="2" width="34.453125" customWidth="1"/>
    <col min="3" max="4" width="7" customWidth="1"/>
    <col min="5" max="5" width="23.1796875" customWidth="1"/>
    <col min="6" max="6" width="35.1796875" customWidth="1"/>
    <col min="7" max="7" width="18.453125" customWidth="1"/>
    <col min="8" max="8" width="11.81640625" customWidth="1"/>
    <col min="9" max="9" width="33.81640625" customWidth="1"/>
    <col min="10" max="10" width="42.1796875" customWidth="1"/>
    <col min="11" max="11" width="22.453125" customWidth="1"/>
    <col min="12" max="12" width="31.1796875" style="705" customWidth="1"/>
  </cols>
  <sheetData>
    <row r="1" spans="1:12" ht="33" customHeight="1" thickBot="1">
      <c r="A1" s="1045" t="s">
        <v>209</v>
      </c>
      <c r="B1" s="1046"/>
      <c r="C1" s="1046"/>
      <c r="D1" s="1046"/>
      <c r="E1" s="1046"/>
      <c r="F1" s="1046"/>
      <c r="G1" s="1046"/>
      <c r="H1" s="1046"/>
      <c r="I1" s="1046"/>
      <c r="J1" s="1046"/>
      <c r="K1" s="1046"/>
      <c r="L1" s="1047"/>
    </row>
    <row r="2" spans="1:12" ht="34" customHeight="1">
      <c r="A2" s="655" t="s">
        <v>210</v>
      </c>
      <c r="B2" s="1048"/>
      <c r="C2" s="1049"/>
      <c r="D2" s="1050"/>
      <c r="E2" s="656" t="s">
        <v>211</v>
      </c>
      <c r="F2" s="1051"/>
      <c r="G2" s="1051"/>
      <c r="H2" s="1051"/>
      <c r="I2" s="656" t="s">
        <v>212</v>
      </c>
      <c r="J2" s="1051"/>
      <c r="K2" s="1051"/>
      <c r="L2" s="1052"/>
    </row>
    <row r="3" spans="1:12" ht="34" customHeight="1">
      <c r="A3" s="658" t="s">
        <v>213</v>
      </c>
      <c r="B3" s="1036"/>
      <c r="C3" s="1037"/>
      <c r="D3" s="1038"/>
      <c r="E3" s="659" t="s">
        <v>214</v>
      </c>
      <c r="F3" s="1039"/>
      <c r="G3" s="1039"/>
      <c r="H3" s="1039"/>
      <c r="I3" s="659" t="s">
        <v>215</v>
      </c>
      <c r="J3" s="1040"/>
      <c r="K3" s="1040"/>
      <c r="L3" s="1041"/>
    </row>
    <row r="4" spans="1:12" ht="34" customHeight="1">
      <c r="A4" s="661" t="s">
        <v>216</v>
      </c>
      <c r="B4" s="1036"/>
      <c r="C4" s="1037"/>
      <c r="D4" s="1038"/>
      <c r="E4" s="659" t="s">
        <v>217</v>
      </c>
      <c r="F4" s="1039"/>
      <c r="G4" s="1039"/>
      <c r="H4" s="1039"/>
      <c r="I4" s="659" t="s">
        <v>218</v>
      </c>
      <c r="J4" s="1040"/>
      <c r="K4" s="1040"/>
      <c r="L4" s="1041"/>
    </row>
    <row r="5" spans="1:12" ht="34" customHeight="1" thickBot="1">
      <c r="A5" s="662"/>
      <c r="B5" s="1036"/>
      <c r="C5" s="1037"/>
      <c r="D5" s="1038"/>
      <c r="E5" s="663"/>
      <c r="F5" s="1042"/>
      <c r="G5" s="1042"/>
      <c r="H5" s="1042"/>
      <c r="I5" s="664" t="s">
        <v>219</v>
      </c>
      <c r="J5" s="1043"/>
      <c r="K5" s="1043"/>
      <c r="L5" s="1044"/>
    </row>
    <row r="6" spans="1:12" ht="33.65" customHeight="1" thickBot="1">
      <c r="A6" s="1060" t="s">
        <v>220</v>
      </c>
      <c r="B6" s="1061"/>
      <c r="C6" s="1061"/>
      <c r="D6" s="1061"/>
      <c r="E6" s="1062"/>
      <c r="F6" s="1060" t="s">
        <v>221</v>
      </c>
      <c r="G6" s="1061"/>
      <c r="H6" s="1061"/>
      <c r="I6" s="1061"/>
      <c r="J6" s="1061"/>
      <c r="K6" s="1062"/>
      <c r="L6" s="665" t="s">
        <v>222</v>
      </c>
    </row>
    <row r="7" spans="1:12" ht="34" customHeight="1">
      <c r="A7" s="1063" t="s">
        <v>223</v>
      </c>
      <c r="B7" s="1064"/>
      <c r="C7" s="666" t="s">
        <v>224</v>
      </c>
      <c r="D7" s="666" t="s">
        <v>225</v>
      </c>
      <c r="E7" s="667" t="s">
        <v>226</v>
      </c>
      <c r="F7" s="1065"/>
      <c r="G7" s="1066"/>
      <c r="H7" s="657" t="s">
        <v>224</v>
      </c>
      <c r="I7" s="657" t="s">
        <v>227</v>
      </c>
      <c r="J7" s="668"/>
      <c r="K7" s="669" t="s">
        <v>226</v>
      </c>
      <c r="L7" s="670"/>
    </row>
    <row r="8" spans="1:12" ht="34" customHeight="1">
      <c r="A8" s="1053" t="s">
        <v>167</v>
      </c>
      <c r="B8" s="1054"/>
      <c r="C8" s="671"/>
      <c r="D8" s="671"/>
      <c r="E8" s="672"/>
      <c r="F8" s="1053" t="s">
        <v>228</v>
      </c>
      <c r="G8" s="1054"/>
      <c r="H8" s="673"/>
      <c r="I8" s="673"/>
      <c r="J8" s="659" t="s">
        <v>229</v>
      </c>
      <c r="K8" s="674"/>
      <c r="L8" s="675"/>
    </row>
    <row r="9" spans="1:12" ht="34" customHeight="1">
      <c r="A9" s="1053" t="s">
        <v>230</v>
      </c>
      <c r="B9" s="1054"/>
      <c r="C9" s="671"/>
      <c r="D9" s="671"/>
      <c r="E9" s="672"/>
      <c r="F9" s="1053" t="s">
        <v>231</v>
      </c>
      <c r="G9" s="1054"/>
      <c r="H9" s="676"/>
      <c r="I9" s="676"/>
      <c r="J9" s="659" t="s">
        <v>232</v>
      </c>
      <c r="K9" s="677"/>
      <c r="L9" s="675"/>
    </row>
    <row r="10" spans="1:12" ht="34" customHeight="1">
      <c r="A10" s="1053" t="s">
        <v>233</v>
      </c>
      <c r="B10" s="1054"/>
      <c r="C10" s="671"/>
      <c r="D10" s="671"/>
      <c r="E10" s="672"/>
      <c r="F10" s="1055" t="s">
        <v>234</v>
      </c>
      <c r="G10" s="1056"/>
      <c r="H10" s="678"/>
      <c r="I10" s="678"/>
      <c r="J10" s="679"/>
      <c r="K10" s="680"/>
      <c r="L10" s="675"/>
    </row>
    <row r="11" spans="1:12" ht="34" customHeight="1">
      <c r="A11" s="1053" t="s">
        <v>235</v>
      </c>
      <c r="B11" s="1054"/>
      <c r="C11" s="671"/>
      <c r="D11" s="671"/>
      <c r="E11" s="672"/>
      <c r="F11" s="1057" t="s">
        <v>236</v>
      </c>
      <c r="G11" s="1058"/>
      <c r="H11" s="1058"/>
      <c r="I11" s="1058"/>
      <c r="J11" s="1058"/>
      <c r="K11" s="1059"/>
      <c r="L11" s="675"/>
    </row>
    <row r="12" spans="1:12" ht="34" customHeight="1">
      <c r="A12" s="1069" t="s">
        <v>237</v>
      </c>
      <c r="B12" s="1070"/>
      <c r="C12" s="681" t="s">
        <v>224</v>
      </c>
      <c r="D12" s="681" t="s">
        <v>225</v>
      </c>
      <c r="E12" s="682" t="s">
        <v>238</v>
      </c>
      <c r="F12" s="1071"/>
      <c r="G12" s="1072"/>
      <c r="H12" s="683" t="s">
        <v>239</v>
      </c>
      <c r="I12" s="1039" t="s">
        <v>238</v>
      </c>
      <c r="J12" s="1039"/>
      <c r="K12" s="1073"/>
      <c r="L12" s="675"/>
    </row>
    <row r="13" spans="1:12" ht="34" customHeight="1">
      <c r="A13" s="1053" t="s">
        <v>240</v>
      </c>
      <c r="B13" s="1054"/>
      <c r="C13" s="671"/>
      <c r="D13" s="671"/>
      <c r="E13" s="684"/>
      <c r="F13" s="1055" t="s">
        <v>241</v>
      </c>
      <c r="G13" s="1056"/>
      <c r="H13" s="678"/>
      <c r="I13" s="1067"/>
      <c r="J13" s="1067"/>
      <c r="K13" s="1068"/>
      <c r="L13" s="675"/>
    </row>
    <row r="14" spans="1:12" ht="34" customHeight="1">
      <c r="A14" s="1053" t="s">
        <v>242</v>
      </c>
      <c r="B14" s="1054"/>
      <c r="C14" s="671"/>
      <c r="D14" s="671"/>
      <c r="E14" s="672"/>
      <c r="F14" s="1055" t="s">
        <v>243</v>
      </c>
      <c r="G14" s="1056"/>
      <c r="H14" s="678"/>
      <c r="I14" s="1067"/>
      <c r="J14" s="1067"/>
      <c r="K14" s="1068"/>
      <c r="L14" s="675"/>
    </row>
    <row r="15" spans="1:12" ht="34" customHeight="1">
      <c r="A15" s="1053" t="s">
        <v>244</v>
      </c>
      <c r="B15" s="1054"/>
      <c r="C15" s="671"/>
      <c r="D15" s="671"/>
      <c r="E15" s="672"/>
      <c r="F15" s="1055" t="s">
        <v>245</v>
      </c>
      <c r="G15" s="1056"/>
      <c r="H15" s="678"/>
      <c r="I15" s="1067"/>
      <c r="J15" s="1067"/>
      <c r="K15" s="1068"/>
      <c r="L15" s="675"/>
    </row>
    <row r="16" spans="1:12" ht="34" customHeight="1">
      <c r="A16" s="1053" t="s">
        <v>246</v>
      </c>
      <c r="B16" s="1054"/>
      <c r="C16" s="671"/>
      <c r="D16" s="671"/>
      <c r="E16" s="672"/>
      <c r="F16" s="1069" t="s">
        <v>247</v>
      </c>
      <c r="G16" s="1070"/>
      <c r="H16" s="1070"/>
      <c r="I16" s="1070"/>
      <c r="J16" s="1070"/>
      <c r="K16" s="1077"/>
      <c r="L16" s="675"/>
    </row>
    <row r="17" spans="1:12" ht="34" customHeight="1">
      <c r="A17" s="1053" t="s">
        <v>248</v>
      </c>
      <c r="B17" s="1054"/>
      <c r="C17" s="671"/>
      <c r="D17" s="671"/>
      <c r="E17" s="672"/>
      <c r="F17" s="685" t="s">
        <v>249</v>
      </c>
      <c r="G17" s="1039" t="s">
        <v>250</v>
      </c>
      <c r="H17" s="1039"/>
      <c r="I17" s="660" t="s">
        <v>251</v>
      </c>
      <c r="J17" s="1039" t="s">
        <v>252</v>
      </c>
      <c r="K17" s="1073"/>
      <c r="L17" s="675"/>
    </row>
    <row r="18" spans="1:12" ht="34" customHeight="1">
      <c r="A18" s="1053" t="s">
        <v>253</v>
      </c>
      <c r="B18" s="1054"/>
      <c r="C18" s="671"/>
      <c r="D18" s="671"/>
      <c r="E18" s="672"/>
      <c r="F18" s="686"/>
      <c r="G18" s="1074"/>
      <c r="H18" s="1074"/>
      <c r="I18" s="687"/>
      <c r="J18" s="1075"/>
      <c r="K18" s="1076"/>
      <c r="L18" s="675"/>
    </row>
    <row r="19" spans="1:12" ht="34" customHeight="1">
      <c r="A19" s="1069" t="s">
        <v>254</v>
      </c>
      <c r="B19" s="1070"/>
      <c r="C19" s="688" t="s">
        <v>224</v>
      </c>
      <c r="D19" s="688" t="s">
        <v>225</v>
      </c>
      <c r="E19" s="689" t="s">
        <v>238</v>
      </c>
      <c r="F19" s="686"/>
      <c r="G19" s="1074"/>
      <c r="H19" s="1074"/>
      <c r="I19" s="687"/>
      <c r="J19" s="1075"/>
      <c r="K19" s="1076"/>
      <c r="L19" s="675"/>
    </row>
    <row r="20" spans="1:12" ht="34" customHeight="1">
      <c r="A20" s="1053" t="s">
        <v>255</v>
      </c>
      <c r="B20" s="1054"/>
      <c r="C20" s="671"/>
      <c r="D20" s="671"/>
      <c r="E20" s="672"/>
      <c r="F20" s="686"/>
      <c r="G20" s="1074"/>
      <c r="H20" s="1074"/>
      <c r="I20" s="687"/>
      <c r="J20" s="1075"/>
      <c r="K20" s="1076"/>
      <c r="L20" s="675"/>
    </row>
    <row r="21" spans="1:12" ht="34" customHeight="1">
      <c r="A21" s="1053" t="s">
        <v>256</v>
      </c>
      <c r="B21" s="1054"/>
      <c r="C21" s="671"/>
      <c r="D21" s="671"/>
      <c r="E21" s="672"/>
      <c r="F21" s="686"/>
      <c r="G21" s="1074"/>
      <c r="H21" s="1074"/>
      <c r="I21" s="687"/>
      <c r="J21" s="1075"/>
      <c r="K21" s="1076"/>
      <c r="L21" s="675"/>
    </row>
    <row r="22" spans="1:12" ht="34" customHeight="1">
      <c r="A22" s="1053" t="s">
        <v>257</v>
      </c>
      <c r="B22" s="1054"/>
      <c r="C22" s="671"/>
      <c r="D22" s="671"/>
      <c r="E22" s="672"/>
      <c r="F22" s="1082" t="s">
        <v>258</v>
      </c>
      <c r="G22" s="1083"/>
      <c r="H22" s="1083"/>
      <c r="I22" s="1083"/>
      <c r="J22" s="1083"/>
      <c r="K22" s="1084"/>
      <c r="L22" s="675"/>
    </row>
    <row r="23" spans="1:12" ht="34" customHeight="1">
      <c r="A23" s="1053" t="s">
        <v>259</v>
      </c>
      <c r="B23" s="1054"/>
      <c r="C23" s="671"/>
      <c r="D23" s="671"/>
      <c r="E23" s="672"/>
      <c r="F23" s="1069" t="s">
        <v>260</v>
      </c>
      <c r="G23" s="1070"/>
      <c r="H23" s="1070"/>
      <c r="I23" s="1070"/>
      <c r="J23" s="1070"/>
      <c r="K23" s="1077"/>
      <c r="L23" s="675"/>
    </row>
    <row r="24" spans="1:12" ht="34" customHeight="1">
      <c r="A24" s="1053" t="s">
        <v>261</v>
      </c>
      <c r="B24" s="1054"/>
      <c r="C24" s="671"/>
      <c r="D24" s="671"/>
      <c r="E24" s="672"/>
      <c r="F24" s="690"/>
      <c r="G24" s="1078" t="s">
        <v>262</v>
      </c>
      <c r="H24" s="1078"/>
      <c r="I24" s="691" t="s">
        <v>263</v>
      </c>
      <c r="J24" s="1039" t="s">
        <v>264</v>
      </c>
      <c r="K24" s="1073"/>
      <c r="L24" s="675"/>
    </row>
    <row r="25" spans="1:12" ht="34" customHeight="1">
      <c r="A25" s="1053" t="s">
        <v>265</v>
      </c>
      <c r="B25" s="1054"/>
      <c r="C25" s="692"/>
      <c r="D25" s="692"/>
      <c r="E25" s="693"/>
      <c r="F25" s="658" t="s">
        <v>266</v>
      </c>
      <c r="G25" s="1079"/>
      <c r="H25" s="1079"/>
      <c r="I25" s="694"/>
      <c r="J25" s="1080"/>
      <c r="K25" s="1081"/>
      <c r="L25" s="675"/>
    </row>
    <row r="26" spans="1:12" ht="34" customHeight="1">
      <c r="A26" s="1069" t="s">
        <v>267</v>
      </c>
      <c r="B26" s="1070"/>
      <c r="C26" s="688" t="s">
        <v>224</v>
      </c>
      <c r="D26" s="688" t="s">
        <v>225</v>
      </c>
      <c r="E26" s="689" t="s">
        <v>268</v>
      </c>
      <c r="F26" s="1053" t="s">
        <v>269</v>
      </c>
      <c r="G26" s="1054"/>
      <c r="H26" s="1054"/>
      <c r="I26" s="694"/>
      <c r="J26" s="1080"/>
      <c r="K26" s="1081"/>
      <c r="L26" s="675"/>
    </row>
    <row r="27" spans="1:12" ht="34" customHeight="1">
      <c r="A27" s="1053" t="s">
        <v>270</v>
      </c>
      <c r="B27" s="1054"/>
      <c r="C27" s="660"/>
      <c r="D27" s="660"/>
      <c r="E27" s="695"/>
      <c r="F27" s="1053" t="s">
        <v>271</v>
      </c>
      <c r="G27" s="1054"/>
      <c r="H27" s="1054"/>
      <c r="I27" s="694"/>
      <c r="J27" s="1080"/>
      <c r="K27" s="1081"/>
      <c r="L27" s="675"/>
    </row>
    <row r="28" spans="1:12" ht="34" customHeight="1">
      <c r="A28" s="1053" t="s">
        <v>272</v>
      </c>
      <c r="B28" s="1054"/>
      <c r="C28" s="671"/>
      <c r="D28" s="671"/>
      <c r="E28" s="672"/>
      <c r="F28" s="1069" t="s">
        <v>273</v>
      </c>
      <c r="G28" s="1070"/>
      <c r="H28" s="1070"/>
      <c r="I28" s="1070"/>
      <c r="J28" s="1070"/>
      <c r="K28" s="1077"/>
      <c r="L28" s="675"/>
    </row>
    <row r="29" spans="1:12" ht="34" customHeight="1">
      <c r="A29" s="1053" t="s">
        <v>274</v>
      </c>
      <c r="B29" s="1054"/>
      <c r="C29" s="671"/>
      <c r="D29" s="671"/>
      <c r="E29" s="672"/>
      <c r="F29" s="1085"/>
      <c r="G29" s="1086"/>
      <c r="H29" s="660" t="s">
        <v>239</v>
      </c>
      <c r="I29" s="660" t="s">
        <v>275</v>
      </c>
      <c r="J29" s="1039" t="s">
        <v>276</v>
      </c>
      <c r="K29" s="1073"/>
      <c r="L29" s="675"/>
    </row>
    <row r="30" spans="1:12" ht="34" customHeight="1">
      <c r="A30" s="1053" t="s">
        <v>277</v>
      </c>
      <c r="B30" s="1054"/>
      <c r="C30" s="671"/>
      <c r="D30" s="671"/>
      <c r="E30" s="672"/>
      <c r="F30" s="1053" t="s">
        <v>278</v>
      </c>
      <c r="G30" s="1054"/>
      <c r="H30" s="671"/>
      <c r="I30" s="696"/>
      <c r="J30" s="1075"/>
      <c r="K30" s="1076"/>
      <c r="L30" s="675"/>
    </row>
    <row r="31" spans="1:12" ht="34" customHeight="1">
      <c r="A31" s="1055" t="s">
        <v>279</v>
      </c>
      <c r="B31" s="1056"/>
      <c r="C31" s="671"/>
      <c r="D31" s="671"/>
      <c r="E31" s="672"/>
      <c r="F31" s="1053" t="s">
        <v>280</v>
      </c>
      <c r="G31" s="1054"/>
      <c r="H31" s="671"/>
      <c r="I31" s="696"/>
      <c r="J31" s="1075"/>
      <c r="K31" s="1076"/>
      <c r="L31" s="675"/>
    </row>
    <row r="32" spans="1:12" ht="34" customHeight="1">
      <c r="A32" s="1057" t="s">
        <v>281</v>
      </c>
      <c r="B32" s="1058"/>
      <c r="C32" s="681" t="s">
        <v>224</v>
      </c>
      <c r="D32" s="681" t="s">
        <v>225</v>
      </c>
      <c r="E32" s="682" t="s">
        <v>226</v>
      </c>
      <c r="F32" s="1053" t="s">
        <v>282</v>
      </c>
      <c r="G32" s="1054"/>
      <c r="H32" s="671"/>
      <c r="I32" s="696"/>
      <c r="J32" s="1075"/>
      <c r="K32" s="1076"/>
      <c r="L32" s="675"/>
    </row>
    <row r="33" spans="1:12" ht="34" customHeight="1">
      <c r="A33" s="1055" t="s">
        <v>283</v>
      </c>
      <c r="B33" s="1056"/>
      <c r="C33" s="671"/>
      <c r="D33" s="671"/>
      <c r="E33" s="672"/>
      <c r="F33" s="1053" t="s">
        <v>284</v>
      </c>
      <c r="G33" s="1054"/>
      <c r="H33" s="671"/>
      <c r="I33" s="696"/>
      <c r="J33" s="1075"/>
      <c r="K33" s="1076"/>
      <c r="L33" s="675"/>
    </row>
    <row r="34" spans="1:12" ht="34" customHeight="1">
      <c r="A34" s="1055" t="s">
        <v>285</v>
      </c>
      <c r="B34" s="1056"/>
      <c r="C34" s="679"/>
      <c r="D34" s="679"/>
      <c r="E34" s="697"/>
      <c r="F34" s="1053" t="s">
        <v>286</v>
      </c>
      <c r="G34" s="1054"/>
      <c r="H34" s="671"/>
      <c r="I34" s="696"/>
      <c r="J34" s="1075"/>
      <c r="K34" s="1076"/>
      <c r="L34" s="675"/>
    </row>
    <row r="35" spans="1:12" ht="34" customHeight="1">
      <c r="A35" s="1055" t="s">
        <v>287</v>
      </c>
      <c r="B35" s="1056"/>
      <c r="C35" s="679"/>
      <c r="D35" s="679"/>
      <c r="E35" s="697"/>
      <c r="F35" s="1053" t="s">
        <v>288</v>
      </c>
      <c r="G35" s="1054"/>
      <c r="H35" s="671"/>
      <c r="I35" s="696"/>
      <c r="J35" s="1075"/>
      <c r="K35" s="1076"/>
      <c r="L35" s="675"/>
    </row>
    <row r="36" spans="1:12" ht="34" customHeight="1">
      <c r="A36" s="1055" t="s">
        <v>289</v>
      </c>
      <c r="B36" s="1056"/>
      <c r="C36" s="671"/>
      <c r="D36" s="671"/>
      <c r="E36" s="672"/>
      <c r="F36" s="1053" t="s">
        <v>290</v>
      </c>
      <c r="G36" s="1054"/>
      <c r="H36" s="671"/>
      <c r="I36" s="696"/>
      <c r="J36" s="1075"/>
      <c r="K36" s="1076"/>
      <c r="L36" s="675"/>
    </row>
    <row r="37" spans="1:12" ht="34" customHeight="1" thickBot="1">
      <c r="A37" s="1087" t="s">
        <v>291</v>
      </c>
      <c r="B37" s="1088"/>
      <c r="C37" s="1088"/>
      <c r="D37" s="1088"/>
      <c r="E37" s="1089"/>
      <c r="F37" s="1069" t="s">
        <v>126</v>
      </c>
      <c r="G37" s="1070"/>
      <c r="H37" s="1070"/>
      <c r="I37" s="1070"/>
      <c r="J37" s="1070"/>
      <c r="K37" s="1077"/>
      <c r="L37" s="675"/>
    </row>
    <row r="38" spans="1:12" ht="34" customHeight="1">
      <c r="A38" s="1090"/>
      <c r="B38" s="1091"/>
      <c r="C38" s="1091"/>
      <c r="D38" s="1091"/>
      <c r="E38" s="1092"/>
      <c r="F38" s="1093"/>
      <c r="G38" s="1094"/>
      <c r="H38" s="1094"/>
      <c r="I38" s="1095"/>
      <c r="J38" s="698" t="s">
        <v>238</v>
      </c>
      <c r="K38" s="699" t="s">
        <v>226</v>
      </c>
      <c r="L38" s="675"/>
    </row>
    <row r="39" spans="1:12" ht="34" customHeight="1">
      <c r="A39" s="1096"/>
      <c r="B39" s="1097"/>
      <c r="C39" s="1097"/>
      <c r="D39" s="1097"/>
      <c r="E39" s="1098"/>
      <c r="F39" s="1099" t="s">
        <v>292</v>
      </c>
      <c r="G39" s="1100"/>
      <c r="H39" s="1100"/>
      <c r="I39" s="1101"/>
      <c r="J39" s="700"/>
      <c r="K39" s="701"/>
      <c r="L39" s="675"/>
    </row>
    <row r="40" spans="1:12" ht="34" customHeight="1">
      <c r="A40" s="1096"/>
      <c r="B40" s="1097"/>
      <c r="C40" s="1097"/>
      <c r="D40" s="1097"/>
      <c r="E40" s="1098"/>
      <c r="F40" s="1099" t="s">
        <v>293</v>
      </c>
      <c r="G40" s="1100"/>
      <c r="H40" s="1100"/>
      <c r="I40" s="1101"/>
      <c r="J40" s="700"/>
      <c r="K40" s="701"/>
      <c r="L40" s="675"/>
    </row>
    <row r="41" spans="1:12" ht="34" customHeight="1">
      <c r="A41" s="1096"/>
      <c r="B41" s="1097"/>
      <c r="C41" s="1097"/>
      <c r="D41" s="1097"/>
      <c r="E41" s="1098"/>
      <c r="F41" s="1099" t="s">
        <v>294</v>
      </c>
      <c r="G41" s="1100"/>
      <c r="H41" s="1100"/>
      <c r="I41" s="1101"/>
      <c r="J41" s="700"/>
      <c r="K41" s="701"/>
      <c r="L41" s="675"/>
    </row>
    <row r="42" spans="1:12" ht="34" customHeight="1">
      <c r="A42" s="1096"/>
      <c r="B42" s="1097"/>
      <c r="C42" s="1097"/>
      <c r="D42" s="1097"/>
      <c r="E42" s="1098"/>
      <c r="F42" s="1099" t="s">
        <v>295</v>
      </c>
      <c r="G42" s="1100"/>
      <c r="H42" s="1100"/>
      <c r="I42" s="1101"/>
      <c r="J42" s="700"/>
      <c r="K42" s="701"/>
      <c r="L42" s="675"/>
    </row>
    <row r="43" spans="1:12" ht="34" customHeight="1">
      <c r="A43" s="1096"/>
      <c r="B43" s="1097"/>
      <c r="C43" s="1097"/>
      <c r="D43" s="1097"/>
      <c r="E43" s="1098"/>
      <c r="F43" s="1099" t="s">
        <v>296</v>
      </c>
      <c r="G43" s="1100"/>
      <c r="H43" s="1100"/>
      <c r="I43" s="1101"/>
      <c r="J43" s="700"/>
      <c r="K43" s="701"/>
      <c r="L43" s="675"/>
    </row>
    <row r="44" spans="1:12" ht="34" customHeight="1">
      <c r="A44" s="1096"/>
      <c r="B44" s="1097"/>
      <c r="C44" s="1097"/>
      <c r="D44" s="1097"/>
      <c r="E44" s="1098"/>
      <c r="F44" s="1099" t="s">
        <v>297</v>
      </c>
      <c r="G44" s="1100"/>
      <c r="H44" s="1100"/>
      <c r="I44" s="1101"/>
      <c r="J44" s="700"/>
      <c r="K44" s="701"/>
      <c r="L44" s="675"/>
    </row>
    <row r="45" spans="1:12" ht="34" customHeight="1">
      <c r="A45" s="1096"/>
      <c r="B45" s="1097"/>
      <c r="C45" s="1097"/>
      <c r="D45" s="1097"/>
      <c r="E45" s="1098"/>
      <c r="F45" s="1099" t="s">
        <v>298</v>
      </c>
      <c r="G45" s="1100"/>
      <c r="H45" s="1100"/>
      <c r="I45" s="1101"/>
      <c r="J45" s="700"/>
      <c r="K45" s="701"/>
      <c r="L45" s="675"/>
    </row>
    <row r="46" spans="1:12" ht="34" customHeight="1">
      <c r="A46" s="1096"/>
      <c r="B46" s="1097"/>
      <c r="C46" s="1097"/>
      <c r="D46" s="1097"/>
      <c r="E46" s="1098"/>
      <c r="F46" s="1103" t="s">
        <v>299</v>
      </c>
      <c r="G46" s="1104"/>
      <c r="H46" s="1104"/>
      <c r="I46" s="1104"/>
      <c r="J46" s="1104"/>
      <c r="K46" s="1105"/>
      <c r="L46" s="675"/>
    </row>
    <row r="47" spans="1:12" ht="34" customHeight="1">
      <c r="A47" s="1096"/>
      <c r="B47" s="1097"/>
      <c r="C47" s="1097"/>
      <c r="D47" s="1097"/>
      <c r="E47" s="1098"/>
      <c r="F47" s="1106"/>
      <c r="G47" s="1107"/>
      <c r="H47" s="1107"/>
      <c r="I47" s="1107"/>
      <c r="J47" s="698" t="s">
        <v>238</v>
      </c>
      <c r="K47" s="699" t="s">
        <v>226</v>
      </c>
      <c r="L47" s="675"/>
    </row>
    <row r="48" spans="1:12" ht="34" customHeight="1">
      <c r="A48" s="1096"/>
      <c r="B48" s="1097"/>
      <c r="C48" s="1097"/>
      <c r="D48" s="1097"/>
      <c r="E48" s="1098"/>
      <c r="F48" s="1102" t="s">
        <v>299</v>
      </c>
      <c r="G48" s="1054"/>
      <c r="H48" s="1054"/>
      <c r="I48" s="1054"/>
      <c r="J48" s="702"/>
      <c r="K48" s="703"/>
      <c r="L48" s="675"/>
    </row>
    <row r="49" spans="1:12" ht="34" customHeight="1">
      <c r="A49" s="1096"/>
      <c r="B49" s="1097"/>
      <c r="C49" s="1097"/>
      <c r="D49" s="1097"/>
      <c r="E49" s="1098"/>
      <c r="F49" s="1102" t="s">
        <v>300</v>
      </c>
      <c r="G49" s="1054"/>
      <c r="H49" s="1054"/>
      <c r="I49" s="1054"/>
      <c r="J49" s="702"/>
      <c r="K49" s="703"/>
      <c r="L49" s="675"/>
    </row>
    <row r="50" spans="1:12" ht="34" customHeight="1">
      <c r="A50" s="1096"/>
      <c r="B50" s="1097"/>
      <c r="C50" s="1097"/>
      <c r="D50" s="1097"/>
      <c r="E50" s="1098"/>
      <c r="F50" s="1102" t="s">
        <v>301</v>
      </c>
      <c r="G50" s="1054"/>
      <c r="H50" s="1054"/>
      <c r="I50" s="1054"/>
      <c r="J50" s="702"/>
      <c r="K50" s="703"/>
      <c r="L50" s="675"/>
    </row>
    <row r="51" spans="1:12" ht="34" customHeight="1">
      <c r="A51" s="1096"/>
      <c r="B51" s="1097"/>
      <c r="C51" s="1097"/>
      <c r="D51" s="1097"/>
      <c r="E51" s="1098"/>
      <c r="F51" s="1102" t="s">
        <v>302</v>
      </c>
      <c r="G51" s="1054"/>
      <c r="H51" s="1054"/>
      <c r="I51" s="1054"/>
      <c r="J51" s="702"/>
      <c r="K51" s="703"/>
      <c r="L51" s="675"/>
    </row>
    <row r="52" spans="1:12" ht="34" customHeight="1">
      <c r="A52" s="1096"/>
      <c r="B52" s="1097"/>
      <c r="C52" s="1097"/>
      <c r="D52" s="1097"/>
      <c r="E52" s="1098"/>
      <c r="F52" s="1102" t="s">
        <v>303</v>
      </c>
      <c r="G52" s="1054"/>
      <c r="H52" s="1054"/>
      <c r="I52" s="1054"/>
      <c r="J52" s="702"/>
      <c r="K52" s="703"/>
      <c r="L52" s="675"/>
    </row>
    <row r="53" spans="1:12" ht="34" customHeight="1">
      <c r="A53" s="1096"/>
      <c r="B53" s="1097"/>
      <c r="C53" s="1097"/>
      <c r="D53" s="1097"/>
      <c r="E53" s="1098"/>
      <c r="F53" s="1102" t="s">
        <v>304</v>
      </c>
      <c r="G53" s="1054"/>
      <c r="H53" s="1054"/>
      <c r="I53" s="1054"/>
      <c r="J53" s="702"/>
      <c r="K53" s="703"/>
      <c r="L53" s="675"/>
    </row>
    <row r="54" spans="1:12" ht="34" customHeight="1">
      <c r="A54" s="1096"/>
      <c r="B54" s="1097"/>
      <c r="C54" s="1097"/>
      <c r="D54" s="1097"/>
      <c r="E54" s="1098"/>
      <c r="F54" s="1110" t="s">
        <v>305</v>
      </c>
      <c r="G54" s="1070"/>
      <c r="H54" s="1070"/>
      <c r="I54" s="1070"/>
      <c r="J54" s="1070"/>
      <c r="K54" s="1077"/>
      <c r="L54" s="675"/>
    </row>
    <row r="55" spans="1:12" ht="34" customHeight="1">
      <c r="A55" s="1096"/>
      <c r="B55" s="1097"/>
      <c r="C55" s="1097"/>
      <c r="D55" s="1097"/>
      <c r="E55" s="1098"/>
      <c r="F55" s="1095"/>
      <c r="G55" s="1075"/>
      <c r="H55" s="1075"/>
      <c r="I55" s="1075"/>
      <c r="J55" s="1108" t="s">
        <v>306</v>
      </c>
      <c r="K55" s="1109"/>
      <c r="L55" s="675"/>
    </row>
    <row r="56" spans="1:12" ht="34" customHeight="1">
      <c r="A56" s="1096"/>
      <c r="B56" s="1097"/>
      <c r="C56" s="1097"/>
      <c r="D56" s="1097"/>
      <c r="E56" s="1098"/>
      <c r="F56" s="1095"/>
      <c r="G56" s="1075"/>
      <c r="H56" s="1075"/>
      <c r="I56" s="1075"/>
      <c r="J56" s="1075"/>
      <c r="K56" s="1076"/>
      <c r="L56" s="675"/>
    </row>
    <row r="57" spans="1:12" ht="34" customHeight="1">
      <c r="A57" s="1096"/>
      <c r="B57" s="1097"/>
      <c r="C57" s="1097"/>
      <c r="D57" s="1097"/>
      <c r="E57" s="1098"/>
      <c r="F57" s="1095"/>
      <c r="G57" s="1075"/>
      <c r="H57" s="1075"/>
      <c r="I57" s="1075"/>
      <c r="J57" s="1075"/>
      <c r="K57" s="1076"/>
      <c r="L57" s="675"/>
    </row>
    <row r="58" spans="1:12" ht="34" customHeight="1">
      <c r="A58" s="1096"/>
      <c r="B58" s="1097"/>
      <c r="C58" s="1097"/>
      <c r="D58" s="1097"/>
      <c r="E58" s="1098"/>
      <c r="F58" s="1095"/>
      <c r="G58" s="1075"/>
      <c r="H58" s="1075"/>
      <c r="I58" s="1075"/>
      <c r="J58" s="1075"/>
      <c r="K58" s="1076"/>
      <c r="L58" s="675"/>
    </row>
    <row r="59" spans="1:12" ht="34" customHeight="1">
      <c r="A59" s="1096"/>
      <c r="B59" s="1097"/>
      <c r="C59" s="1097"/>
      <c r="D59" s="1097"/>
      <c r="E59" s="1098"/>
      <c r="F59" s="1111" t="s">
        <v>307</v>
      </c>
      <c r="G59" s="1112"/>
      <c r="H59" s="1112"/>
      <c r="I59" s="1112"/>
      <c r="J59" s="1112"/>
      <c r="K59" s="1113"/>
      <c r="L59" s="675"/>
    </row>
    <row r="60" spans="1:12" ht="34" customHeight="1">
      <c r="A60" s="1096"/>
      <c r="B60" s="1097"/>
      <c r="C60" s="1097"/>
      <c r="D60" s="1097"/>
      <c r="E60" s="1098"/>
      <c r="F60" s="1114"/>
      <c r="G60" s="1086"/>
      <c r="H60" s="1086"/>
      <c r="I60" s="1086"/>
      <c r="J60" s="1108" t="s">
        <v>306</v>
      </c>
      <c r="K60" s="1109"/>
      <c r="L60" s="675"/>
    </row>
    <row r="61" spans="1:12" ht="34" customHeight="1">
      <c r="A61" s="1096"/>
      <c r="B61" s="1097"/>
      <c r="C61" s="1097"/>
      <c r="D61" s="1097"/>
      <c r="E61" s="1098"/>
      <c r="F61" s="1102" t="s">
        <v>308</v>
      </c>
      <c r="G61" s="1054"/>
      <c r="H61" s="1054"/>
      <c r="I61" s="1054"/>
      <c r="J61" s="1075"/>
      <c r="K61" s="1076"/>
      <c r="L61" s="675"/>
    </row>
    <row r="62" spans="1:12" ht="34" customHeight="1">
      <c r="A62" s="1096"/>
      <c r="B62" s="1097"/>
      <c r="C62" s="1097"/>
      <c r="D62" s="1097"/>
      <c r="E62" s="1098"/>
      <c r="F62" s="1102" t="s">
        <v>309</v>
      </c>
      <c r="G62" s="1054"/>
      <c r="H62" s="1054"/>
      <c r="I62" s="1054"/>
      <c r="J62" s="1075"/>
      <c r="K62" s="1076"/>
      <c r="L62" s="675"/>
    </row>
    <row r="63" spans="1:12" ht="34" customHeight="1">
      <c r="A63" s="1096"/>
      <c r="B63" s="1097"/>
      <c r="C63" s="1097"/>
      <c r="D63" s="1097"/>
      <c r="E63" s="1098"/>
      <c r="F63" s="1101" t="s">
        <v>310</v>
      </c>
      <c r="G63" s="1121"/>
      <c r="H63" s="1121"/>
      <c r="I63" s="1121"/>
      <c r="J63" s="1075"/>
      <c r="K63" s="1076"/>
      <c r="L63" s="675"/>
    </row>
    <row r="64" spans="1:12" ht="34" customHeight="1" thickBot="1">
      <c r="A64" s="1115"/>
      <c r="B64" s="1116"/>
      <c r="C64" s="1116"/>
      <c r="D64" s="1116"/>
      <c r="E64" s="1117"/>
      <c r="F64" s="1118"/>
      <c r="G64" s="1119"/>
      <c r="H64" s="1119"/>
      <c r="I64" s="1119"/>
      <c r="J64" s="1119"/>
      <c r="K64" s="1120"/>
      <c r="L64" s="704"/>
    </row>
    <row r="65" spans="6:11" ht="25" customHeight="1">
      <c r="F65" s="1020"/>
      <c r="G65" s="1020"/>
      <c r="H65" s="1020"/>
      <c r="I65" s="1020"/>
      <c r="J65" s="1020"/>
      <c r="K65" s="1020"/>
    </row>
    <row r="66" spans="6:11" ht="25" customHeight="1"/>
    <row r="67" spans="6:11" ht="25" customHeight="1"/>
    <row r="68" spans="6:11" ht="25" customHeight="1"/>
    <row r="69" spans="6:11" ht="25" customHeight="1"/>
    <row r="70" spans="6:11" ht="25" customHeight="1"/>
    <row r="71" spans="6:11" ht="25" customHeight="1"/>
    <row r="72" spans="6:11" ht="25" customHeight="1"/>
    <row r="73" spans="6:11" ht="25" customHeight="1"/>
    <row r="74" spans="6:11" ht="25" customHeight="1"/>
    <row r="75" spans="6:11" ht="25" customHeight="1"/>
    <row r="76" spans="6:11" ht="25" customHeight="1"/>
    <row r="77" spans="6:11" ht="25" customHeight="1"/>
    <row r="78" spans="6:11" ht="25" customHeight="1"/>
    <row r="79" spans="6:11" ht="25" customHeight="1"/>
    <row r="80" spans="6:11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</sheetData>
  <sheetProtection formatCells="0" formatColumns="0" formatRows="0" insertColumns="0" insertRows="0" insertHyperlinks="0"/>
  <mergeCells count="162">
    <mergeCell ref="A64:E64"/>
    <mergeCell ref="F64:I64"/>
    <mergeCell ref="J64:K64"/>
    <mergeCell ref="F65:K65"/>
    <mergeCell ref="A62:E62"/>
    <mergeCell ref="F62:I62"/>
    <mergeCell ref="J62:K62"/>
    <mergeCell ref="A63:E63"/>
    <mergeCell ref="F63:I63"/>
    <mergeCell ref="J63:K63"/>
    <mergeCell ref="A59:E59"/>
    <mergeCell ref="F59:K59"/>
    <mergeCell ref="A60:E60"/>
    <mergeCell ref="F60:I60"/>
    <mergeCell ref="J60:K60"/>
    <mergeCell ref="A61:E61"/>
    <mergeCell ref="F61:I61"/>
    <mergeCell ref="J61:K61"/>
    <mergeCell ref="A57:E57"/>
    <mergeCell ref="F57:I57"/>
    <mergeCell ref="J57:K57"/>
    <mergeCell ref="A58:E58"/>
    <mergeCell ref="F58:I58"/>
    <mergeCell ref="J58:K58"/>
    <mergeCell ref="A55:E55"/>
    <mergeCell ref="F55:I55"/>
    <mergeCell ref="J55:K55"/>
    <mergeCell ref="A56:E56"/>
    <mergeCell ref="F56:I56"/>
    <mergeCell ref="J56:K56"/>
    <mergeCell ref="A52:E52"/>
    <mergeCell ref="F52:I52"/>
    <mergeCell ref="A53:E53"/>
    <mergeCell ref="F53:I53"/>
    <mergeCell ref="A54:E54"/>
    <mergeCell ref="F54:K54"/>
    <mergeCell ref="A49:E49"/>
    <mergeCell ref="F49:I49"/>
    <mergeCell ref="A50:E50"/>
    <mergeCell ref="F50:I50"/>
    <mergeCell ref="A51:E51"/>
    <mergeCell ref="F51:I51"/>
    <mergeCell ref="A46:E46"/>
    <mergeCell ref="F46:K46"/>
    <mergeCell ref="A47:E47"/>
    <mergeCell ref="F47:I47"/>
    <mergeCell ref="A48:E48"/>
    <mergeCell ref="F48:I48"/>
    <mergeCell ref="A43:E43"/>
    <mergeCell ref="F43:I43"/>
    <mergeCell ref="A44:E44"/>
    <mergeCell ref="F44:I44"/>
    <mergeCell ref="A45:E45"/>
    <mergeCell ref="F45:I45"/>
    <mergeCell ref="A40:E40"/>
    <mergeCell ref="F40:I40"/>
    <mergeCell ref="A41:E41"/>
    <mergeCell ref="F41:I41"/>
    <mergeCell ref="A42:E42"/>
    <mergeCell ref="F42:I42"/>
    <mergeCell ref="A37:E37"/>
    <mergeCell ref="F37:K37"/>
    <mergeCell ref="A38:E38"/>
    <mergeCell ref="F38:I38"/>
    <mergeCell ref="A39:E39"/>
    <mergeCell ref="F39:I39"/>
    <mergeCell ref="A35:B35"/>
    <mergeCell ref="F35:G35"/>
    <mergeCell ref="J35:K35"/>
    <mergeCell ref="A36:B36"/>
    <mergeCell ref="F36:G36"/>
    <mergeCell ref="J36:K36"/>
    <mergeCell ref="A33:B33"/>
    <mergeCell ref="F33:G33"/>
    <mergeCell ref="J33:K33"/>
    <mergeCell ref="A34:B34"/>
    <mergeCell ref="F34:G34"/>
    <mergeCell ref="J34:K34"/>
    <mergeCell ref="A31:B31"/>
    <mergeCell ref="F31:G31"/>
    <mergeCell ref="J31:K31"/>
    <mergeCell ref="A32:B32"/>
    <mergeCell ref="F32:G32"/>
    <mergeCell ref="J32:K32"/>
    <mergeCell ref="A28:B28"/>
    <mergeCell ref="F28:K28"/>
    <mergeCell ref="A29:B29"/>
    <mergeCell ref="F29:G29"/>
    <mergeCell ref="J29:K29"/>
    <mergeCell ref="A30:B30"/>
    <mergeCell ref="F30:G30"/>
    <mergeCell ref="J30:K30"/>
    <mergeCell ref="A26:B26"/>
    <mergeCell ref="F26:H26"/>
    <mergeCell ref="J26:K26"/>
    <mergeCell ref="A27:B27"/>
    <mergeCell ref="F27:H27"/>
    <mergeCell ref="J27:K27"/>
    <mergeCell ref="A24:B24"/>
    <mergeCell ref="G24:H24"/>
    <mergeCell ref="J24:K24"/>
    <mergeCell ref="A25:B25"/>
    <mergeCell ref="G25:H25"/>
    <mergeCell ref="J25:K25"/>
    <mergeCell ref="A21:B21"/>
    <mergeCell ref="G21:H21"/>
    <mergeCell ref="J21:K21"/>
    <mergeCell ref="A22:B22"/>
    <mergeCell ref="F22:K22"/>
    <mergeCell ref="A23:B23"/>
    <mergeCell ref="F23:K23"/>
    <mergeCell ref="A19:B19"/>
    <mergeCell ref="G19:H19"/>
    <mergeCell ref="J19:K19"/>
    <mergeCell ref="A20:B20"/>
    <mergeCell ref="G20:H20"/>
    <mergeCell ref="J20:K20"/>
    <mergeCell ref="A16:B16"/>
    <mergeCell ref="F16:K16"/>
    <mergeCell ref="A17:B17"/>
    <mergeCell ref="G17:H17"/>
    <mergeCell ref="J17:K17"/>
    <mergeCell ref="A18:B18"/>
    <mergeCell ref="G18:H18"/>
    <mergeCell ref="J18:K18"/>
    <mergeCell ref="A14:B14"/>
    <mergeCell ref="F14:G14"/>
    <mergeCell ref="I14:K14"/>
    <mergeCell ref="A15:B15"/>
    <mergeCell ref="F15:G15"/>
    <mergeCell ref="I15:K15"/>
    <mergeCell ref="A12:B12"/>
    <mergeCell ref="F12:G12"/>
    <mergeCell ref="I12:K12"/>
    <mergeCell ref="A13:B13"/>
    <mergeCell ref="F13:G13"/>
    <mergeCell ref="I13:K13"/>
    <mergeCell ref="A9:B9"/>
    <mergeCell ref="F9:G9"/>
    <mergeCell ref="A10:B10"/>
    <mergeCell ref="F10:G10"/>
    <mergeCell ref="A11:B11"/>
    <mergeCell ref="F11:K11"/>
    <mergeCell ref="A6:E6"/>
    <mergeCell ref="F6:K6"/>
    <mergeCell ref="A7:B7"/>
    <mergeCell ref="F7:G7"/>
    <mergeCell ref="A8:B8"/>
    <mergeCell ref="F8:G8"/>
    <mergeCell ref="B4:D4"/>
    <mergeCell ref="F4:H4"/>
    <mergeCell ref="J4:L4"/>
    <mergeCell ref="B5:D5"/>
    <mergeCell ref="F5:H5"/>
    <mergeCell ref="J5:L5"/>
    <mergeCell ref="A1:L1"/>
    <mergeCell ref="B2:D2"/>
    <mergeCell ref="F2:H2"/>
    <mergeCell ref="J2:L2"/>
    <mergeCell ref="B3:D3"/>
    <mergeCell ref="F3:H3"/>
    <mergeCell ref="J3:L3"/>
  </mergeCells>
  <pageMargins left="0.23622047244094491" right="0.23622047244094491" top="0.39370078740157483" bottom="0" header="0.31496062992125984" footer="0.31496062992125984"/>
  <pageSetup paperSize="9" scale="33" fitToHeight="0" orientation="portrait"/>
  <headerFooter>
    <oddFooter>&amp;CSide &amp;P af &amp;N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63f970-0969-4b1b-aa2e-29e64bd78f77" xsi:nil="true"/>
    <lcf76f155ced4ddcb4097134ff3c332f xmlns="8ab746be-f681-4b4c-b68a-20d0785c30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747C2EB2BF31A43B30F4FEC073D8229" ma:contentTypeVersion="8" ma:contentTypeDescription="Opret et nyt dokument." ma:contentTypeScope="" ma:versionID="f2ed1be1629e4a34b7a594977ed0e219">
  <xsd:schema xmlns:xsd="http://www.w3.org/2001/XMLSchema" xmlns:xs="http://www.w3.org/2001/XMLSchema" xmlns:p="http://schemas.microsoft.com/office/2006/metadata/properties" xmlns:ns2="8ab746be-f681-4b4c-b68a-20d0785c300a" xmlns:ns3="3663f970-0969-4b1b-aa2e-29e64bd78f77" targetNamespace="http://schemas.microsoft.com/office/2006/metadata/properties" ma:root="true" ma:fieldsID="283a416e06f779d23a5ea622020a6a5a" ns2:_="" ns3:_="">
    <xsd:import namespace="8ab746be-f681-4b4c-b68a-20d0785c300a"/>
    <xsd:import namespace="3663f970-0969-4b1b-aa2e-29e64bd78f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746be-f681-4b4c-b68a-20d0785c30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4" nillable="true" ma:displayName="Billedmærker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f970-0969-4b1b-aa2e-29e64bd78f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8f7c727-d367-489c-b9e9-3b4bf512ab1b}" ma:internalName="TaxCatchAll" ma:showField="CatchAllData" ma:web="3663f970-0969-4b1b-aa2e-29e64bd78f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ECC227-8327-4D62-8DAE-100843382679}">
  <ds:schemaRefs>
    <ds:schemaRef ds:uri="http://schemas.microsoft.com/office/2006/metadata/properties"/>
    <ds:schemaRef ds:uri="http://www.w3.org/2000/xmlns/"/>
    <ds:schemaRef ds:uri="3663f970-0969-4b1b-aa2e-29e64bd78f77"/>
    <ds:schemaRef ds:uri="http://www.w3.org/2001/XMLSchema-instance"/>
    <ds:schemaRef ds:uri="8ab746be-f681-4b4c-b68a-20d0785c300a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95BE56-E855-4260-ADA0-4C60C0E0A76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8ab746be-f681-4b4c-b68a-20d0785c300a"/>
    <ds:schemaRef ds:uri="3663f970-0969-4b1b-aa2e-29e64bd78f7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F9B80-4F2A-461B-9ECE-D26359085C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6</vt:i4>
      </vt:variant>
    </vt:vector>
  </HeadingPairs>
  <TitlesOfParts>
    <vt:vector size="15" baseType="lpstr">
      <vt:lpstr>Tilbagebetaling case</vt:lpstr>
      <vt:lpstr>Den Snabba Analysen</vt:lpstr>
      <vt:lpstr>Värmeberäknare för Den Snabba  </vt:lpstr>
      <vt:lpstr>Leje - Moduler</vt:lpstr>
      <vt:lpstr>Leje - Døre</vt:lpstr>
      <vt:lpstr>Gennemsnit lejedage Dansk</vt:lpstr>
      <vt:lpstr>Gennemsnit lejedage Engelsk</vt:lpstr>
      <vt:lpstr>Partnerskab DK</vt:lpstr>
      <vt:lpstr>Sagsoverdragelse</vt:lpstr>
      <vt:lpstr>'Leje - Døre'!Testfil2019</vt:lpstr>
      <vt:lpstr>'Leje - Moduler'!Testfil2019</vt:lpstr>
      <vt:lpstr>'Leje - Døre'!Udskriftsområde</vt:lpstr>
      <vt:lpstr>'Leje - Moduler'!Udskriftsområde</vt:lpstr>
      <vt:lpstr>Sagsoverdragelse!Udskriftsområde</vt:lpstr>
      <vt:lpstr>'Värmeberäknare för Den Snabba  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Henrik Carstensen</dc:creator>
  <cp:keywords/>
  <dc:description/>
  <cp:lastModifiedBy>Henrik Lüneborg</cp:lastModifiedBy>
  <cp:revision/>
  <cp:lastPrinted>2024-07-11T07:46:34Z</cp:lastPrinted>
  <dcterms:created xsi:type="dcterms:W3CDTF">2023-07-21T11:06:29Z</dcterms:created>
  <dcterms:modified xsi:type="dcterms:W3CDTF">2025-09-10T13:17:18Z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0x0101000747C2EB2BF31A43B30F4FEC073D8229</vt:lpwstr>
  </property>
  <property fmtid="{D5CDD505-2E9C-101B-9397-08002B2CF9AE}" pid="3" name="MediaServiceImageTags">
    <vt:lpwstr/>
  </property>
</Properties>
</file>