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22bf59c1e05102/Desktop/MON HSA Treasurer - 2025-2026/2026 - 2027 Activities/Budget/"/>
    </mc:Choice>
  </mc:AlternateContent>
  <xr:revisionPtr revIDLastSave="273" documentId="13_ncr:1_{45D94C7B-7CC8-4E28-BCA5-9BE57D42F7F3}" xr6:coauthVersionLast="47" xr6:coauthVersionMax="47" xr10:uidLastSave="{4C65579B-5E3D-4B54-92EB-D121AB8F263E}"/>
  <bookViews>
    <workbookView xWindow="-110" yWindow="-110" windowWidth="19420" windowHeight="11500" xr2:uid="{2AAA49F3-8833-4E7E-BB5F-7088DA521535}"/>
  </bookViews>
  <sheets>
    <sheet name="Budget" sheetId="1" r:id="rId1"/>
    <sheet name="Teacher Appreciation" sheetId="5" r:id="rId2"/>
    <sheet name="Bud to Act - 9.15.25" sheetId="2" r:id="rId3"/>
    <sheet name="Shopify 9-15-25" sheetId="3" r:id="rId4"/>
    <sheet name="PIVOT" sheetId="4" r:id="rId5"/>
  </sheets>
  <externalReferences>
    <externalReference r:id="rId6"/>
  </externalReferences>
  <definedNames>
    <definedName name="_xlnm.Print_Area" localSheetId="0">Budget!$A$1:$D$88</definedName>
  </definedNames>
  <calcPr calcId="191028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3" i="1" l="1"/>
  <c r="K79" i="1"/>
  <c r="C16" i="5"/>
  <c r="C5" i="5"/>
  <c r="C18" i="5" s="1"/>
  <c r="K69" i="1"/>
  <c r="K46" i="1"/>
  <c r="K37" i="1"/>
  <c r="K36" i="1"/>
  <c r="K7" i="1"/>
  <c r="K29" i="1" s="1"/>
  <c r="J59" i="1"/>
  <c r="J46" i="1"/>
  <c r="J88" i="1" s="1"/>
  <c r="J37" i="1"/>
  <c r="H80" i="1"/>
  <c r="I80" i="1"/>
  <c r="J80" i="1"/>
  <c r="J69" i="1"/>
  <c r="K59" i="1"/>
  <c r="Q5" i="2"/>
  <c r="N29" i="2"/>
  <c r="L38" i="2"/>
  <c r="I78" i="2"/>
  <c r="H78" i="2"/>
  <c r="G78" i="2"/>
  <c r="F78" i="2"/>
  <c r="D78" i="2"/>
  <c r="C78" i="2"/>
  <c r="I68" i="2"/>
  <c r="H68" i="2"/>
  <c r="G68" i="2"/>
  <c r="F68" i="2"/>
  <c r="E68" i="2"/>
  <c r="I58" i="2"/>
  <c r="H58" i="2"/>
  <c r="G58" i="2"/>
  <c r="F58" i="2"/>
  <c r="I46" i="2"/>
  <c r="H46" i="2"/>
  <c r="G46" i="2"/>
  <c r="F46" i="2"/>
  <c r="E46" i="2"/>
  <c r="D46" i="2"/>
  <c r="C46" i="2"/>
  <c r="C86" i="2" s="1"/>
  <c r="I37" i="2"/>
  <c r="I86" i="2" s="1"/>
  <c r="H37" i="2"/>
  <c r="H86" i="2" s="1"/>
  <c r="G37" i="2"/>
  <c r="G86" i="2" s="1"/>
  <c r="F37" i="2"/>
  <c r="F86" i="2" s="1"/>
  <c r="E37" i="2"/>
  <c r="E86" i="2" s="1"/>
  <c r="D37" i="2"/>
  <c r="D86" i="2" s="1"/>
  <c r="I29" i="2"/>
  <c r="I88" i="2" s="1"/>
  <c r="H29" i="2"/>
  <c r="H88" i="2" s="1"/>
  <c r="G29" i="2"/>
  <c r="F29" i="2"/>
  <c r="F88" i="2" s="1"/>
  <c r="D29" i="2"/>
  <c r="I7" i="2"/>
  <c r="H7" i="2"/>
  <c r="G7" i="2"/>
  <c r="F7" i="2"/>
  <c r="E7" i="2"/>
  <c r="E29" i="2" s="1"/>
  <c r="G80" i="1"/>
  <c r="H29" i="1"/>
  <c r="I7" i="1"/>
  <c r="I29" i="1" s="1"/>
  <c r="H7" i="1"/>
  <c r="E7" i="1"/>
  <c r="G69" i="1"/>
  <c r="E69" i="1"/>
  <c r="H37" i="1"/>
  <c r="H46" i="1"/>
  <c r="G46" i="1"/>
  <c r="F46" i="1"/>
  <c r="F37" i="1"/>
  <c r="I69" i="1"/>
  <c r="I59" i="1"/>
  <c r="I46" i="1"/>
  <c r="I37" i="1"/>
  <c r="H69" i="1"/>
  <c r="H59" i="1"/>
  <c r="G7" i="1"/>
  <c r="G29" i="1" s="1"/>
  <c r="G37" i="1"/>
  <c r="G59" i="1"/>
  <c r="F59" i="1"/>
  <c r="F69" i="1"/>
  <c r="F7" i="1"/>
  <c r="F29" i="1" s="1"/>
  <c r="M27" i="2"/>
  <c r="M25" i="2"/>
  <c r="M21" i="2"/>
  <c r="M15" i="2"/>
  <c r="M8" i="2"/>
  <c r="M17" i="2"/>
  <c r="M5" i="2"/>
  <c r="L27" i="2"/>
  <c r="L25" i="2"/>
  <c r="L21" i="2"/>
  <c r="L17" i="2"/>
  <c r="L15" i="2"/>
  <c r="L8" i="2"/>
  <c r="L5" i="2"/>
  <c r="J8" i="1"/>
  <c r="G88" i="1" l="1"/>
  <c r="G90" i="1" s="1"/>
  <c r="K88" i="1"/>
  <c r="K90" i="1" s="1"/>
  <c r="J7" i="1"/>
  <c r="J29" i="1" s="1"/>
  <c r="J90" i="1" s="1"/>
  <c r="H88" i="1"/>
  <c r="H90" i="1" s="1"/>
  <c r="L29" i="2"/>
  <c r="N5" i="2"/>
  <c r="N8" i="2"/>
  <c r="N15" i="2"/>
  <c r="N17" i="2"/>
  <c r="N21" i="2"/>
  <c r="N25" i="2"/>
  <c r="N27" i="2"/>
  <c r="G88" i="2"/>
  <c r="I88" i="1"/>
  <c r="I90" i="1" s="1"/>
  <c r="L30" i="2"/>
  <c r="E29" i="1" l="1"/>
  <c r="E46" i="1" l="1"/>
  <c r="E37" i="1"/>
  <c r="C80" i="1"/>
  <c r="D80" i="1"/>
  <c r="C46" i="1"/>
  <c r="D46" i="1"/>
  <c r="D37" i="1"/>
  <c r="E88" i="1" l="1"/>
  <c r="D88" i="1"/>
  <c r="C88" i="1"/>
  <c r="D29" i="1"/>
  <c r="F80" i="1" l="1"/>
  <c r="F88" i="1" s="1"/>
  <c r="F90" i="1" s="1"/>
</calcChain>
</file>

<file path=xl/sharedStrings.xml><?xml version="1.0" encoding="utf-8"?>
<sst xmlns="http://schemas.openxmlformats.org/spreadsheetml/2006/main" count="594" uniqueCount="257">
  <si>
    <t>Mary of Nazareth Home &amp; School Association Budget</t>
  </si>
  <si>
    <t>INCOME:</t>
  </si>
  <si>
    <t>2021-2022 Budget</t>
  </si>
  <si>
    <t>2021-2022 Actual</t>
  </si>
  <si>
    <t>2023-2024 Budget</t>
  </si>
  <si>
    <t>Class Activity Fee (CAF)</t>
  </si>
  <si>
    <t>Cultural Arts - Field Trips</t>
  </si>
  <si>
    <t>Family Activities</t>
  </si>
  <si>
    <t>Back To School Picnic</t>
  </si>
  <si>
    <t>Breakfast with St. Nick</t>
  </si>
  <si>
    <t>-</t>
  </si>
  <si>
    <t>Fall Social</t>
  </si>
  <si>
    <t>Father Daughter Dance</t>
  </si>
  <si>
    <t>International Night</t>
  </si>
  <si>
    <t>Spring K-5 Dance</t>
  </si>
  <si>
    <t>Golf Event</t>
  </si>
  <si>
    <t>Food Fundraisers</t>
  </si>
  <si>
    <t>HSA Dues</t>
  </si>
  <si>
    <t>Other</t>
  </si>
  <si>
    <t>Lego League</t>
  </si>
  <si>
    <t>Chess Club</t>
  </si>
  <si>
    <t>Race for Scholars Fundraiser</t>
  </si>
  <si>
    <t>Restaurant Night</t>
  </si>
  <si>
    <t>Secret Santa Shop</t>
  </si>
  <si>
    <t>Scrip Sales</t>
  </si>
  <si>
    <t>Spirit Shop</t>
  </si>
  <si>
    <t>Sports</t>
  </si>
  <si>
    <t>Used Uniform Sales</t>
  </si>
  <si>
    <t>Carry over from previous year</t>
  </si>
  <si>
    <t>TOTAL:</t>
  </si>
  <si>
    <t>EXPENSES:</t>
  </si>
  <si>
    <t>Bank Charge</t>
  </si>
  <si>
    <t>Communications</t>
  </si>
  <si>
    <t>Computer/Donation to School</t>
  </si>
  <si>
    <t>Back to School Picnic</t>
  </si>
  <si>
    <t>Hospitality</t>
  </si>
  <si>
    <t>Hospitality- Communion Reception</t>
  </si>
  <si>
    <t>Hospitality-Field Day</t>
  </si>
  <si>
    <t>Hospitality-Grandparents Day</t>
  </si>
  <si>
    <t>Hospitality-HSA Meetings</t>
  </si>
  <si>
    <t>Hospitality-Kindergarten Graduation</t>
  </si>
  <si>
    <t>Hospitality-May Crowning</t>
  </si>
  <si>
    <t>Hospitality-New Family Coffee</t>
  </si>
  <si>
    <t>Hospitality-Open House</t>
  </si>
  <si>
    <t>Hospitality-Volunteer Celebration</t>
  </si>
  <si>
    <t>In-House HSA Programs</t>
  </si>
  <si>
    <t>Emergency Kits</t>
  </si>
  <si>
    <t>Office Supplies</t>
  </si>
  <si>
    <t>Scholarships, Awards</t>
  </si>
  <si>
    <t>Volunteer Gifts</t>
  </si>
  <si>
    <t>Other Exp</t>
  </si>
  <si>
    <t>Spelling Bee</t>
  </si>
  <si>
    <t>Social Concerns</t>
  </si>
  <si>
    <t>Staff Expenses</t>
  </si>
  <si>
    <t>Staff Appreciation</t>
  </si>
  <si>
    <t>Staff Breakfast</t>
  </si>
  <si>
    <t>Staff Christmas Gifts</t>
  </si>
  <si>
    <t>Staff Retreat</t>
  </si>
  <si>
    <t>Teacher Resources</t>
  </si>
  <si>
    <t>Used Uniform Expense</t>
  </si>
  <si>
    <t>Surplus to carry over</t>
  </si>
  <si>
    <t xml:space="preserve">Computer equipment </t>
  </si>
  <si>
    <t>2023-2024 Actual</t>
  </si>
  <si>
    <t>2024-2025 Budget</t>
  </si>
  <si>
    <t>HSA CAF Shopify Fees</t>
  </si>
  <si>
    <t xml:space="preserve">Restaurant Nights </t>
  </si>
  <si>
    <t xml:space="preserve">Mother Son Event </t>
  </si>
  <si>
    <t>2025 - 2026</t>
  </si>
  <si>
    <t>2024-2025 Actual</t>
  </si>
  <si>
    <t>Computer Expense</t>
  </si>
  <si>
    <t>2025-2026 Budget
PROPOSED</t>
  </si>
  <si>
    <t xml:space="preserve">Purpose </t>
  </si>
  <si>
    <t xml:space="preserve">CAF fees for classroom related activitives. Managed by the room parents </t>
  </si>
  <si>
    <t xml:space="preserve">Classroom field trips which is paid by the parents. This should be a net zero balance with Cultural Arts Expense - Field Trips </t>
  </si>
  <si>
    <t xml:space="preserve">Event held after the return of the school year. </t>
  </si>
  <si>
    <t>Income/Fees collected for the Christmas event</t>
  </si>
  <si>
    <t xml:space="preserve">Income from the sale of the event set by the chair of the event </t>
  </si>
  <si>
    <t xml:space="preserve">New event in 2023. Event was held at the bowling alley </t>
  </si>
  <si>
    <t xml:space="preserve">Golf event held to raise funds for the sports committee. This is considered sports committee income </t>
  </si>
  <si>
    <t>HSA fee of $25 per family for the school year.</t>
  </si>
  <si>
    <t xml:space="preserve">Fund raising event held in the fall (October). Income is primarily driven the sale of shirts and sponsorships </t>
  </si>
  <si>
    <t xml:space="preserve">Partnership with restaurants for dinner nights throughout the school year with a portion of the proceeds are donated to the school, No expenses associated with the category </t>
  </si>
  <si>
    <t xml:space="preserve">Proceeds from the sale of christmas items at the christmas event in december. </t>
  </si>
  <si>
    <t xml:space="preserve">Items purchased online through the spirit shop </t>
  </si>
  <si>
    <t>Registration fees for sport sessions (i.e soccer, basketball, track etc.)</t>
  </si>
  <si>
    <t xml:space="preserve">Sale of used uniforms held at events throughout the school year. There is 5% fee for the tagged items that were sold to the families that donated. </t>
  </si>
  <si>
    <t xml:space="preserve">Bank fees </t>
  </si>
  <si>
    <t>Expenses for classroom events and parties</t>
  </si>
  <si>
    <t xml:space="preserve">HSA donation to school </t>
  </si>
  <si>
    <t>Classroom field trips which is paid by the parents. This should be a net zero balance with Cultural Arts Income - Field Trips. The expenses include entrance fees and transportation</t>
  </si>
  <si>
    <t xml:space="preserve">Expenses related to the event may include food trucks, inflatables, dj and other supplies </t>
  </si>
  <si>
    <t xml:space="preserve">Expenses include DJ, decorations, food and other supplies </t>
  </si>
  <si>
    <t xml:space="preserve">Expense related to paying the venue, tip and and other souvenior </t>
  </si>
  <si>
    <t xml:space="preserve">Expenses are minimum since most items are donated and cooked by MoN families </t>
  </si>
  <si>
    <t>Expenses include DJ and decorations. Food is 7th grade fund raiser</t>
  </si>
  <si>
    <t xml:space="preserve">Expenses include food, balloons, decorations, and other supplies </t>
  </si>
  <si>
    <t xml:space="preserve">2nd grade communion in the spring </t>
  </si>
  <si>
    <t xml:space="preserve">supplies and Kona Ice truck </t>
  </si>
  <si>
    <t xml:space="preserve">Caterer, supplies, decorations, programs, invitations </t>
  </si>
  <si>
    <t xml:space="preserve">Speaker fees for HSA meetings </t>
  </si>
  <si>
    <t xml:space="preserve">Food, programs and decorations </t>
  </si>
  <si>
    <t xml:space="preserve">Flowers, decorations, crosses </t>
  </si>
  <si>
    <t xml:space="preserve">Food and drinks </t>
  </si>
  <si>
    <t xml:space="preserve">Emergency kits for classrooms usually done by the HSA secretary </t>
  </si>
  <si>
    <t xml:space="preserve">Shopify fees for CAF and HSA dues absorbed by HAS. Other shoify fees are charged to the specific event. </t>
  </si>
  <si>
    <t>Christmas Bingo 
Catholic School Week Vendor (2024 was Science Guys)</t>
  </si>
  <si>
    <t xml:space="preserve">8th grade scholarships which is provided in May </t>
  </si>
  <si>
    <t xml:space="preserve">Treasurer computer </t>
  </si>
  <si>
    <t xml:space="preserve">Production cost for shirts </t>
  </si>
  <si>
    <t xml:space="preserve">Usually no expense. But received insufficient funds from one restaurant from last school year </t>
  </si>
  <si>
    <t xml:space="preserve">Costs to buy items for the santa shop </t>
  </si>
  <si>
    <t xml:space="preserve">cost to buy items and personalized for the shop </t>
  </si>
  <si>
    <t xml:space="preserve">Expenses related to sports events </t>
  </si>
  <si>
    <t xml:space="preserve">Gift cards for faculty </t>
  </si>
  <si>
    <t xml:space="preserve">Each teacher gets a stipend of $85 for supplies for the school. That is max amount per faculty member. </t>
  </si>
  <si>
    <t xml:space="preserve">Expense include inflatables, food, decorations, supplies other </t>
  </si>
  <si>
    <t xml:space="preserve">Golf fees from country club </t>
  </si>
  <si>
    <t xml:space="preserve"> quicken annual fee </t>
  </si>
  <si>
    <t>Stamps, evenlopes, ink, binders</t>
  </si>
  <si>
    <t xml:space="preserve">Classroom luncheon by grade $200
Beg of th year, end of year, communion and snack bar for faculty, teacher birthdya cards </t>
  </si>
  <si>
    <t>Mother Son Event</t>
  </si>
  <si>
    <t>Harris teeter / box tops program</t>
  </si>
  <si>
    <t xml:space="preserve">8th reception banquet fees ($1,400 fee and 400 for gifts).  </t>
  </si>
  <si>
    <t xml:space="preserve">Hospitality-8th Grade Reception </t>
  </si>
  <si>
    <t>Hospitality- Banquet and gift - Graduation night</t>
  </si>
  <si>
    <t>Surplus</t>
  </si>
  <si>
    <t>Ipad and card readers for POS</t>
  </si>
  <si>
    <t>Based off of Prior year results plus any known increases for expenses</t>
  </si>
  <si>
    <t>Actual as of 9/15/2025</t>
  </si>
  <si>
    <t>Variance</t>
  </si>
  <si>
    <t>Product title</t>
  </si>
  <si>
    <t>Product variant title</t>
  </si>
  <si>
    <t>Product variant SKU</t>
  </si>
  <si>
    <t>Net items sold</t>
  </si>
  <si>
    <t>Gross sales</t>
  </si>
  <si>
    <t>Discounts</t>
  </si>
  <si>
    <t>Returns</t>
  </si>
  <si>
    <t>Net sales</t>
  </si>
  <si>
    <t>Taxes</t>
  </si>
  <si>
    <t>Total sales</t>
  </si>
  <si>
    <t>CAF</t>
  </si>
  <si>
    <t>1st grade CAF - Class Activity Fee</t>
  </si>
  <si>
    <t>Default Title</t>
  </si>
  <si>
    <t>Golf</t>
  </si>
  <si>
    <t>2025 An Evening on the Green: Wine Tasting and Dinner</t>
  </si>
  <si>
    <t>2025 Golf Outing: Bagpiper Sponsor</t>
  </si>
  <si>
    <t>2025 Golf Outing: Dinner Sponsor</t>
  </si>
  <si>
    <t>2025 Golf Outing: Foursome Registration</t>
  </si>
  <si>
    <t>2025 Golf Outing: Individual Registration</t>
  </si>
  <si>
    <t>2nd grade CAF - Class Activity Fee</t>
  </si>
  <si>
    <t>3rd grade CAF - Class Activity Fee</t>
  </si>
  <si>
    <t>4th grade CAF - Class Activity Fee</t>
  </si>
  <si>
    <t>5th grade CAF - Class Activity Fee</t>
  </si>
  <si>
    <t>6th grade CAF - Class Activity Fee</t>
  </si>
  <si>
    <t>7th grade CAF - Class Activity Fee</t>
  </si>
  <si>
    <t>8th grade CAF - Class Activity Fee</t>
  </si>
  <si>
    <t>PICN</t>
  </si>
  <si>
    <t>Back to School Picnic 2025</t>
  </si>
  <si>
    <t>HSA - Home School Association Annual Dues</t>
  </si>
  <si>
    <t>Kindergarten CAF - Class Activity Fee</t>
  </si>
  <si>
    <t>Spirit</t>
  </si>
  <si>
    <t>Mary of Nazareth Christmas Ornament On Sale $10.00</t>
  </si>
  <si>
    <t>MoN Boys Shorts On Sale $20.00</t>
  </si>
  <si>
    <t>YM</t>
  </si>
  <si>
    <t>MON Car Magnet</t>
  </si>
  <si>
    <t>MoN Girls Shorts (low rise) On Sale $20.00</t>
  </si>
  <si>
    <t>YS</t>
  </si>
  <si>
    <t>MoN Gray Youth T-Shirt</t>
  </si>
  <si>
    <t>Youth-Medium</t>
  </si>
  <si>
    <t>Youth-Large</t>
  </si>
  <si>
    <t>MoN Hoodies - Adult On Sale $35.00</t>
  </si>
  <si>
    <t>Adult Medium</t>
  </si>
  <si>
    <t>Adult Large</t>
  </si>
  <si>
    <t>MON Mom shirt On Sale $15.00</t>
  </si>
  <si>
    <t>AL</t>
  </si>
  <si>
    <t>MoN Womenâ€™s shorts On Sale $25.00</t>
  </si>
  <si>
    <t>AS</t>
  </si>
  <si>
    <t>NEW 1/4 Zip for Adults</t>
  </si>
  <si>
    <t>Women's Small</t>
  </si>
  <si>
    <t>NEW Adult UA Red Mustang T-Shirt</t>
  </si>
  <si>
    <t>Small</t>
  </si>
  <si>
    <t>NEW MoN Belt</t>
  </si>
  <si>
    <t>28"</t>
  </si>
  <si>
    <t>26"</t>
  </si>
  <si>
    <t>30"</t>
  </si>
  <si>
    <t>NEW MoN Black Crewneck Sweater (with heart logo)</t>
  </si>
  <si>
    <t>M</t>
  </si>
  <si>
    <t>S</t>
  </si>
  <si>
    <t>XS</t>
  </si>
  <si>
    <t>XL</t>
  </si>
  <si>
    <t>NEW MoN Black Crewneck Sweater (with MoN Logo)</t>
  </si>
  <si>
    <t>L</t>
  </si>
  <si>
    <t>NEW MoN Imperial Hats</t>
  </si>
  <si>
    <t>NEW MoN Umbrella</t>
  </si>
  <si>
    <t>NEW Pink Plaid MoN PJ Pants</t>
  </si>
  <si>
    <t>Adult XXS</t>
  </si>
  <si>
    <t>Adult XS</t>
  </si>
  <si>
    <t>NEW Red Mustang Youth T-Shirt</t>
  </si>
  <si>
    <t>Youth Medium</t>
  </si>
  <si>
    <t>Youth Small</t>
  </si>
  <si>
    <t>NEW Red Youth Hoodie</t>
  </si>
  <si>
    <t>Pre-K CAF Fee</t>
  </si>
  <si>
    <t>Quarter Zip - Black Sweatshirt - All Sizes</t>
  </si>
  <si>
    <t>Youth X-Small</t>
  </si>
  <si>
    <t>Youth Large</t>
  </si>
  <si>
    <t>Adult Small</t>
  </si>
  <si>
    <t>RACE</t>
  </si>
  <si>
    <t>Race For Scholars: Blue Ribbon $125</t>
  </si>
  <si>
    <t>Race For Scholars: Gold Medal $900</t>
  </si>
  <si>
    <t>Race for Scholars: Silver Medal $650</t>
  </si>
  <si>
    <t>UNIFORM</t>
  </si>
  <si>
    <t>Used Uniform: Black MoN sweatshirt with Mary logo</t>
  </si>
  <si>
    <t>Used Uniform: Boys &amp; Girls Polo Shirt w/Logo</t>
  </si>
  <si>
    <t>Used Uniform: Boys Dress Shirts</t>
  </si>
  <si>
    <t>Used Uniform: Boys Khaki Pants</t>
  </si>
  <si>
    <t>Used Uniform: Boys Khaki shorts</t>
  </si>
  <si>
    <t>Used Uniform: Cardigans/V-Neck Sweaters</t>
  </si>
  <si>
    <t>Used Uniform: Dirty Bucks/Saddle Shoes</t>
  </si>
  <si>
    <t>Used Uniform: Girls Khaki pants</t>
  </si>
  <si>
    <t>Used Uniform: Girls Kilts/Jumpers</t>
  </si>
  <si>
    <t>Used Uniform: Hair Accessories, Ties, Belts</t>
  </si>
  <si>
    <t>Used Uniform: Middle School Girls sweater vest</t>
  </si>
  <si>
    <t>Used Uniform: PE shorts with logo</t>
  </si>
  <si>
    <t>Used Uniform: PE sweat pants with logo</t>
  </si>
  <si>
    <t>Used Uniform: PE sweatshirt with logo</t>
  </si>
  <si>
    <t>Used Uniform: PE T-shirt with logo</t>
  </si>
  <si>
    <t>Line Item</t>
  </si>
  <si>
    <t>Row Labels</t>
  </si>
  <si>
    <t>Grand Total</t>
  </si>
  <si>
    <t>Sum of Total sales</t>
  </si>
  <si>
    <t>Check</t>
  </si>
  <si>
    <t xml:space="preserve">5 foursomes/1 individual/1 dinner sponser/1 Bagpiper sponser/2 BBQ and wine </t>
  </si>
  <si>
    <t>Sum of Net items sold</t>
  </si>
  <si>
    <t>Count</t>
  </si>
  <si>
    <t>HSA and CAF Underruns</t>
  </si>
  <si>
    <t>Will be paying for Security guard</t>
  </si>
  <si>
    <t>Sponsorhips due to me by 9/28</t>
  </si>
  <si>
    <t>Tee shirts Sales</t>
  </si>
  <si>
    <t xml:space="preserve">2025-2026 Budget
</t>
  </si>
  <si>
    <t xml:space="preserve">2025-2026 Actual
</t>
  </si>
  <si>
    <t>2026 - 2027</t>
  </si>
  <si>
    <t>2026 -2027 Budget (PROPOSED)</t>
  </si>
  <si>
    <t>Christmas Bingo</t>
  </si>
  <si>
    <t>Hospitality-8th Grade NYC Trip</t>
  </si>
  <si>
    <t xml:space="preserve">NEW </t>
  </si>
  <si>
    <t>Increased due to supply needs</t>
  </si>
  <si>
    <t>Christmas Bingo (Moved to its own line)
Catholic School Week Vendor (2024 was Science Guys)</t>
  </si>
  <si>
    <t>Added the expense for soccer goals and Fencing invoice for 2025 - 2026</t>
  </si>
  <si>
    <r>
      <t xml:space="preserve">Breakfast with </t>
    </r>
    <r>
      <rPr>
        <sz val="12"/>
        <color rgb="FFFF0000"/>
        <rFont val="Calibri"/>
        <family val="2"/>
        <scheme val="minor"/>
      </rPr>
      <t>Santa</t>
    </r>
  </si>
  <si>
    <t>K</t>
  </si>
  <si>
    <t>Remainder</t>
  </si>
  <si>
    <t>Total Budget</t>
  </si>
  <si>
    <t>Staff Lunches</t>
  </si>
  <si>
    <t>For 3 lunches</t>
  </si>
  <si>
    <t>Birthdays</t>
  </si>
  <si>
    <t>$25 Gift cards</t>
  </si>
  <si>
    <t>Send out to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</si>
</sst>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/>
      <top style="hair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43" fontId="3" fillId="0" borderId="5" xfId="0" applyNumberFormat="1" applyFont="1" applyBorder="1" applyAlignment="1">
      <alignment horizontal="right" wrapText="1"/>
    </xf>
    <xf numFmtId="43" fontId="3" fillId="0" borderId="5" xfId="0" applyNumberFormat="1" applyFont="1" applyBorder="1" applyAlignment="1">
      <alignment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wrapText="1"/>
    </xf>
    <xf numFmtId="0" fontId="3" fillId="0" borderId="8" xfId="0" applyFont="1" applyBorder="1"/>
    <xf numFmtId="0" fontId="2" fillId="0" borderId="0" xfId="0" applyFont="1" applyAlignment="1">
      <alignment horizontal="center" vertical="center" wrapText="1"/>
    </xf>
    <xf numFmtId="43" fontId="3" fillId="0" borderId="5" xfId="1" applyNumberFormat="1" applyFont="1" applyFill="1" applyBorder="1" applyAlignment="1">
      <alignment wrapText="1"/>
    </xf>
    <xf numFmtId="0" fontId="3" fillId="0" borderId="9" xfId="0" applyFont="1" applyBorder="1"/>
    <xf numFmtId="43" fontId="3" fillId="0" borderId="5" xfId="1" applyNumberFormat="1" applyFont="1" applyFill="1" applyBorder="1" applyAlignment="1">
      <alignment horizontal="right" wrapText="1"/>
    </xf>
    <xf numFmtId="0" fontId="2" fillId="0" borderId="9" xfId="0" applyFont="1" applyBorder="1" applyAlignment="1">
      <alignment vertical="center"/>
    </xf>
    <xf numFmtId="43" fontId="2" fillId="0" borderId="0" xfId="0" applyNumberFormat="1" applyFont="1" applyAlignment="1">
      <alignment wrapText="1"/>
    </xf>
    <xf numFmtId="0" fontId="4" fillId="0" borderId="8" xfId="0" applyFont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43" fontId="4" fillId="0" borderId="8" xfId="1" applyNumberFormat="1" applyFont="1" applyFill="1" applyBorder="1" applyAlignment="1">
      <alignment wrapText="1"/>
    </xf>
    <xf numFmtId="44" fontId="3" fillId="0" borderId="18" xfId="1" applyFont="1" applyBorder="1"/>
    <xf numFmtId="0" fontId="3" fillId="0" borderId="18" xfId="0" applyFont="1" applyBorder="1"/>
    <xf numFmtId="0" fontId="2" fillId="0" borderId="5" xfId="0" applyFont="1" applyBorder="1" applyAlignment="1">
      <alignment vertical="center"/>
    </xf>
    <xf numFmtId="43" fontId="2" fillId="0" borderId="7" xfId="0" applyNumberFormat="1" applyFont="1" applyBorder="1" applyAlignment="1">
      <alignment horizontal="right" wrapText="1"/>
    </xf>
    <xf numFmtId="43" fontId="2" fillId="0" borderId="7" xfId="0" applyNumberFormat="1" applyFont="1" applyBorder="1" applyAlignment="1">
      <alignment wrapText="1"/>
    </xf>
    <xf numFmtId="43" fontId="2" fillId="3" borderId="19" xfId="0" applyNumberFormat="1" applyFont="1" applyFill="1" applyBorder="1"/>
    <xf numFmtId="0" fontId="2" fillId="0" borderId="8" xfId="0" applyFont="1" applyBorder="1"/>
    <xf numFmtId="43" fontId="2" fillId="0" borderId="5" xfId="1" applyNumberFormat="1" applyFont="1" applyFill="1" applyBorder="1" applyAlignment="1">
      <alignment horizontal="right" wrapText="1"/>
    </xf>
    <xf numFmtId="43" fontId="2" fillId="0" borderId="5" xfId="1" applyNumberFormat="1" applyFont="1" applyFill="1" applyBorder="1" applyAlignment="1">
      <alignment wrapText="1"/>
    </xf>
    <xf numFmtId="43" fontId="5" fillId="0" borderId="8" xfId="1" applyNumberFormat="1" applyFont="1" applyFill="1" applyBorder="1" applyAlignment="1">
      <alignment wrapText="1"/>
    </xf>
    <xf numFmtId="44" fontId="2" fillId="0" borderId="18" xfId="1" applyFont="1" applyBorder="1"/>
    <xf numFmtId="0" fontId="2" fillId="0" borderId="10" xfId="0" applyFont="1" applyBorder="1" applyAlignment="1">
      <alignment vertical="center"/>
    </xf>
    <xf numFmtId="43" fontId="2" fillId="0" borderId="4" xfId="0" applyNumberFormat="1" applyFont="1" applyBorder="1" applyAlignment="1">
      <alignment horizontal="right" wrapText="1"/>
    </xf>
    <xf numFmtId="0" fontId="2" fillId="0" borderId="8" xfId="0" applyFont="1" applyBorder="1" applyAlignment="1">
      <alignment vertical="center"/>
    </xf>
    <xf numFmtId="43" fontId="2" fillId="0" borderId="5" xfId="0" applyNumberFormat="1" applyFont="1" applyBorder="1" applyAlignment="1">
      <alignment horizontal="right" wrapText="1"/>
    </xf>
    <xf numFmtId="43" fontId="2" fillId="0" borderId="5" xfId="0" applyNumberFormat="1" applyFont="1" applyBorder="1" applyAlignment="1">
      <alignment wrapText="1"/>
    </xf>
    <xf numFmtId="43" fontId="3" fillId="0" borderId="8" xfId="0" applyNumberFormat="1" applyFont="1" applyBorder="1" applyAlignment="1">
      <alignment wrapText="1"/>
    </xf>
    <xf numFmtId="43" fontId="2" fillId="0" borderId="12" xfId="0" applyNumberFormat="1" applyFont="1" applyBorder="1" applyAlignment="1">
      <alignment wrapText="1"/>
    </xf>
    <xf numFmtId="43" fontId="4" fillId="0" borderId="8" xfId="0" applyNumberFormat="1" applyFont="1" applyBorder="1" applyAlignment="1">
      <alignment wrapText="1"/>
    </xf>
    <xf numFmtId="43" fontId="5" fillId="0" borderId="10" xfId="0" applyNumberFormat="1" applyFont="1" applyBorder="1" applyAlignment="1">
      <alignment horizontal="right" wrapText="1"/>
    </xf>
    <xf numFmtId="43" fontId="5" fillId="0" borderId="8" xfId="0" applyNumberFormat="1" applyFont="1" applyBorder="1" applyAlignment="1">
      <alignment wrapText="1"/>
    </xf>
    <xf numFmtId="44" fontId="2" fillId="0" borderId="18" xfId="0" applyNumberFormat="1" applyFont="1" applyBorder="1"/>
    <xf numFmtId="43" fontId="2" fillId="0" borderId="18" xfId="0" applyNumberFormat="1" applyFont="1" applyBorder="1" applyAlignment="1">
      <alignment wrapText="1"/>
    </xf>
    <xf numFmtId="44" fontId="2" fillId="3" borderId="19" xfId="0" applyNumberFormat="1" applyFont="1" applyFill="1" applyBorder="1"/>
    <xf numFmtId="43" fontId="3" fillId="0" borderId="18" xfId="0" applyNumberFormat="1" applyFont="1" applyBorder="1" applyAlignment="1">
      <alignment wrapText="1"/>
    </xf>
    <xf numFmtId="44" fontId="3" fillId="0" borderId="18" xfId="1" applyFont="1" applyFill="1" applyBorder="1"/>
    <xf numFmtId="44" fontId="2" fillId="0" borderId="18" xfId="1" applyFont="1" applyFill="1" applyBorder="1"/>
    <xf numFmtId="0" fontId="4" fillId="3" borderId="20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wrapText="1"/>
    </xf>
    <xf numFmtId="0" fontId="2" fillId="0" borderId="0" xfId="0" applyFont="1"/>
    <xf numFmtId="43" fontId="2" fillId="0" borderId="0" xfId="0" applyNumberFormat="1" applyFont="1"/>
    <xf numFmtId="44" fontId="2" fillId="0" borderId="18" xfId="1" applyFont="1" applyBorder="1" applyAlignment="1">
      <alignment wrapText="1"/>
    </xf>
    <xf numFmtId="0" fontId="4" fillId="2" borderId="16" xfId="0" applyFont="1" applyFill="1" applyBorder="1" applyAlignment="1">
      <alignment horizontal="center" wrapText="1"/>
    </xf>
    <xf numFmtId="44" fontId="4" fillId="2" borderId="16" xfId="1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44" fontId="2" fillId="4" borderId="18" xfId="1" applyFont="1" applyFill="1" applyBorder="1"/>
    <xf numFmtId="43" fontId="2" fillId="4" borderId="19" xfId="0" applyNumberFormat="1" applyFont="1" applyFill="1" applyBorder="1"/>
    <xf numFmtId="44" fontId="2" fillId="4" borderId="18" xfId="1" applyFont="1" applyFill="1" applyBorder="1" applyAlignment="1">
      <alignment wrapText="1"/>
    </xf>
    <xf numFmtId="44" fontId="2" fillId="4" borderId="19" xfId="0" applyNumberFormat="1" applyFont="1" applyFill="1" applyBorder="1"/>
    <xf numFmtId="44" fontId="6" fillId="4" borderId="16" xfId="1" applyFont="1" applyFill="1" applyBorder="1" applyAlignment="1">
      <alignment horizontal="center" wrapText="1"/>
    </xf>
    <xf numFmtId="44" fontId="5" fillId="4" borderId="18" xfId="1" applyFont="1" applyFill="1" applyBorder="1"/>
    <xf numFmtId="0" fontId="2" fillId="2" borderId="23" xfId="0" applyFont="1" applyFill="1" applyBorder="1" applyAlignment="1">
      <alignment wrapText="1"/>
    </xf>
    <xf numFmtId="43" fontId="2" fillId="2" borderId="24" xfId="1" applyNumberFormat="1" applyFont="1" applyFill="1" applyBorder="1" applyAlignment="1">
      <alignment horizontal="right" wrapText="1"/>
    </xf>
    <xf numFmtId="43" fontId="2" fillId="2" borderId="22" xfId="1" applyNumberFormat="1" applyFont="1" applyFill="1" applyBorder="1" applyAlignment="1">
      <alignment horizontal="right" wrapText="1"/>
    </xf>
    <xf numFmtId="43" fontId="3" fillId="0" borderId="25" xfId="1" applyNumberFormat="1" applyFont="1" applyFill="1" applyBorder="1" applyAlignment="1">
      <alignment horizontal="right" wrapText="1"/>
    </xf>
    <xf numFmtId="43" fontId="3" fillId="0" borderId="25" xfId="1" applyNumberFormat="1" applyFont="1" applyFill="1" applyBorder="1" applyAlignment="1">
      <alignment wrapText="1"/>
    </xf>
    <xf numFmtId="43" fontId="3" fillId="0" borderId="26" xfId="1" applyNumberFormat="1" applyFont="1" applyFill="1" applyBorder="1" applyAlignment="1">
      <alignment wrapText="1"/>
    </xf>
    <xf numFmtId="0" fontId="3" fillId="0" borderId="19" xfId="0" applyFont="1" applyBorder="1"/>
    <xf numFmtId="43" fontId="2" fillId="2" borderId="24" xfId="0" applyNumberFormat="1" applyFont="1" applyFill="1" applyBorder="1" applyAlignment="1">
      <alignment horizontal="right" wrapText="1"/>
    </xf>
    <xf numFmtId="43" fontId="2" fillId="2" borderId="22" xfId="0" applyNumberFormat="1" applyFont="1" applyFill="1" applyBorder="1" applyAlignment="1">
      <alignment horizontal="right" wrapText="1"/>
    </xf>
    <xf numFmtId="43" fontId="2" fillId="0" borderId="28" xfId="0" applyNumberFormat="1" applyFont="1" applyBorder="1" applyAlignment="1">
      <alignment horizontal="right" wrapText="1"/>
    </xf>
    <xf numFmtId="43" fontId="2" fillId="0" borderId="28" xfId="0" applyNumberFormat="1" applyFont="1" applyBorder="1" applyAlignment="1">
      <alignment wrapText="1"/>
    </xf>
    <xf numFmtId="43" fontId="5" fillId="0" borderId="29" xfId="0" applyNumberFormat="1" applyFont="1" applyBorder="1" applyAlignment="1">
      <alignment wrapText="1"/>
    </xf>
    <xf numFmtId="0" fontId="2" fillId="0" borderId="5" xfId="0" applyFont="1" applyBorder="1"/>
    <xf numFmtId="0" fontId="2" fillId="0" borderId="18" xfId="0" applyFont="1" applyBorder="1"/>
    <xf numFmtId="43" fontId="2" fillId="0" borderId="5" xfId="1" applyNumberFormat="1" applyFont="1" applyFill="1" applyBorder="1"/>
    <xf numFmtId="43" fontId="5" fillId="0" borderId="8" xfId="1" applyNumberFormat="1" applyFont="1" applyFill="1" applyBorder="1"/>
    <xf numFmtId="43" fontId="2" fillId="0" borderId="8" xfId="1" applyNumberFormat="1" applyFont="1" applyFill="1" applyBorder="1" applyAlignment="1">
      <alignment wrapText="1"/>
    </xf>
    <xf numFmtId="0" fontId="2" fillId="0" borderId="25" xfId="0" applyFont="1" applyBorder="1"/>
    <xf numFmtId="0" fontId="5" fillId="0" borderId="8" xfId="0" applyFont="1" applyBorder="1"/>
    <xf numFmtId="0" fontId="2" fillId="0" borderId="5" xfId="0" applyFont="1" applyBorder="1" applyAlignment="1">
      <alignment wrapText="1"/>
    </xf>
    <xf numFmtId="43" fontId="2" fillId="0" borderId="10" xfId="1" applyNumberFormat="1" applyFont="1" applyFill="1" applyBorder="1" applyAlignment="1">
      <alignment wrapText="1"/>
    </xf>
    <xf numFmtId="44" fontId="2" fillId="0" borderId="17" xfId="1" applyFont="1" applyFill="1" applyBorder="1"/>
    <xf numFmtId="0" fontId="2" fillId="0" borderId="3" xfId="0" applyFont="1" applyBorder="1" applyAlignment="1">
      <alignment vertical="center"/>
    </xf>
    <xf numFmtId="43" fontId="2" fillId="0" borderId="8" xfId="0" applyNumberFormat="1" applyFont="1" applyBorder="1" applyAlignment="1">
      <alignment wrapText="1"/>
    </xf>
    <xf numFmtId="44" fontId="7" fillId="0" borderId="17" xfId="1" applyFont="1" applyBorder="1"/>
    <xf numFmtId="44" fontId="7" fillId="0" borderId="18" xfId="1" applyFont="1" applyBorder="1"/>
    <xf numFmtId="44" fontId="7" fillId="0" borderId="18" xfId="1" applyFont="1" applyFill="1" applyBorder="1"/>
    <xf numFmtId="44" fontId="8" fillId="0" borderId="18" xfId="1" applyFont="1" applyBorder="1"/>
    <xf numFmtId="44" fontId="3" fillId="0" borderId="0" xfId="1" applyFont="1"/>
    <xf numFmtId="44" fontId="2" fillId="0" borderId="0" xfId="1" applyFont="1"/>
    <xf numFmtId="0" fontId="3" fillId="0" borderId="0" xfId="0" applyFont="1"/>
    <xf numFmtId="0" fontId="3" fillId="2" borderId="2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44" fontId="2" fillId="4" borderId="17" xfId="1" applyFont="1" applyFill="1" applyBorder="1"/>
    <xf numFmtId="0" fontId="3" fillId="0" borderId="0" xfId="0" applyFont="1" applyAlignment="1">
      <alignment wrapText="1"/>
    </xf>
    <xf numFmtId="0" fontId="9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3" fontId="3" fillId="0" borderId="18" xfId="1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43" fontId="9" fillId="0" borderId="5" xfId="1" applyNumberFormat="1" applyFont="1" applyFill="1" applyBorder="1" applyAlignment="1">
      <alignment horizontal="right" wrapText="1"/>
    </xf>
    <xf numFmtId="43" fontId="9" fillId="0" borderId="5" xfId="1" applyNumberFormat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25" xfId="0" applyFont="1" applyBorder="1" applyAlignment="1">
      <alignment wrapText="1"/>
    </xf>
    <xf numFmtId="44" fontId="3" fillId="0" borderId="19" xfId="1" applyFont="1" applyBorder="1"/>
    <xf numFmtId="44" fontId="2" fillId="4" borderId="19" xfId="1" applyFont="1" applyFill="1" applyBorder="1"/>
    <xf numFmtId="0" fontId="2" fillId="2" borderId="22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44" fontId="2" fillId="0" borderId="17" xfId="1" applyFont="1" applyBorder="1"/>
    <xf numFmtId="0" fontId="2" fillId="0" borderId="7" xfId="0" applyFont="1" applyBorder="1" applyAlignment="1">
      <alignment wrapText="1"/>
    </xf>
    <xf numFmtId="0" fontId="3" fillId="0" borderId="12" xfId="0" applyFont="1" applyBorder="1"/>
    <xf numFmtId="0" fontId="3" fillId="0" borderId="1" xfId="0" applyFont="1" applyBorder="1" applyAlignment="1">
      <alignment vertical="center"/>
    </xf>
    <xf numFmtId="43" fontId="9" fillId="0" borderId="5" xfId="0" applyNumberFormat="1" applyFont="1" applyBorder="1" applyAlignment="1">
      <alignment wrapText="1"/>
    </xf>
    <xf numFmtId="0" fontId="5" fillId="0" borderId="1" xfId="0" applyFont="1" applyBorder="1"/>
    <xf numFmtId="44" fontId="8" fillId="0" borderId="18" xfId="1" applyFont="1" applyFill="1" applyBorder="1"/>
    <xf numFmtId="44" fontId="3" fillId="4" borderId="18" xfId="1" applyFont="1" applyFill="1" applyBorder="1"/>
    <xf numFmtId="0" fontId="3" fillId="0" borderId="14" xfId="0" applyFont="1" applyBorder="1"/>
    <xf numFmtId="0" fontId="4" fillId="0" borderId="14" xfId="0" applyFont="1" applyBorder="1"/>
    <xf numFmtId="43" fontId="4" fillId="0" borderId="5" xfId="0" applyNumberFormat="1" applyFont="1" applyBorder="1" applyAlignment="1">
      <alignment horizontal="right" wrapText="1"/>
    </xf>
    <xf numFmtId="43" fontId="4" fillId="0" borderId="5" xfId="0" applyNumberFormat="1" applyFont="1" applyBorder="1" applyAlignment="1">
      <alignment wrapText="1"/>
    </xf>
    <xf numFmtId="44" fontId="4" fillId="0" borderId="18" xfId="1" applyFont="1" applyFill="1" applyBorder="1"/>
    <xf numFmtId="44" fontId="4" fillId="0" borderId="18" xfId="1" applyFont="1" applyBorder="1"/>
    <xf numFmtId="0" fontId="2" fillId="0" borderId="27" xfId="0" applyFont="1" applyBorder="1" applyAlignment="1">
      <alignment wrapText="1"/>
    </xf>
    <xf numFmtId="43" fontId="2" fillId="0" borderId="19" xfId="0" applyNumberFormat="1" applyFont="1" applyBorder="1"/>
    <xf numFmtId="0" fontId="2" fillId="0" borderId="19" xfId="0" applyFont="1" applyBorder="1"/>
    <xf numFmtId="44" fontId="2" fillId="0" borderId="19" xfId="1" applyFont="1" applyBorder="1"/>
    <xf numFmtId="0" fontId="2" fillId="2" borderId="11" xfId="0" applyFont="1" applyFill="1" applyBorder="1" applyAlignment="1">
      <alignment wrapText="1"/>
    </xf>
    <xf numFmtId="43" fontId="3" fillId="0" borderId="0" xfId="0" applyNumberFormat="1" applyFont="1"/>
    <xf numFmtId="44" fontId="3" fillId="0" borderId="0" xfId="0" applyNumberFormat="1" applyFont="1"/>
    <xf numFmtId="0" fontId="2" fillId="0" borderId="9" xfId="0" applyFont="1" applyBorder="1"/>
    <xf numFmtId="0" fontId="2" fillId="0" borderId="1" xfId="0" applyFont="1" applyBorder="1" applyAlignment="1">
      <alignment vertical="center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11" fillId="0" borderId="0" xfId="0" applyFont="1"/>
    <xf numFmtId="0" fontId="6" fillId="0" borderId="0" xfId="0" applyFont="1"/>
    <xf numFmtId="43" fontId="0" fillId="0" borderId="0" xfId="2" applyFont="1"/>
    <xf numFmtId="0" fontId="10" fillId="0" borderId="0" xfId="0" applyFont="1"/>
    <xf numFmtId="43" fontId="10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43" fontId="12" fillId="0" borderId="0" xfId="2" applyFont="1"/>
    <xf numFmtId="43" fontId="11" fillId="0" borderId="0" xfId="2" applyFont="1"/>
    <xf numFmtId="43" fontId="6" fillId="0" borderId="0" xfId="0" applyNumberFormat="1" applyFont="1"/>
    <xf numFmtId="0" fontId="2" fillId="5" borderId="0" xfId="0" applyFont="1" applyFill="1"/>
    <xf numFmtId="43" fontId="6" fillId="5" borderId="0" xfId="0" applyNumberFormat="1" applyFont="1" applyFill="1"/>
    <xf numFmtId="0" fontId="3" fillId="6" borderId="0" xfId="0" applyFont="1" applyFill="1" applyAlignment="1">
      <alignment wrapText="1"/>
    </xf>
    <xf numFmtId="44" fontId="9" fillId="0" borderId="0" xfId="1" applyFont="1"/>
    <xf numFmtId="44" fontId="6" fillId="0" borderId="17" xfId="1" applyFont="1" applyBorder="1"/>
    <xf numFmtId="44" fontId="6" fillId="0" borderId="18" xfId="1" applyFont="1" applyBorder="1"/>
    <xf numFmtId="44" fontId="9" fillId="0" borderId="18" xfId="1" applyFont="1" applyBorder="1"/>
    <xf numFmtId="44" fontId="9" fillId="0" borderId="19" xfId="1" applyFont="1" applyBorder="1"/>
    <xf numFmtId="43" fontId="6" fillId="3" borderId="19" xfId="0" applyNumberFormat="1" applyFont="1" applyFill="1" applyBorder="1"/>
    <xf numFmtId="44" fontId="6" fillId="0" borderId="18" xfId="1" applyFont="1" applyFill="1" applyBorder="1"/>
    <xf numFmtId="44" fontId="9" fillId="0" borderId="18" xfId="1" applyFont="1" applyFill="1" applyBorder="1"/>
    <xf numFmtId="44" fontId="6" fillId="0" borderId="18" xfId="1" applyFont="1" applyBorder="1" applyAlignment="1">
      <alignment wrapText="1"/>
    </xf>
    <xf numFmtId="44" fontId="6" fillId="0" borderId="19" xfId="1" applyFont="1" applyBorder="1"/>
    <xf numFmtId="44" fontId="6" fillId="3" borderId="19" xfId="0" applyNumberFormat="1" applyFont="1" applyFill="1" applyBorder="1"/>
    <xf numFmtId="43" fontId="12" fillId="0" borderId="0" xfId="2" applyFont="1" applyFill="1"/>
    <xf numFmtId="44" fontId="12" fillId="0" borderId="0" xfId="1" applyFont="1"/>
    <xf numFmtId="0" fontId="12" fillId="2" borderId="2" xfId="0" applyFont="1" applyFill="1" applyBorder="1" applyAlignment="1">
      <alignment horizontal="center" wrapText="1"/>
    </xf>
    <xf numFmtId="44" fontId="11" fillId="0" borderId="17" xfId="1" applyFont="1" applyBorder="1"/>
    <xf numFmtId="44" fontId="11" fillId="0" borderId="18" xfId="1" applyFont="1" applyBorder="1"/>
    <xf numFmtId="44" fontId="12" fillId="0" borderId="18" xfId="1" applyFont="1" applyBorder="1"/>
    <xf numFmtId="44" fontId="12" fillId="0" borderId="19" xfId="1" applyFont="1" applyBorder="1"/>
    <xf numFmtId="43" fontId="11" fillId="3" borderId="19" xfId="0" applyNumberFormat="1" applyFont="1" applyFill="1" applyBorder="1"/>
    <xf numFmtId="44" fontId="11" fillId="0" borderId="18" xfId="1" applyFont="1" applyBorder="1" applyAlignment="1">
      <alignment wrapText="1"/>
    </xf>
    <xf numFmtId="44" fontId="11" fillId="0" borderId="19" xfId="1" applyFont="1" applyBorder="1"/>
    <xf numFmtId="44" fontId="11" fillId="3" borderId="19" xfId="0" applyNumberFormat="1" applyFont="1" applyFill="1" applyBorder="1"/>
    <xf numFmtId="43" fontId="11" fillId="0" borderId="0" xfId="0" applyNumberFormat="1" applyFont="1"/>
    <xf numFmtId="0" fontId="6" fillId="2" borderId="2" xfId="0" applyFont="1" applyFill="1" applyBorder="1" applyAlignment="1">
      <alignment horizontal="center" wrapText="1"/>
    </xf>
    <xf numFmtId="44" fontId="6" fillId="0" borderId="0" xfId="1" applyFont="1" applyAlignment="1">
      <alignment horizontal="right"/>
    </xf>
    <xf numFmtId="43" fontId="12" fillId="0" borderId="0" xfId="0" applyNumberFormat="1" applyFont="1"/>
    <xf numFmtId="0" fontId="6" fillId="0" borderId="8" xfId="0" applyFont="1" applyBorder="1" applyAlignment="1">
      <alignment vertical="center"/>
    </xf>
    <xf numFmtId="0" fontId="0" fillId="0" borderId="0" xfId="0" applyAlignment="1">
      <alignment horizontal="right"/>
    </xf>
    <xf numFmtId="44" fontId="0" fillId="0" borderId="0" xfId="1" applyFont="1"/>
    <xf numFmtId="44" fontId="0" fillId="0" borderId="30" xfId="1" applyFont="1" applyBorder="1"/>
    <xf numFmtId="0" fontId="10" fillId="0" borderId="30" xfId="0" applyFont="1" applyBorder="1"/>
    <xf numFmtId="0" fontId="10" fillId="0" borderId="30" xfId="0" applyFont="1" applyBorder="1" applyAlignment="1">
      <alignment horizontal="right"/>
    </xf>
    <xf numFmtId="44" fontId="10" fillId="0" borderId="30" xfId="1" applyFont="1" applyBorder="1"/>
    <xf numFmtId="0" fontId="2" fillId="0" borderId="5" xfId="0" applyFont="1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%20-%202026%20Activities/Budget%20to%20Actuals/June%20-%202025-2026%20HSA%20Budget%20MoN%20-Bud.%20to%20Act%5e.xlsx" TargetMode="External"/><Relationship Id="rId2" Type="http://schemas.openxmlformats.org/officeDocument/2006/relationships/externalLinkPath" Target="https://d.docs.live.net/a022bf59c1e05102/Desktop/MON%20HSA%20Treasurer%20-%202025-2026/2025%20-%202026%20Activities/Budget%20to%20Actuals/June%20-%202025-2026%20HSA%20Budget%20MoN%20-Bud.%20to%20Act%5e.xlsx" TargetMode="External"/><Relationship Id="rId1" Type="http://schemas.openxmlformats.org/officeDocument/2006/relationships/externalLinkPath" Target="/a022bf59c1e05102/Desktop/MON%20HSA%20Treasurer%20-%202025-2026/2025%20-%202026%20Activities/Budget%20to%20Actuals/June%20-%202025-2026%20HSA%20Budget%20MoN%20-Bud.%20to%20Act%5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udget"/>
      <sheetName val="Bud to Act - 9.15.25"/>
      <sheetName val="Bud to Act - 12.31.25"/>
      <sheetName val="PIVOT"/>
      <sheetName val="Shopify 10-6-25"/>
      <sheetName val="PIVOT 10.6.25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Row Labels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rk Kincer" refreshedDate="45915.51447465278" createdVersion="8" refreshedVersion="8" minRefreshableVersion="3" recordCount="73" xr:uid="{D8F16BB4-3BF6-4790-B3E5-8ABEFE5B98F4}">
  <cacheSource type="worksheet">
    <worksheetSource ref="A1:K74" sheet="Shopify 9-15-25"/>
  </cacheSource>
  <cacheFields count="11">
    <cacheField name="Line Item" numFmtId="0">
      <sharedItems count="7">
        <s v="CAF"/>
        <s v="Golf"/>
        <s v="PICN"/>
        <s v="HSA Dues"/>
        <s v="Spirit"/>
        <s v="RACE"/>
        <s v="UNIFORM"/>
      </sharedItems>
    </cacheField>
    <cacheField name="Product title" numFmtId="0">
      <sharedItems/>
    </cacheField>
    <cacheField name="Product variant title" numFmtId="0">
      <sharedItems/>
    </cacheField>
    <cacheField name="Product variant SKU" numFmtId="0">
      <sharedItems containsNonDate="0" containsString="0" containsBlank="1"/>
    </cacheField>
    <cacheField name="Net items sold" numFmtId="43">
      <sharedItems containsSemiMixedTypes="0" containsString="0" containsNumber="1" containsInteger="1" minValue="0" maxValue="227"/>
    </cacheField>
    <cacheField name="Gross sales" numFmtId="43">
      <sharedItems containsSemiMixedTypes="0" containsString="0" containsNumber="1" containsInteger="1" minValue="10" maxValue="5675"/>
    </cacheField>
    <cacheField name="Discounts" numFmtId="43">
      <sharedItems containsSemiMixedTypes="0" containsString="0" containsNumber="1" containsInteger="1" minValue="0" maxValue="0"/>
    </cacheField>
    <cacheField name="Returns" numFmtId="43">
      <sharedItems containsSemiMixedTypes="0" containsString="0" containsNumber="1" containsInteger="1" minValue="-45" maxValue="0"/>
    </cacheField>
    <cacheField name="Net sales" numFmtId="43">
      <sharedItems containsSemiMixedTypes="0" containsString="0" containsNumber="1" containsInteger="1" minValue="0" maxValue="5675"/>
    </cacheField>
    <cacheField name="Taxes" numFmtId="43">
      <sharedItems containsSemiMixedTypes="0" containsString="0" containsNumber="1" containsInteger="1" minValue="0" maxValue="0"/>
    </cacheField>
    <cacheField name="Total sales" numFmtId="43">
      <sharedItems containsSemiMixedTypes="0" containsString="0" containsNumber="1" containsInteger="1" minValue="0" maxValue="56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">
  <r>
    <x v="0"/>
    <s v="1st grade CAF - Class Activity Fee"/>
    <s v="Default Title"/>
    <m/>
    <n v="26"/>
    <n v="520"/>
    <n v="0"/>
    <n v="0"/>
    <n v="520"/>
    <n v="0"/>
    <n v="520"/>
  </r>
  <r>
    <x v="1"/>
    <s v="2025 An Evening on the Green: Wine Tasting and Dinner"/>
    <s v="Default Title"/>
    <m/>
    <n v="2"/>
    <n v="150"/>
    <n v="0"/>
    <n v="0"/>
    <n v="150"/>
    <n v="0"/>
    <n v="150"/>
  </r>
  <r>
    <x v="1"/>
    <s v="2025 Golf Outing: Bagpiper Sponsor"/>
    <s v="Default Title"/>
    <m/>
    <n v="1"/>
    <n v="300"/>
    <n v="0"/>
    <n v="0"/>
    <n v="300"/>
    <n v="0"/>
    <n v="300"/>
  </r>
  <r>
    <x v="1"/>
    <s v="2025 Golf Outing: Dinner Sponsor"/>
    <s v="Default Title"/>
    <m/>
    <n v="1"/>
    <n v="500"/>
    <n v="0"/>
    <n v="0"/>
    <n v="500"/>
    <n v="0"/>
    <n v="500"/>
  </r>
  <r>
    <x v="1"/>
    <s v="2025 Golf Outing: Foursome Registration"/>
    <s v="Default Title"/>
    <m/>
    <n v="5"/>
    <n v="3500"/>
    <n v="0"/>
    <n v="0"/>
    <n v="3500"/>
    <n v="0"/>
    <n v="3500"/>
  </r>
  <r>
    <x v="1"/>
    <s v="2025 Golf Outing: Individual Registration"/>
    <s v="Default Title"/>
    <m/>
    <n v="1"/>
    <n v="175"/>
    <n v="0"/>
    <n v="0"/>
    <n v="175"/>
    <n v="0"/>
    <n v="175"/>
  </r>
  <r>
    <x v="0"/>
    <s v="2nd grade CAF - Class Activity Fee"/>
    <s v="Default Title"/>
    <m/>
    <n v="22"/>
    <n v="440"/>
    <n v="0"/>
    <n v="0"/>
    <n v="440"/>
    <n v="0"/>
    <n v="440"/>
  </r>
  <r>
    <x v="0"/>
    <s v="3rd grade CAF - Class Activity Fee"/>
    <s v="Default Title"/>
    <m/>
    <n v="26"/>
    <n v="520"/>
    <n v="0"/>
    <n v="0"/>
    <n v="520"/>
    <n v="0"/>
    <n v="520"/>
  </r>
  <r>
    <x v="0"/>
    <s v="4th grade CAF - Class Activity Fee"/>
    <s v="Default Title"/>
    <m/>
    <n v="25"/>
    <n v="500"/>
    <n v="0"/>
    <n v="0"/>
    <n v="500"/>
    <n v="0"/>
    <n v="500"/>
  </r>
  <r>
    <x v="0"/>
    <s v="5th grade CAF - Class Activity Fee"/>
    <s v="Default Title"/>
    <m/>
    <n v="25"/>
    <n v="500"/>
    <n v="0"/>
    <n v="0"/>
    <n v="500"/>
    <n v="0"/>
    <n v="500"/>
  </r>
  <r>
    <x v="0"/>
    <s v="6th grade CAF - Class Activity Fee"/>
    <s v="Default Title"/>
    <m/>
    <n v="18"/>
    <n v="360"/>
    <n v="0"/>
    <n v="0"/>
    <n v="360"/>
    <n v="0"/>
    <n v="360"/>
  </r>
  <r>
    <x v="0"/>
    <s v="7th grade CAF - Class Activity Fee"/>
    <s v="Default Title"/>
    <m/>
    <n v="22"/>
    <n v="440"/>
    <n v="0"/>
    <n v="0"/>
    <n v="440"/>
    <n v="0"/>
    <n v="440"/>
  </r>
  <r>
    <x v="0"/>
    <s v="8th grade CAF - Class Activity Fee"/>
    <s v="Default Title"/>
    <m/>
    <n v="16"/>
    <n v="320"/>
    <n v="0"/>
    <n v="0"/>
    <n v="320"/>
    <n v="0"/>
    <n v="320"/>
  </r>
  <r>
    <x v="2"/>
    <s v="Back to School Picnic 2025"/>
    <s v="Default Title"/>
    <m/>
    <n v="227"/>
    <n v="5675"/>
    <n v="0"/>
    <n v="0"/>
    <n v="5675"/>
    <n v="0"/>
    <n v="5675"/>
  </r>
  <r>
    <x v="3"/>
    <s v="HSA - Home School Association Annual Dues"/>
    <s v="Default Title"/>
    <m/>
    <n v="120"/>
    <n v="3000"/>
    <n v="0"/>
    <n v="0"/>
    <n v="3000"/>
    <n v="0"/>
    <n v="3000"/>
  </r>
  <r>
    <x v="0"/>
    <s v="Kindergarten CAF - Class Activity Fee"/>
    <s v="Default Title"/>
    <m/>
    <n v="19"/>
    <n v="380"/>
    <n v="0"/>
    <n v="0"/>
    <n v="380"/>
    <n v="0"/>
    <n v="380"/>
  </r>
  <r>
    <x v="4"/>
    <s v="Mary of Nazareth Christmas Ornament On Sale $10.00"/>
    <s v="Default Title"/>
    <m/>
    <n v="2"/>
    <n v="20"/>
    <n v="0"/>
    <n v="0"/>
    <n v="20"/>
    <n v="0"/>
    <n v="20"/>
  </r>
  <r>
    <x v="4"/>
    <s v="MoN Boys Shorts On Sale $20.00"/>
    <s v="YM"/>
    <m/>
    <n v="2"/>
    <n v="40"/>
    <n v="0"/>
    <n v="0"/>
    <n v="40"/>
    <n v="0"/>
    <n v="40"/>
  </r>
  <r>
    <x v="4"/>
    <s v="MON Car Magnet"/>
    <s v="Default Title"/>
    <m/>
    <n v="13"/>
    <n v="65"/>
    <n v="0"/>
    <n v="0"/>
    <n v="65"/>
    <n v="0"/>
    <n v="65"/>
  </r>
  <r>
    <x v="4"/>
    <s v="MoN Girls Shorts (low rise) On Sale $20.00"/>
    <s v="YM"/>
    <m/>
    <n v="2"/>
    <n v="40"/>
    <n v="0"/>
    <n v="0"/>
    <n v="40"/>
    <n v="0"/>
    <n v="40"/>
  </r>
  <r>
    <x v="4"/>
    <s v="MoN Girls Shorts (low rise) On Sale $20.00"/>
    <s v="YS"/>
    <m/>
    <n v="1"/>
    <n v="20"/>
    <n v="0"/>
    <n v="0"/>
    <n v="20"/>
    <n v="0"/>
    <n v="20"/>
  </r>
  <r>
    <x v="4"/>
    <s v="MoN Gray Youth T-Shirt"/>
    <s v="Youth-Medium"/>
    <m/>
    <n v="3"/>
    <n v="75"/>
    <n v="0"/>
    <n v="0"/>
    <n v="75"/>
    <n v="0"/>
    <n v="75"/>
  </r>
  <r>
    <x v="4"/>
    <s v="MoN Gray Youth T-Shirt"/>
    <s v="Youth-Large"/>
    <m/>
    <n v="1"/>
    <n v="25"/>
    <n v="0"/>
    <n v="0"/>
    <n v="25"/>
    <n v="0"/>
    <n v="25"/>
  </r>
  <r>
    <x v="4"/>
    <s v="MoN Hoodies - Adult On Sale $35.00"/>
    <s v="Adult Medium"/>
    <m/>
    <n v="2"/>
    <n v="70"/>
    <n v="0"/>
    <n v="0"/>
    <n v="70"/>
    <n v="0"/>
    <n v="70"/>
  </r>
  <r>
    <x v="4"/>
    <s v="MoN Hoodies - Adult On Sale $35.00"/>
    <s v="Adult Large"/>
    <m/>
    <n v="1"/>
    <n v="35"/>
    <n v="0"/>
    <n v="0"/>
    <n v="35"/>
    <n v="0"/>
    <n v="35"/>
  </r>
  <r>
    <x v="4"/>
    <s v="MON Mom shirt On Sale $15.00"/>
    <s v="AL"/>
    <m/>
    <n v="2"/>
    <n v="30"/>
    <n v="0"/>
    <n v="0"/>
    <n v="30"/>
    <n v="0"/>
    <n v="30"/>
  </r>
  <r>
    <x v="4"/>
    <s v="MoN Womenâ€™s shorts On Sale $25.00"/>
    <s v="AS"/>
    <m/>
    <n v="2"/>
    <n v="50"/>
    <n v="0"/>
    <n v="0"/>
    <n v="50"/>
    <n v="0"/>
    <n v="50"/>
  </r>
  <r>
    <x v="4"/>
    <s v="NEW 1/4 Zip for Adults"/>
    <s v="Women's Small"/>
    <m/>
    <n v="1"/>
    <n v="40"/>
    <n v="0"/>
    <n v="0"/>
    <n v="40"/>
    <n v="0"/>
    <n v="40"/>
  </r>
  <r>
    <x v="4"/>
    <s v="NEW Adult UA Red Mustang T-Shirt"/>
    <s v="Small"/>
    <m/>
    <n v="1"/>
    <n v="35"/>
    <n v="0"/>
    <n v="0"/>
    <n v="35"/>
    <n v="0"/>
    <n v="35"/>
  </r>
  <r>
    <x v="4"/>
    <s v="NEW MoN Belt"/>
    <s v="28&quot;"/>
    <m/>
    <n v="2"/>
    <n v="56"/>
    <n v="0"/>
    <n v="0"/>
    <n v="56"/>
    <n v="0"/>
    <n v="56"/>
  </r>
  <r>
    <x v="4"/>
    <s v="NEW MoN Belt"/>
    <s v="26&quot;"/>
    <m/>
    <n v="1"/>
    <n v="28"/>
    <n v="0"/>
    <n v="0"/>
    <n v="28"/>
    <n v="0"/>
    <n v="28"/>
  </r>
  <r>
    <x v="4"/>
    <s v="NEW MoN Belt"/>
    <s v="30&quot;"/>
    <m/>
    <n v="1"/>
    <n v="28"/>
    <n v="0"/>
    <n v="0"/>
    <n v="28"/>
    <n v="0"/>
    <n v="28"/>
  </r>
  <r>
    <x v="4"/>
    <s v="NEW MoN Black Crewneck Sweater (with heart logo)"/>
    <s v="M"/>
    <m/>
    <n v="5"/>
    <n v="115"/>
    <n v="0"/>
    <n v="0"/>
    <n v="115"/>
    <n v="0"/>
    <n v="115"/>
  </r>
  <r>
    <x v="4"/>
    <s v="NEW MoN Black Crewneck Sweater (with heart logo)"/>
    <s v="S"/>
    <m/>
    <n v="3"/>
    <n v="69"/>
    <n v="0"/>
    <n v="0"/>
    <n v="69"/>
    <n v="0"/>
    <n v="69"/>
  </r>
  <r>
    <x v="4"/>
    <s v="NEW MoN Black Crewneck Sweater (with heart logo)"/>
    <s v="XS"/>
    <m/>
    <n v="2"/>
    <n v="46"/>
    <n v="0"/>
    <n v="0"/>
    <n v="46"/>
    <n v="0"/>
    <n v="46"/>
  </r>
  <r>
    <x v="4"/>
    <s v="NEW MoN Black Crewneck Sweater (with heart logo)"/>
    <s v="XL"/>
    <m/>
    <n v="1"/>
    <n v="23"/>
    <n v="0"/>
    <n v="0"/>
    <n v="23"/>
    <n v="0"/>
    <n v="23"/>
  </r>
  <r>
    <x v="4"/>
    <s v="NEW MoN Black Crewneck Sweater (with MoN Logo)"/>
    <s v="S"/>
    <m/>
    <n v="7"/>
    <n v="161"/>
    <n v="0"/>
    <n v="0"/>
    <n v="161"/>
    <n v="0"/>
    <n v="161"/>
  </r>
  <r>
    <x v="4"/>
    <s v="NEW MoN Black Crewneck Sweater (with MoN Logo)"/>
    <s v="XS"/>
    <m/>
    <n v="6"/>
    <n v="138"/>
    <n v="0"/>
    <n v="0"/>
    <n v="138"/>
    <n v="0"/>
    <n v="138"/>
  </r>
  <r>
    <x v="4"/>
    <s v="NEW MoN Black Crewneck Sweater (with MoN Logo)"/>
    <s v="M"/>
    <m/>
    <n v="4"/>
    <n v="92"/>
    <n v="0"/>
    <n v="0"/>
    <n v="92"/>
    <n v="0"/>
    <n v="92"/>
  </r>
  <r>
    <x v="4"/>
    <s v="NEW MoN Black Crewneck Sweater (with MoN Logo)"/>
    <s v="XL"/>
    <m/>
    <n v="4"/>
    <n v="92"/>
    <n v="0"/>
    <n v="0"/>
    <n v="92"/>
    <n v="0"/>
    <n v="92"/>
  </r>
  <r>
    <x v="4"/>
    <s v="NEW MoN Black Crewneck Sweater (with MoN Logo)"/>
    <s v="L"/>
    <m/>
    <n v="3"/>
    <n v="69"/>
    <n v="0"/>
    <n v="0"/>
    <n v="69"/>
    <n v="0"/>
    <n v="69"/>
  </r>
  <r>
    <x v="4"/>
    <s v="NEW MoN Imperial Hats"/>
    <s v="Default Title"/>
    <m/>
    <n v="1"/>
    <n v="35"/>
    <n v="0"/>
    <n v="0"/>
    <n v="35"/>
    <n v="0"/>
    <n v="35"/>
  </r>
  <r>
    <x v="4"/>
    <s v="NEW MoN Umbrella"/>
    <s v="Default Title"/>
    <m/>
    <n v="4"/>
    <n v="120"/>
    <n v="0"/>
    <n v="0"/>
    <n v="120"/>
    <n v="0"/>
    <n v="120"/>
  </r>
  <r>
    <x v="4"/>
    <s v="NEW Pink Plaid MoN PJ Pants"/>
    <s v="Adult XXS"/>
    <m/>
    <n v="2"/>
    <n v="52"/>
    <n v="0"/>
    <n v="0"/>
    <n v="52"/>
    <n v="0"/>
    <n v="52"/>
  </r>
  <r>
    <x v="4"/>
    <s v="NEW Pink Plaid MoN PJ Pants"/>
    <s v="Adult XS"/>
    <m/>
    <n v="2"/>
    <n v="52"/>
    <n v="0"/>
    <n v="0"/>
    <n v="52"/>
    <n v="0"/>
    <n v="52"/>
  </r>
  <r>
    <x v="4"/>
    <s v="NEW Red Mustang Youth T-Shirt"/>
    <s v="Youth Medium"/>
    <m/>
    <n v="4"/>
    <n v="120"/>
    <n v="0"/>
    <n v="0"/>
    <n v="120"/>
    <n v="0"/>
    <n v="120"/>
  </r>
  <r>
    <x v="4"/>
    <s v="NEW Red Mustang Youth T-Shirt"/>
    <s v="Youth Small"/>
    <m/>
    <n v="1"/>
    <n v="30"/>
    <n v="0"/>
    <n v="0"/>
    <n v="30"/>
    <n v="0"/>
    <n v="30"/>
  </r>
  <r>
    <x v="4"/>
    <s v="NEW Red Youth Hoodie"/>
    <s v="Youth Medium"/>
    <m/>
    <n v="0"/>
    <n v="45"/>
    <n v="0"/>
    <n v="-45"/>
    <n v="0"/>
    <n v="0"/>
    <n v="0"/>
  </r>
  <r>
    <x v="0"/>
    <s v="Pre-K CAF Fee"/>
    <s v="Default Title"/>
    <m/>
    <n v="9"/>
    <n v="180"/>
    <n v="0"/>
    <n v="0"/>
    <n v="180"/>
    <n v="0"/>
    <n v="180"/>
  </r>
  <r>
    <x v="4"/>
    <s v="Quarter Zip - Black Sweatshirt - All Sizes"/>
    <s v="Youth X-Small"/>
    <m/>
    <n v="20"/>
    <n v="680"/>
    <n v="0"/>
    <n v="0"/>
    <n v="680"/>
    <n v="0"/>
    <n v="680"/>
  </r>
  <r>
    <x v="4"/>
    <s v="Quarter Zip - Black Sweatshirt - All Sizes"/>
    <s v="Youth Small"/>
    <m/>
    <n v="19"/>
    <n v="646"/>
    <n v="0"/>
    <n v="0"/>
    <n v="646"/>
    <n v="0"/>
    <n v="646"/>
  </r>
  <r>
    <x v="4"/>
    <s v="Quarter Zip - Black Sweatshirt - All Sizes"/>
    <s v="Youth Large"/>
    <m/>
    <n v="9"/>
    <n v="306"/>
    <n v="0"/>
    <n v="0"/>
    <n v="306"/>
    <n v="0"/>
    <n v="306"/>
  </r>
  <r>
    <x v="4"/>
    <s v="Quarter Zip - Black Sweatshirt - All Sizes"/>
    <s v="Youth Medium"/>
    <m/>
    <n v="8"/>
    <n v="272"/>
    <n v="0"/>
    <n v="0"/>
    <n v="272"/>
    <n v="0"/>
    <n v="272"/>
  </r>
  <r>
    <x v="4"/>
    <s v="Quarter Zip - Black Sweatshirt - All Sizes"/>
    <s v="Adult Large"/>
    <m/>
    <n v="5"/>
    <n v="170"/>
    <n v="0"/>
    <n v="0"/>
    <n v="170"/>
    <n v="0"/>
    <n v="170"/>
  </r>
  <r>
    <x v="4"/>
    <s v="Quarter Zip - Black Sweatshirt - All Sizes"/>
    <s v="Adult Small"/>
    <m/>
    <n v="4"/>
    <n v="136"/>
    <n v="0"/>
    <n v="0"/>
    <n v="136"/>
    <n v="0"/>
    <n v="136"/>
  </r>
  <r>
    <x v="5"/>
    <s v="Race For Scholars: Blue Ribbon $125"/>
    <s v="Default Title"/>
    <m/>
    <n v="1"/>
    <n v="125"/>
    <n v="0"/>
    <n v="0"/>
    <n v="125"/>
    <n v="0"/>
    <n v="125"/>
  </r>
  <r>
    <x v="5"/>
    <s v="Race For Scholars: Gold Medal $900"/>
    <s v="Default Title"/>
    <m/>
    <n v="3"/>
    <n v="2700"/>
    <n v="0"/>
    <n v="0"/>
    <n v="2700"/>
    <n v="0"/>
    <n v="2700"/>
  </r>
  <r>
    <x v="5"/>
    <s v="Race for Scholars: Silver Medal $650"/>
    <s v="Default Title"/>
    <m/>
    <n v="1"/>
    <n v="650"/>
    <n v="0"/>
    <n v="0"/>
    <n v="650"/>
    <n v="0"/>
    <n v="650"/>
  </r>
  <r>
    <x v="6"/>
    <s v="Used Uniform: Black MoN sweatshirt with Mary logo"/>
    <s v="Default Title"/>
    <m/>
    <n v="23"/>
    <n v="230"/>
    <n v="0"/>
    <n v="0"/>
    <n v="230"/>
    <n v="0"/>
    <n v="230"/>
  </r>
  <r>
    <x v="6"/>
    <s v="Used Uniform: Boys &amp; Girls Polo Shirt w/Logo"/>
    <s v="Default Title"/>
    <m/>
    <n v="68"/>
    <n v="408"/>
    <n v="0"/>
    <n v="0"/>
    <n v="408"/>
    <n v="0"/>
    <n v="408"/>
  </r>
  <r>
    <x v="6"/>
    <s v="Used Uniform: Boys Dress Shirts"/>
    <s v="Default Title"/>
    <m/>
    <n v="34"/>
    <n v="175"/>
    <n v="0"/>
    <n v="-5"/>
    <n v="170"/>
    <n v="0"/>
    <n v="170"/>
  </r>
  <r>
    <x v="6"/>
    <s v="Used Uniform: Boys Khaki Pants"/>
    <s v="Default Title"/>
    <m/>
    <n v="19"/>
    <n v="190"/>
    <n v="0"/>
    <n v="0"/>
    <n v="190"/>
    <n v="0"/>
    <n v="190"/>
  </r>
  <r>
    <x v="6"/>
    <s v="Used Uniform: Boys Khaki shorts"/>
    <s v="Default Title"/>
    <m/>
    <n v="38"/>
    <n v="312"/>
    <n v="0"/>
    <n v="-8"/>
    <n v="304"/>
    <n v="0"/>
    <n v="304"/>
  </r>
  <r>
    <x v="6"/>
    <s v="Used Uniform: Cardigans/V-Neck Sweaters"/>
    <s v="Default Title"/>
    <m/>
    <n v="11"/>
    <n v="110"/>
    <n v="0"/>
    <n v="0"/>
    <n v="110"/>
    <n v="0"/>
    <n v="110"/>
  </r>
  <r>
    <x v="6"/>
    <s v="Used Uniform: Dirty Bucks/Saddle Shoes"/>
    <s v="Default Title"/>
    <m/>
    <n v="6"/>
    <n v="18"/>
    <n v="0"/>
    <n v="0"/>
    <n v="18"/>
    <n v="0"/>
    <n v="18"/>
  </r>
  <r>
    <x v="6"/>
    <s v="Used Uniform: Girls Khaki pants"/>
    <s v="Default Title"/>
    <m/>
    <n v="1"/>
    <n v="10"/>
    <n v="0"/>
    <n v="0"/>
    <n v="10"/>
    <n v="0"/>
    <n v="10"/>
  </r>
  <r>
    <x v="6"/>
    <s v="Used Uniform: Girls Kilts/Jumpers"/>
    <s v="Default Title"/>
    <m/>
    <n v="56"/>
    <n v="840"/>
    <n v="0"/>
    <n v="0"/>
    <n v="840"/>
    <n v="0"/>
    <n v="840"/>
  </r>
  <r>
    <x v="6"/>
    <s v="Used Uniform: Hair Accessories, Ties, Belts"/>
    <s v="Default Title"/>
    <m/>
    <n v="22"/>
    <n v="22"/>
    <n v="0"/>
    <n v="0"/>
    <n v="22"/>
    <n v="0"/>
    <n v="22"/>
  </r>
  <r>
    <x v="6"/>
    <s v="Used Uniform: Middle School Girls sweater vest"/>
    <s v="Default Title"/>
    <m/>
    <n v="7"/>
    <n v="70"/>
    <n v="0"/>
    <n v="0"/>
    <n v="70"/>
    <n v="0"/>
    <n v="70"/>
  </r>
  <r>
    <x v="6"/>
    <s v="Used Uniform: PE shorts with logo"/>
    <s v="Default Title"/>
    <m/>
    <n v="53"/>
    <n v="275"/>
    <n v="0"/>
    <n v="-10"/>
    <n v="265"/>
    <n v="0"/>
    <n v="265"/>
  </r>
  <r>
    <x v="6"/>
    <s v="Used Uniform: PE sweat pants with logo"/>
    <s v="Default Title"/>
    <m/>
    <n v="36"/>
    <n v="180"/>
    <n v="0"/>
    <n v="0"/>
    <n v="180"/>
    <n v="0"/>
    <n v="180"/>
  </r>
  <r>
    <x v="6"/>
    <s v="Used Uniform: PE sweatshirt with logo"/>
    <s v="Default Title"/>
    <m/>
    <n v="33"/>
    <n v="165"/>
    <n v="0"/>
    <n v="0"/>
    <n v="165"/>
    <n v="0"/>
    <n v="165"/>
  </r>
  <r>
    <x v="6"/>
    <s v="Used Uniform: PE T-shirt with logo"/>
    <s v="Default Title"/>
    <m/>
    <n v="52"/>
    <n v="260"/>
    <n v="0"/>
    <n v="0"/>
    <n v="260"/>
    <n v="0"/>
    <n v="2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084075-7950-45F7-82B9-358EAEAFB232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1" firstHeaderRow="0" firstDataRow="1" firstDataCol="1"/>
  <pivotFields count="11">
    <pivotField axis="axisRow" showAll="0">
      <items count="8">
        <item x="0"/>
        <item x="1"/>
        <item x="3"/>
        <item x="2"/>
        <item x="5"/>
        <item x="4"/>
        <item x="6"/>
        <item t="default"/>
      </items>
    </pivotField>
    <pivotField showAll="0"/>
    <pivotField showAll="0"/>
    <pivotField showAll="0"/>
    <pivotField dataField="1" numFmtId="43" showAll="0"/>
    <pivotField numFmtId="43" showAll="0"/>
    <pivotField numFmtId="43" showAll="0"/>
    <pivotField numFmtId="43" showAll="0"/>
    <pivotField numFmtId="43" showAll="0"/>
    <pivotField numFmtId="43" showAll="0"/>
    <pivotField dataField="1" numFmtId="43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sales" fld="10" baseField="0" baseItem="0" numFmtId="43"/>
    <dataField name="Sum of Net items sold" fld="4" baseField="0" baseItem="0" numFmtId="4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B6A8-CBAA-4FED-A141-4D659F227A10}">
  <dimension ref="A1:N96"/>
  <sheetViews>
    <sheetView tabSelected="1" zoomScale="90" zoomScaleNormal="90" workbookViewId="0">
      <pane ySplit="4" topLeftCell="A34" activePane="bottomLeft" state="frozen"/>
      <selection pane="bottomLeft" activeCell="N2" sqref="N2"/>
    </sheetView>
  </sheetViews>
  <sheetFormatPr defaultColWidth="9.1796875" defaultRowHeight="15.5" x14ac:dyDescent="0.35"/>
  <cols>
    <col min="1" max="1" width="5.26953125" style="91" customWidth="1"/>
    <col min="2" max="2" width="35.26953125" style="91" customWidth="1"/>
    <col min="3" max="5" width="15.7265625" style="91" hidden="1" customWidth="1"/>
    <col min="6" max="6" width="14.7265625" style="91" hidden="1" customWidth="1"/>
    <col min="7" max="7" width="14.26953125" style="91" hidden="1" customWidth="1"/>
    <col min="8" max="9" width="16" style="89" customWidth="1"/>
    <col min="10" max="10" width="16" style="161" customWidth="1"/>
    <col min="11" max="11" width="16" style="149" customWidth="1"/>
    <col min="12" max="12" width="56.81640625" style="91" hidden="1" customWidth="1"/>
    <col min="13" max="13" width="31.7265625" style="91" hidden="1" customWidth="1"/>
    <col min="14" max="14" width="12.26953125" style="91" bestFit="1" customWidth="1"/>
    <col min="15" max="16384" width="9.1796875" style="91"/>
  </cols>
  <sheetData>
    <row r="1" spans="1:14" ht="16.5" customHeight="1" x14ac:dyDescent="0.35">
      <c r="A1" s="184" t="s">
        <v>240</v>
      </c>
      <c r="B1" s="184"/>
      <c r="C1" s="184"/>
      <c r="D1" s="184"/>
      <c r="E1" s="184"/>
      <c r="F1" s="184"/>
      <c r="G1" s="184"/>
    </row>
    <row r="2" spans="1:14" ht="37.5" customHeight="1" x14ac:dyDescent="0.35">
      <c r="A2" s="184" t="s">
        <v>0</v>
      </c>
      <c r="B2" s="184"/>
      <c r="C2" s="184"/>
      <c r="D2" s="184"/>
      <c r="E2" s="184"/>
      <c r="F2" s="184"/>
      <c r="G2" s="184"/>
    </row>
    <row r="3" spans="1:14" ht="16" thickBot="1" x14ac:dyDescent="0.4">
      <c r="A3" s="183"/>
      <c r="B3" s="183"/>
      <c r="C3" s="183"/>
      <c r="D3" s="183"/>
      <c r="E3" s="9"/>
    </row>
    <row r="4" spans="1:14" ht="47" thickBot="1" x14ac:dyDescent="0.4">
      <c r="A4" s="1" t="s">
        <v>1</v>
      </c>
      <c r="B4" s="92"/>
      <c r="C4" s="2" t="s">
        <v>2</v>
      </c>
      <c r="D4" s="2" t="s">
        <v>3</v>
      </c>
      <c r="E4" s="16" t="s">
        <v>4</v>
      </c>
      <c r="F4" s="45" t="s">
        <v>62</v>
      </c>
      <c r="G4" s="51" t="s">
        <v>63</v>
      </c>
      <c r="H4" s="52" t="s">
        <v>68</v>
      </c>
      <c r="I4" s="16" t="s">
        <v>238</v>
      </c>
      <c r="J4" s="162" t="s">
        <v>239</v>
      </c>
      <c r="K4" s="172" t="s">
        <v>241</v>
      </c>
      <c r="L4" s="53" t="s">
        <v>71</v>
      </c>
    </row>
    <row r="5" spans="1:14" ht="31" x14ac:dyDescent="0.35">
      <c r="A5" s="24" t="s">
        <v>5</v>
      </c>
      <c r="B5" s="93"/>
      <c r="C5" s="25">
        <v>8500</v>
      </c>
      <c r="D5" s="26">
        <v>8780</v>
      </c>
      <c r="E5" s="81">
        <v>8500</v>
      </c>
      <c r="F5" s="82">
        <v>10600</v>
      </c>
      <c r="G5" s="28">
        <v>10000</v>
      </c>
      <c r="H5" s="85">
        <v>8400</v>
      </c>
      <c r="I5" s="85">
        <v>9000</v>
      </c>
      <c r="J5" s="163">
        <v>9200</v>
      </c>
      <c r="K5" s="150">
        <v>9000</v>
      </c>
      <c r="L5" s="95" t="s">
        <v>72</v>
      </c>
      <c r="N5" s="96"/>
    </row>
    <row r="6" spans="1:14" ht="31" x14ac:dyDescent="0.35">
      <c r="A6" s="24" t="s">
        <v>6</v>
      </c>
      <c r="B6" s="93"/>
      <c r="C6" s="25">
        <v>26000</v>
      </c>
      <c r="D6" s="26">
        <v>0</v>
      </c>
      <c r="E6" s="77">
        <v>25000</v>
      </c>
      <c r="F6" s="44">
        <v>36963.910000000003</v>
      </c>
      <c r="G6" s="28">
        <v>30000</v>
      </c>
      <c r="H6" s="86">
        <v>30625.39</v>
      </c>
      <c r="I6" s="86">
        <v>31000</v>
      </c>
      <c r="J6" s="164">
        <v>30195.5</v>
      </c>
      <c r="K6" s="151">
        <v>30000</v>
      </c>
      <c r="L6" s="95" t="s">
        <v>73</v>
      </c>
    </row>
    <row r="7" spans="1:14" s="48" customFormat="1" x14ac:dyDescent="0.35">
      <c r="A7" s="24" t="s">
        <v>7</v>
      </c>
      <c r="B7" s="93"/>
      <c r="C7" s="25">
        <v>11000</v>
      </c>
      <c r="D7" s="26">
        <v>0</v>
      </c>
      <c r="E7" s="27">
        <f t="shared" ref="E7:K7" si="0">SUM(E8:E14)</f>
        <v>15300</v>
      </c>
      <c r="F7" s="44">
        <f t="shared" si="0"/>
        <v>19135</v>
      </c>
      <c r="G7" s="28">
        <f t="shared" si="0"/>
        <v>22800</v>
      </c>
      <c r="H7" s="28">
        <f t="shared" si="0"/>
        <v>25383.64</v>
      </c>
      <c r="I7" s="28">
        <f t="shared" si="0"/>
        <v>26500</v>
      </c>
      <c r="J7" s="164">
        <f t="shared" si="0"/>
        <v>26107</v>
      </c>
      <c r="K7" s="151">
        <f t="shared" si="0"/>
        <v>26150</v>
      </c>
    </row>
    <row r="8" spans="1:14" x14ac:dyDescent="0.35">
      <c r="A8" s="8"/>
      <c r="B8" s="97" t="s">
        <v>8</v>
      </c>
      <c r="C8" s="12">
        <v>2800</v>
      </c>
      <c r="D8" s="10">
        <v>0</v>
      </c>
      <c r="E8" s="17">
        <v>4200</v>
      </c>
      <c r="F8" s="43">
        <v>4140</v>
      </c>
      <c r="G8" s="18">
        <v>4400</v>
      </c>
      <c r="H8" s="88">
        <v>5125</v>
      </c>
      <c r="I8" s="88">
        <v>5500</v>
      </c>
      <c r="J8" s="165">
        <f>GETPIVOTDATA("[Measures].[Sum of Total sales]",'[1]PIVOT 10.6.25'!$A$3,"[Range].[Line Item]","[Range].[Line Item].&amp;[PICN]")</f>
        <v>5675</v>
      </c>
      <c r="K8" s="152">
        <v>5800</v>
      </c>
      <c r="L8" s="95" t="s">
        <v>74</v>
      </c>
    </row>
    <row r="9" spans="1:14" x14ac:dyDescent="0.35">
      <c r="A9" s="7"/>
      <c r="B9" s="98" t="s">
        <v>248</v>
      </c>
      <c r="C9" s="12" t="s">
        <v>10</v>
      </c>
      <c r="D9" s="10">
        <v>0</v>
      </c>
      <c r="E9" s="17">
        <v>3200</v>
      </c>
      <c r="F9" s="99">
        <v>0</v>
      </c>
      <c r="G9" s="43">
        <v>3500</v>
      </c>
      <c r="H9" s="88">
        <v>4270</v>
      </c>
      <c r="I9" s="88">
        <v>4500</v>
      </c>
      <c r="J9" s="165">
        <v>4275</v>
      </c>
      <c r="K9" s="152">
        <v>4300</v>
      </c>
      <c r="L9" s="95" t="s">
        <v>75</v>
      </c>
    </row>
    <row r="10" spans="1:14" x14ac:dyDescent="0.35">
      <c r="A10" s="7"/>
      <c r="B10" s="98" t="s">
        <v>11</v>
      </c>
      <c r="C10" s="12" t="s">
        <v>10</v>
      </c>
      <c r="D10" s="10">
        <v>535</v>
      </c>
      <c r="E10" s="17">
        <v>0</v>
      </c>
      <c r="F10" s="99">
        <v>0</v>
      </c>
      <c r="G10" s="18">
        <v>0</v>
      </c>
      <c r="H10" s="88">
        <v>325</v>
      </c>
      <c r="I10" s="88">
        <v>0</v>
      </c>
      <c r="J10" s="165">
        <v>0</v>
      </c>
      <c r="K10" s="152"/>
    </row>
    <row r="11" spans="1:14" ht="31" x14ac:dyDescent="0.35">
      <c r="A11" s="15"/>
      <c r="B11" s="100" t="s">
        <v>12</v>
      </c>
      <c r="C11" s="12" t="s">
        <v>10</v>
      </c>
      <c r="D11" s="10">
        <v>980</v>
      </c>
      <c r="E11" s="17">
        <v>3300</v>
      </c>
      <c r="F11" s="43">
        <v>3885</v>
      </c>
      <c r="G11" s="18">
        <v>3500</v>
      </c>
      <c r="H11" s="88">
        <v>3920</v>
      </c>
      <c r="I11" s="88">
        <v>4000</v>
      </c>
      <c r="J11" s="165">
        <v>4060</v>
      </c>
      <c r="K11" s="152">
        <v>4000</v>
      </c>
      <c r="L11" s="95" t="s">
        <v>76</v>
      </c>
    </row>
    <row r="12" spans="1:14" x14ac:dyDescent="0.35">
      <c r="A12" s="15"/>
      <c r="B12" s="100" t="s">
        <v>66</v>
      </c>
      <c r="C12" s="101"/>
      <c r="D12" s="102"/>
      <c r="E12" s="17">
        <v>2500</v>
      </c>
      <c r="F12" s="43">
        <v>7875</v>
      </c>
      <c r="G12" s="18">
        <v>8000</v>
      </c>
      <c r="H12" s="88">
        <v>7415.64</v>
      </c>
      <c r="I12" s="88">
        <v>8000</v>
      </c>
      <c r="J12" s="165">
        <v>7720</v>
      </c>
      <c r="K12" s="152">
        <v>7800</v>
      </c>
      <c r="L12" s="95" t="s">
        <v>77</v>
      </c>
    </row>
    <row r="13" spans="1:14" ht="31" x14ac:dyDescent="0.35">
      <c r="A13" s="15"/>
      <c r="B13" s="100" t="s">
        <v>13</v>
      </c>
      <c r="C13" s="12" t="s">
        <v>10</v>
      </c>
      <c r="D13" s="10">
        <v>0</v>
      </c>
      <c r="E13" s="17">
        <v>1300</v>
      </c>
      <c r="F13" s="43">
        <v>1980</v>
      </c>
      <c r="G13" s="18">
        <v>1900</v>
      </c>
      <c r="H13" s="88">
        <v>3140</v>
      </c>
      <c r="I13" s="88">
        <v>3000</v>
      </c>
      <c r="J13" s="165">
        <v>2625</v>
      </c>
      <c r="K13" s="152">
        <v>2750</v>
      </c>
      <c r="L13" s="95" t="s">
        <v>76</v>
      </c>
    </row>
    <row r="14" spans="1:14" ht="31" x14ac:dyDescent="0.35">
      <c r="A14" s="15"/>
      <c r="B14" s="100" t="s">
        <v>14</v>
      </c>
      <c r="C14" s="12" t="s">
        <v>10</v>
      </c>
      <c r="D14" s="10">
        <v>2033.18</v>
      </c>
      <c r="E14" s="17">
        <v>800</v>
      </c>
      <c r="F14" s="43">
        <v>1255</v>
      </c>
      <c r="G14" s="18">
        <v>1500</v>
      </c>
      <c r="H14" s="88">
        <v>1188</v>
      </c>
      <c r="I14" s="88">
        <v>1500</v>
      </c>
      <c r="J14" s="165">
        <v>1752</v>
      </c>
      <c r="K14" s="152">
        <v>1500</v>
      </c>
      <c r="L14" s="95" t="s">
        <v>76</v>
      </c>
    </row>
    <row r="15" spans="1:14" ht="31" x14ac:dyDescent="0.35">
      <c r="A15" s="79" t="s">
        <v>15</v>
      </c>
      <c r="B15" s="103"/>
      <c r="C15" s="25" t="s">
        <v>10</v>
      </c>
      <c r="D15" s="75">
        <v>12775</v>
      </c>
      <c r="E15" s="76">
        <v>12000</v>
      </c>
      <c r="F15" s="44">
        <v>14955</v>
      </c>
      <c r="G15" s="44">
        <v>16000</v>
      </c>
      <c r="H15" s="86">
        <v>17910</v>
      </c>
      <c r="I15" s="86">
        <v>18000</v>
      </c>
      <c r="J15" s="164">
        <v>20760</v>
      </c>
      <c r="K15" s="151">
        <v>20000</v>
      </c>
      <c r="L15" s="95" t="s">
        <v>78</v>
      </c>
    </row>
    <row r="16" spans="1:14" x14ac:dyDescent="0.35">
      <c r="A16" s="24" t="s">
        <v>16</v>
      </c>
      <c r="B16" s="93"/>
      <c r="C16" s="25">
        <v>1000</v>
      </c>
      <c r="D16" s="75">
        <v>1743.5</v>
      </c>
      <c r="E16" s="76">
        <v>500</v>
      </c>
      <c r="F16" s="44">
        <v>340.48</v>
      </c>
      <c r="G16" s="28">
        <v>500</v>
      </c>
      <c r="H16" s="86">
        <v>22.4</v>
      </c>
      <c r="I16" s="86">
        <v>300</v>
      </c>
      <c r="J16" s="164">
        <v>0</v>
      </c>
      <c r="K16" s="151">
        <v>0</v>
      </c>
      <c r="L16" s="95" t="s">
        <v>121</v>
      </c>
    </row>
    <row r="17" spans="1:14" x14ac:dyDescent="0.35">
      <c r="A17" s="24" t="s">
        <v>17</v>
      </c>
      <c r="B17" s="93"/>
      <c r="C17" s="25">
        <v>7000</v>
      </c>
      <c r="D17" s="26">
        <v>7114.05</v>
      </c>
      <c r="E17" s="27">
        <v>7000</v>
      </c>
      <c r="F17" s="44">
        <v>7225</v>
      </c>
      <c r="G17" s="28">
        <v>7200</v>
      </c>
      <c r="H17" s="86">
        <v>5700</v>
      </c>
      <c r="I17" s="86">
        <v>6500</v>
      </c>
      <c r="J17" s="164">
        <v>7075</v>
      </c>
      <c r="K17" s="151">
        <v>6800</v>
      </c>
      <c r="L17" s="95" t="s">
        <v>79</v>
      </c>
    </row>
    <row r="18" spans="1:14" x14ac:dyDescent="0.35">
      <c r="A18" s="182" t="s">
        <v>18</v>
      </c>
      <c r="B18" s="182"/>
      <c r="C18" s="25">
        <v>2000</v>
      </c>
      <c r="D18" s="26">
        <v>0</v>
      </c>
      <c r="E18" s="27">
        <v>0</v>
      </c>
      <c r="F18" s="74"/>
      <c r="G18" s="74"/>
      <c r="H18" s="28"/>
      <c r="I18" s="28"/>
      <c r="J18" s="164"/>
      <c r="K18" s="151"/>
    </row>
    <row r="19" spans="1:14" x14ac:dyDescent="0.35">
      <c r="A19" s="7"/>
      <c r="B19" s="98" t="s">
        <v>19</v>
      </c>
      <c r="C19" s="12" t="s">
        <v>10</v>
      </c>
      <c r="D19" s="10">
        <v>0</v>
      </c>
      <c r="E19" s="17">
        <v>0</v>
      </c>
      <c r="F19" s="43">
        <v>0</v>
      </c>
      <c r="G19" s="18">
        <v>0</v>
      </c>
      <c r="H19" s="18">
        <v>0</v>
      </c>
      <c r="I19" s="18">
        <v>0</v>
      </c>
      <c r="J19" s="165">
        <v>0</v>
      </c>
      <c r="K19" s="152">
        <v>0</v>
      </c>
    </row>
    <row r="20" spans="1:14" x14ac:dyDescent="0.35">
      <c r="A20" s="7"/>
      <c r="B20" s="98" t="s">
        <v>20</v>
      </c>
      <c r="C20" s="12" t="s">
        <v>10</v>
      </c>
      <c r="D20" s="10">
        <v>0</v>
      </c>
      <c r="E20" s="17">
        <v>0</v>
      </c>
      <c r="F20" s="43">
        <v>0</v>
      </c>
      <c r="G20" s="18">
        <v>0</v>
      </c>
      <c r="H20" s="18">
        <v>0</v>
      </c>
      <c r="I20" s="18">
        <v>0</v>
      </c>
      <c r="J20" s="165">
        <v>0</v>
      </c>
      <c r="K20" s="152">
        <v>0</v>
      </c>
    </row>
    <row r="21" spans="1:14" ht="31" x14ac:dyDescent="0.35">
      <c r="A21" s="24" t="s">
        <v>21</v>
      </c>
      <c r="B21" s="93"/>
      <c r="C21" s="25">
        <v>15000</v>
      </c>
      <c r="D21" s="26">
        <v>24110</v>
      </c>
      <c r="E21" s="27">
        <v>20000</v>
      </c>
      <c r="F21" s="44">
        <v>24605</v>
      </c>
      <c r="G21" s="28">
        <v>25000</v>
      </c>
      <c r="H21" s="86">
        <v>27700</v>
      </c>
      <c r="I21" s="86">
        <v>28500</v>
      </c>
      <c r="J21" s="164">
        <v>37415</v>
      </c>
      <c r="K21" s="151">
        <v>30000</v>
      </c>
      <c r="L21" s="95" t="s">
        <v>80</v>
      </c>
    </row>
    <row r="22" spans="1:14" ht="46.5" x14ac:dyDescent="0.35">
      <c r="A22" s="24" t="s">
        <v>22</v>
      </c>
      <c r="B22" s="93"/>
      <c r="C22" s="25">
        <v>2000</v>
      </c>
      <c r="D22" s="26">
        <v>4008.12</v>
      </c>
      <c r="E22" s="27">
        <v>3000</v>
      </c>
      <c r="F22" s="44">
        <v>4318.84</v>
      </c>
      <c r="G22" s="28">
        <v>4000</v>
      </c>
      <c r="H22" s="86">
        <v>4303.0600000000004</v>
      </c>
      <c r="I22" s="86">
        <v>4500</v>
      </c>
      <c r="J22" s="164">
        <v>4339.13</v>
      </c>
      <c r="K22" s="151">
        <v>4000</v>
      </c>
      <c r="L22" s="95" t="s">
        <v>81</v>
      </c>
    </row>
    <row r="23" spans="1:14" ht="31" x14ac:dyDescent="0.35">
      <c r="A23" s="73" t="s">
        <v>23</v>
      </c>
      <c r="B23" s="80"/>
      <c r="C23" s="25">
        <v>1700</v>
      </c>
      <c r="D23" s="26">
        <v>782</v>
      </c>
      <c r="E23" s="27">
        <v>1000</v>
      </c>
      <c r="F23" s="44">
        <v>1670.26</v>
      </c>
      <c r="G23" s="28">
        <v>1200</v>
      </c>
      <c r="H23" s="86">
        <v>1327.28</v>
      </c>
      <c r="I23" s="86">
        <v>1300</v>
      </c>
      <c r="J23" s="164">
        <v>0</v>
      </c>
      <c r="K23" s="151">
        <v>0</v>
      </c>
      <c r="L23" s="95" t="s">
        <v>82</v>
      </c>
      <c r="M23" s="135"/>
    </row>
    <row r="24" spans="1:14" x14ac:dyDescent="0.35">
      <c r="A24" s="73" t="s">
        <v>24</v>
      </c>
      <c r="B24" s="80"/>
      <c r="C24" s="25">
        <v>1500</v>
      </c>
      <c r="D24" s="26">
        <v>0</v>
      </c>
      <c r="E24" s="27">
        <v>0</v>
      </c>
      <c r="F24" s="74"/>
      <c r="G24" s="74"/>
      <c r="H24" s="28"/>
      <c r="I24" s="28"/>
      <c r="J24" s="164"/>
      <c r="K24" s="151"/>
    </row>
    <row r="25" spans="1:14" x14ac:dyDescent="0.35">
      <c r="A25" s="24" t="s">
        <v>25</v>
      </c>
      <c r="B25" s="93"/>
      <c r="C25" s="25">
        <v>9000</v>
      </c>
      <c r="D25" s="26">
        <v>12361.86</v>
      </c>
      <c r="E25" s="27">
        <v>10000</v>
      </c>
      <c r="F25" s="44">
        <v>13258</v>
      </c>
      <c r="G25" s="28">
        <v>13000</v>
      </c>
      <c r="H25" s="86">
        <v>12747.41</v>
      </c>
      <c r="I25" s="86">
        <v>13000</v>
      </c>
      <c r="J25" s="164">
        <v>14012</v>
      </c>
      <c r="K25" s="151">
        <v>13000</v>
      </c>
      <c r="L25" s="95" t="s">
        <v>83</v>
      </c>
    </row>
    <row r="26" spans="1:14" ht="31" x14ac:dyDescent="0.35">
      <c r="A26" s="24" t="s">
        <v>26</v>
      </c>
      <c r="B26" s="93"/>
      <c r="C26" s="25">
        <v>60000</v>
      </c>
      <c r="D26" s="75">
        <v>49877</v>
      </c>
      <c r="E26" s="76">
        <v>50000</v>
      </c>
      <c r="F26" s="44">
        <v>77266.52</v>
      </c>
      <c r="G26" s="44">
        <v>70000</v>
      </c>
      <c r="H26" s="86">
        <v>88420.25</v>
      </c>
      <c r="I26" s="86">
        <v>90000</v>
      </c>
      <c r="J26" s="164">
        <v>88384</v>
      </c>
      <c r="K26" s="151">
        <v>90000</v>
      </c>
      <c r="L26" s="95" t="s">
        <v>84</v>
      </c>
    </row>
    <row r="27" spans="1:14" ht="46.5" x14ac:dyDescent="0.35">
      <c r="A27" s="73" t="s">
        <v>27</v>
      </c>
      <c r="B27" s="80"/>
      <c r="C27" s="25">
        <v>5000</v>
      </c>
      <c r="D27" s="26">
        <v>13803</v>
      </c>
      <c r="E27" s="77">
        <v>9000</v>
      </c>
      <c r="F27" s="44">
        <v>7311</v>
      </c>
      <c r="G27" s="28">
        <v>7000</v>
      </c>
      <c r="H27" s="86">
        <v>6493.5</v>
      </c>
      <c r="I27" s="86">
        <v>7000</v>
      </c>
      <c r="J27" s="164">
        <v>9464</v>
      </c>
      <c r="K27" s="151">
        <v>8500</v>
      </c>
      <c r="L27" s="95" t="s">
        <v>85</v>
      </c>
    </row>
    <row r="28" spans="1:14" ht="16" thickBot="1" x14ac:dyDescent="0.4">
      <c r="A28" s="78" t="s">
        <v>28</v>
      </c>
      <c r="B28" s="104"/>
      <c r="C28" s="64" t="s">
        <v>10</v>
      </c>
      <c r="D28" s="65">
        <v>0</v>
      </c>
      <c r="E28" s="66">
        <v>0</v>
      </c>
      <c r="F28" s="67"/>
      <c r="G28" s="67"/>
      <c r="H28" s="105"/>
      <c r="I28" s="105"/>
      <c r="J28" s="166"/>
      <c r="K28" s="153"/>
    </row>
    <row r="29" spans="1:14" s="48" customFormat="1" ht="16" thickBot="1" x14ac:dyDescent="0.4">
      <c r="A29" s="107"/>
      <c r="B29" s="61" t="s">
        <v>29</v>
      </c>
      <c r="C29" s="62">
        <v>152500</v>
      </c>
      <c r="D29" s="62">
        <f>SUM(D5:D28)</f>
        <v>138902.71000000002</v>
      </c>
      <c r="E29" s="63">
        <f>SUM(E5:E28)-E7</f>
        <v>161300</v>
      </c>
      <c r="F29" s="23">
        <f>F5+F6+F7+F15+F16+F17+F21+F22+F23+F25+F26+F27</f>
        <v>217649.01</v>
      </c>
      <c r="G29" s="23">
        <f>G5+G6+G7+G15+G16+G17+G21+G22+G23+G25+G26+G27</f>
        <v>206700</v>
      </c>
      <c r="H29" s="23">
        <f>H5+H6+H7+H15+H16+H17+H21+H22+H23+H25+H26+H27</f>
        <v>229032.93</v>
      </c>
      <c r="I29" s="23">
        <f>I5+I6+I7+I15+I16+I17+I21+I22+I23+I25+I26+I27</f>
        <v>235600</v>
      </c>
      <c r="J29" s="167">
        <f t="shared" ref="J29:K29" si="1">J5+J6+J7+J15+J16+J17+J21+J22+J23+J25+J26+J27</f>
        <v>246951.63</v>
      </c>
      <c r="K29" s="154">
        <f t="shared" si="1"/>
        <v>237450</v>
      </c>
      <c r="N29" s="49"/>
    </row>
    <row r="30" spans="1:14" ht="16" thickBot="1" x14ac:dyDescent="0.4">
      <c r="A30" s="108"/>
      <c r="B30" s="108"/>
      <c r="C30" s="108"/>
      <c r="D30" s="108"/>
    </row>
    <row r="31" spans="1:14" ht="47" thickBot="1" x14ac:dyDescent="0.4">
      <c r="A31" s="1" t="s">
        <v>30</v>
      </c>
      <c r="B31" s="109"/>
      <c r="C31" s="3" t="s">
        <v>2</v>
      </c>
      <c r="D31" s="3" t="s">
        <v>3</v>
      </c>
      <c r="E31" s="46" t="s">
        <v>4</v>
      </c>
      <c r="F31" s="47" t="s">
        <v>62</v>
      </c>
      <c r="G31" s="51" t="s">
        <v>63</v>
      </c>
      <c r="H31" s="52" t="s">
        <v>68</v>
      </c>
      <c r="I31" s="16" t="s">
        <v>238</v>
      </c>
      <c r="J31" s="162" t="s">
        <v>239</v>
      </c>
      <c r="K31" s="172" t="s">
        <v>241</v>
      </c>
      <c r="L31" s="54" t="s">
        <v>71</v>
      </c>
    </row>
    <row r="32" spans="1:14" x14ac:dyDescent="0.35">
      <c r="A32" s="83" t="s">
        <v>31</v>
      </c>
      <c r="B32" s="80"/>
      <c r="C32" s="32">
        <v>-100</v>
      </c>
      <c r="D32" s="33">
        <v>0</v>
      </c>
      <c r="E32" s="84">
        <v>-100</v>
      </c>
      <c r="F32" s="44">
        <v>0</v>
      </c>
      <c r="G32" s="28">
        <v>-100</v>
      </c>
      <c r="H32" s="110">
        <v>0</v>
      </c>
      <c r="I32" s="110">
        <v>0</v>
      </c>
      <c r="J32" s="174">
        <v>-34.299999999999997</v>
      </c>
      <c r="K32" s="150">
        <v>0</v>
      </c>
      <c r="L32" s="95" t="s">
        <v>86</v>
      </c>
      <c r="N32" s="129"/>
    </row>
    <row r="33" spans="1:14" x14ac:dyDescent="0.35">
      <c r="A33" s="20" t="s">
        <v>5</v>
      </c>
      <c r="B33" s="80"/>
      <c r="C33" s="32">
        <v>-8500</v>
      </c>
      <c r="D33" s="33">
        <v>-4894.6899999999996</v>
      </c>
      <c r="E33" s="84">
        <v>-8500</v>
      </c>
      <c r="F33" s="44">
        <v>-11017.27</v>
      </c>
      <c r="G33" s="28">
        <v>-10000</v>
      </c>
      <c r="H33" s="86">
        <v>-5549.46</v>
      </c>
      <c r="I33" s="86">
        <v>-7000</v>
      </c>
      <c r="J33" s="174">
        <v>-6237.19</v>
      </c>
      <c r="K33" s="151">
        <v>-7000</v>
      </c>
      <c r="L33" s="95" t="s">
        <v>87</v>
      </c>
      <c r="N33" s="129"/>
    </row>
    <row r="34" spans="1:14" x14ac:dyDescent="0.35">
      <c r="A34" s="20" t="s">
        <v>32</v>
      </c>
      <c r="B34" s="80"/>
      <c r="C34" s="32">
        <v>-100</v>
      </c>
      <c r="D34" s="33">
        <v>0</v>
      </c>
      <c r="E34" s="84">
        <v>-100</v>
      </c>
      <c r="F34" s="44"/>
      <c r="G34" s="28">
        <v>-100</v>
      </c>
      <c r="H34" s="86">
        <v>0</v>
      </c>
      <c r="I34" s="86">
        <v>0</v>
      </c>
      <c r="J34" s="174">
        <v>0</v>
      </c>
      <c r="K34" s="151">
        <v>0</v>
      </c>
      <c r="L34" s="95"/>
      <c r="N34" s="129"/>
    </row>
    <row r="35" spans="1:14" x14ac:dyDescent="0.35">
      <c r="A35" s="20" t="s">
        <v>33</v>
      </c>
      <c r="B35" s="80"/>
      <c r="C35" s="32">
        <v>-5000</v>
      </c>
      <c r="D35" s="33">
        <v>-5000</v>
      </c>
      <c r="E35" s="84">
        <v>-5000</v>
      </c>
      <c r="F35" s="44"/>
      <c r="G35" s="44">
        <v>-5000</v>
      </c>
      <c r="H35" s="86">
        <v>-10000</v>
      </c>
      <c r="I35" s="86">
        <v>-5000</v>
      </c>
      <c r="J35" s="174">
        <v>-5000</v>
      </c>
      <c r="K35" s="151">
        <v>-5000</v>
      </c>
      <c r="L35" s="95" t="s">
        <v>88</v>
      </c>
      <c r="N35" s="129"/>
    </row>
    <row r="36" spans="1:14" ht="46.5" x14ac:dyDescent="0.35">
      <c r="A36" s="20" t="s">
        <v>6</v>
      </c>
      <c r="B36" s="80"/>
      <c r="C36" s="32">
        <v>-26000</v>
      </c>
      <c r="D36" s="33">
        <v>0</v>
      </c>
      <c r="E36" s="84">
        <v>-25000</v>
      </c>
      <c r="F36" s="44">
        <v>-37416.239999999998</v>
      </c>
      <c r="G36" s="28">
        <v>-30000</v>
      </c>
      <c r="H36" s="86">
        <v>-31512.91</v>
      </c>
      <c r="I36" s="86">
        <v>-32000</v>
      </c>
      <c r="J36" s="174">
        <v>-28226.54</v>
      </c>
      <c r="K36" s="151">
        <f>-K6</f>
        <v>-30000</v>
      </c>
      <c r="L36" s="95" t="s">
        <v>89</v>
      </c>
      <c r="N36" s="129"/>
    </row>
    <row r="37" spans="1:14" s="48" customFormat="1" x14ac:dyDescent="0.35">
      <c r="A37" s="20" t="s">
        <v>7</v>
      </c>
      <c r="B37" s="111"/>
      <c r="C37" s="21">
        <v>-10050</v>
      </c>
      <c r="D37" s="22">
        <f t="shared" ref="D37:E37" si="2">SUM(D38:D44)</f>
        <v>-3463.53</v>
      </c>
      <c r="E37" s="35">
        <f t="shared" si="2"/>
        <v>-12000</v>
      </c>
      <c r="F37" s="39">
        <f t="shared" ref="F37:K37" si="3">SUM(F38:F44)</f>
        <v>-18376.47</v>
      </c>
      <c r="G37" s="39">
        <f t="shared" si="3"/>
        <v>-17700</v>
      </c>
      <c r="H37" s="28">
        <f t="shared" si="3"/>
        <v>-20318.39</v>
      </c>
      <c r="I37" s="28">
        <f t="shared" si="3"/>
        <v>-21300</v>
      </c>
      <c r="J37" s="164">
        <f t="shared" si="3"/>
        <v>-20383.233</v>
      </c>
      <c r="K37" s="151">
        <f t="shared" si="3"/>
        <v>-22900</v>
      </c>
      <c r="L37" s="14"/>
      <c r="N37" s="129"/>
    </row>
    <row r="38" spans="1:14" ht="31" x14ac:dyDescent="0.35">
      <c r="A38" s="112"/>
      <c r="B38" s="113" t="s">
        <v>34</v>
      </c>
      <c r="C38" s="4">
        <v>-2000</v>
      </c>
      <c r="D38" s="5">
        <v>0</v>
      </c>
      <c r="E38" s="34">
        <v>-2200</v>
      </c>
      <c r="F38" s="43">
        <v>-2210.8000000000002</v>
      </c>
      <c r="G38" s="18">
        <v>-2200</v>
      </c>
      <c r="H38" s="88">
        <v>-2126.9499999999998</v>
      </c>
      <c r="I38" s="88">
        <v>-2300</v>
      </c>
      <c r="J38" s="174">
        <v>-2381.62</v>
      </c>
      <c r="K38" s="152">
        <v>-2700</v>
      </c>
      <c r="L38" s="95" t="s">
        <v>90</v>
      </c>
      <c r="N38" s="129"/>
    </row>
    <row r="39" spans="1:14" ht="31" x14ac:dyDescent="0.35">
      <c r="A39" s="7"/>
      <c r="B39" s="98" t="s">
        <v>9</v>
      </c>
      <c r="C39" s="5">
        <v>-500</v>
      </c>
      <c r="D39" s="5">
        <v>-547.47</v>
      </c>
      <c r="E39" s="34">
        <v>-2500</v>
      </c>
      <c r="F39" s="43">
        <v>-2120.71</v>
      </c>
      <c r="G39" s="43">
        <v>-3500</v>
      </c>
      <c r="H39" s="88">
        <v>-3472.16</v>
      </c>
      <c r="I39" s="88">
        <v>-3200</v>
      </c>
      <c r="J39" s="174">
        <v>-3751.18</v>
      </c>
      <c r="K39" s="152">
        <v>-4500</v>
      </c>
      <c r="L39" s="95" t="s">
        <v>115</v>
      </c>
      <c r="N39" s="129"/>
    </row>
    <row r="40" spans="1:14" x14ac:dyDescent="0.35">
      <c r="A40" s="7"/>
      <c r="B40" s="98" t="s">
        <v>11</v>
      </c>
      <c r="C40" s="5">
        <v>0</v>
      </c>
      <c r="D40" s="5">
        <v>-680.08</v>
      </c>
      <c r="E40" s="36">
        <v>-500</v>
      </c>
      <c r="F40" s="19"/>
      <c r="G40" s="19"/>
      <c r="H40" s="88">
        <v>-12.85</v>
      </c>
      <c r="I40" s="88">
        <v>-300</v>
      </c>
      <c r="J40" s="174">
        <v>-94.94</v>
      </c>
      <c r="K40" s="152">
        <v>-300</v>
      </c>
      <c r="N40" s="129"/>
    </row>
    <row r="41" spans="1:14" x14ac:dyDescent="0.35">
      <c r="A41" s="7"/>
      <c r="B41" s="98" t="s">
        <v>12</v>
      </c>
      <c r="C41" s="5">
        <v>0</v>
      </c>
      <c r="D41" s="5">
        <v>-1260.5999999999999</v>
      </c>
      <c r="E41" s="36">
        <v>-3000</v>
      </c>
      <c r="F41" s="43">
        <v>-4137.1499999999996</v>
      </c>
      <c r="G41" s="18">
        <v>-3000</v>
      </c>
      <c r="H41" s="88">
        <v>-4720.75</v>
      </c>
      <c r="I41" s="88">
        <v>-5250</v>
      </c>
      <c r="J41" s="174">
        <v>-5356.63</v>
      </c>
      <c r="K41" s="152">
        <v>-5500</v>
      </c>
      <c r="L41" s="95" t="s">
        <v>91</v>
      </c>
      <c r="N41" s="129"/>
    </row>
    <row r="42" spans="1:14" ht="31" x14ac:dyDescent="0.35">
      <c r="A42" s="15"/>
      <c r="B42" s="100" t="s">
        <v>120</v>
      </c>
      <c r="C42" s="114"/>
      <c r="D42" s="114"/>
      <c r="E42" s="36">
        <v>-2500</v>
      </c>
      <c r="F42" s="43">
        <v>-8504.5</v>
      </c>
      <c r="G42" s="18">
        <v>-7500</v>
      </c>
      <c r="H42" s="88">
        <v>-7768.15</v>
      </c>
      <c r="I42" s="88">
        <v>-8000</v>
      </c>
      <c r="J42" s="174">
        <v>-6857.88</v>
      </c>
      <c r="K42" s="152">
        <v>-7500</v>
      </c>
      <c r="L42" s="95" t="s">
        <v>92</v>
      </c>
      <c r="N42" s="129"/>
    </row>
    <row r="43" spans="1:14" ht="31" x14ac:dyDescent="0.35">
      <c r="A43" s="15"/>
      <c r="B43" s="100" t="s">
        <v>13</v>
      </c>
      <c r="C43" s="5">
        <v>0</v>
      </c>
      <c r="D43" s="5">
        <v>0</v>
      </c>
      <c r="E43" s="36">
        <v>-450</v>
      </c>
      <c r="F43" s="43">
        <v>-153.19999999999999</v>
      </c>
      <c r="G43" s="18">
        <v>-500</v>
      </c>
      <c r="H43" s="88">
        <v>-537.77</v>
      </c>
      <c r="I43" s="88">
        <v>-500</v>
      </c>
      <c r="J43" s="174">
        <v>-78.153000000000006</v>
      </c>
      <c r="K43" s="152">
        <v>-500</v>
      </c>
      <c r="L43" s="95" t="s">
        <v>93</v>
      </c>
      <c r="N43" s="129"/>
    </row>
    <row r="44" spans="1:14" ht="31" x14ac:dyDescent="0.35">
      <c r="A44" s="15"/>
      <c r="B44" s="100" t="s">
        <v>14</v>
      </c>
      <c r="C44" s="5">
        <v>0</v>
      </c>
      <c r="D44" s="5">
        <v>-975.38</v>
      </c>
      <c r="E44" s="36">
        <v>-850</v>
      </c>
      <c r="F44" s="43">
        <v>-1250.1099999999999</v>
      </c>
      <c r="G44" s="18">
        <v>-1000</v>
      </c>
      <c r="H44" s="88">
        <v>-1679.76</v>
      </c>
      <c r="I44" s="88">
        <v>-1750</v>
      </c>
      <c r="J44" s="174">
        <v>-1862.83</v>
      </c>
      <c r="K44" s="152">
        <v>-1900</v>
      </c>
      <c r="L44" s="95" t="s">
        <v>94</v>
      </c>
      <c r="N44" s="129"/>
    </row>
    <row r="45" spans="1:14" x14ac:dyDescent="0.35">
      <c r="A45" s="79" t="s">
        <v>15</v>
      </c>
      <c r="B45" s="115"/>
      <c r="C45" s="32">
        <v>0</v>
      </c>
      <c r="D45" s="33">
        <v>-9742.85</v>
      </c>
      <c r="E45" s="38">
        <v>-10000</v>
      </c>
      <c r="F45" s="44">
        <v>-9467.9500000000007</v>
      </c>
      <c r="G45" s="44">
        <v>-9500</v>
      </c>
      <c r="H45" s="87">
        <v>-25108.98</v>
      </c>
      <c r="I45" s="87">
        <v>-15000</v>
      </c>
      <c r="J45" s="174">
        <v>-15955.65</v>
      </c>
      <c r="K45" s="155">
        <v>-16000</v>
      </c>
      <c r="L45" s="95" t="s">
        <v>116</v>
      </c>
      <c r="N45" s="129"/>
    </row>
    <row r="46" spans="1:14" s="48" customFormat="1" x14ac:dyDescent="0.35">
      <c r="A46" s="29" t="s">
        <v>35</v>
      </c>
      <c r="B46" s="93"/>
      <c r="C46" s="30">
        <f t="shared" ref="C46:D46" si="4">SUM(C47:C58)</f>
        <v>-10200</v>
      </c>
      <c r="D46" s="30">
        <f t="shared" si="4"/>
        <v>-11278.939999999999</v>
      </c>
      <c r="E46" s="37">
        <f t="shared" ref="E46" si="5">SUM(E47:E58)</f>
        <v>-13250</v>
      </c>
      <c r="F46" s="39">
        <f t="shared" ref="F46:K46" si="6">SUM(F47:F58)</f>
        <v>-15624.000000000002</v>
      </c>
      <c r="G46" s="39">
        <f t="shared" si="6"/>
        <v>-17300</v>
      </c>
      <c r="H46" s="28">
        <f t="shared" si="6"/>
        <v>-18340.330000000002</v>
      </c>
      <c r="I46" s="28">
        <f t="shared" si="6"/>
        <v>-19250</v>
      </c>
      <c r="J46" s="164">
        <f t="shared" si="6"/>
        <v>-20206.099999999999</v>
      </c>
      <c r="K46" s="151">
        <f t="shared" si="6"/>
        <v>-26050</v>
      </c>
      <c r="N46" s="129"/>
    </row>
    <row r="47" spans="1:14" ht="31" x14ac:dyDescent="0.35">
      <c r="A47" s="6"/>
      <c r="B47" s="97" t="s">
        <v>123</v>
      </c>
      <c r="C47" s="4">
        <v>-3000</v>
      </c>
      <c r="D47" s="5">
        <v>-5785.66</v>
      </c>
      <c r="E47" s="36">
        <v>-4000</v>
      </c>
      <c r="F47" s="43">
        <v>-2023.43</v>
      </c>
      <c r="G47" s="43">
        <v>-2000</v>
      </c>
      <c r="H47" s="116">
        <v>-2489.66</v>
      </c>
      <c r="I47" s="116">
        <v>-2200</v>
      </c>
      <c r="J47" s="174">
        <v>-2301.35</v>
      </c>
      <c r="K47" s="156">
        <v>-2500</v>
      </c>
      <c r="L47" s="95" t="s">
        <v>95</v>
      </c>
      <c r="N47" s="129"/>
    </row>
    <row r="48" spans="1:14" ht="31" x14ac:dyDescent="0.35">
      <c r="A48" s="6"/>
      <c r="B48" s="95" t="s">
        <v>124</v>
      </c>
      <c r="C48" s="4"/>
      <c r="D48" s="5"/>
      <c r="E48" s="36">
        <v>0</v>
      </c>
      <c r="F48" s="43">
        <v>-1400</v>
      </c>
      <c r="G48" s="43">
        <v>-1400</v>
      </c>
      <c r="H48" s="116">
        <v>-1400</v>
      </c>
      <c r="I48" s="116">
        <v>-1800</v>
      </c>
      <c r="J48" s="174">
        <v>-2316.75</v>
      </c>
      <c r="K48" s="156">
        <v>-2500</v>
      </c>
      <c r="L48" s="95" t="s">
        <v>122</v>
      </c>
      <c r="M48" s="96"/>
      <c r="N48" s="129"/>
    </row>
    <row r="49" spans="1:14" x14ac:dyDescent="0.35">
      <c r="A49" s="175"/>
      <c r="B49" s="97" t="s">
        <v>243</v>
      </c>
      <c r="C49" s="4"/>
      <c r="D49" s="5"/>
      <c r="E49" s="36">
        <v>0</v>
      </c>
      <c r="F49" s="43">
        <v>0</v>
      </c>
      <c r="G49" s="43">
        <v>0</v>
      </c>
      <c r="H49" s="116">
        <v>0</v>
      </c>
      <c r="I49" s="116">
        <v>0</v>
      </c>
      <c r="J49" s="174">
        <v>0</v>
      </c>
      <c r="K49" s="156">
        <v>-5000</v>
      </c>
      <c r="L49" s="95"/>
      <c r="M49" s="96"/>
      <c r="N49" s="129"/>
    </row>
    <row r="50" spans="1:14" x14ac:dyDescent="0.35">
      <c r="A50" s="6"/>
      <c r="B50" s="97" t="s">
        <v>36</v>
      </c>
      <c r="C50" s="4">
        <v>-2500</v>
      </c>
      <c r="D50" s="5">
        <v>-2095.58</v>
      </c>
      <c r="E50" s="36">
        <v>-2250</v>
      </c>
      <c r="F50" s="43">
        <v>-2408.64</v>
      </c>
      <c r="G50" s="18">
        <v>-2250</v>
      </c>
      <c r="H50" s="88">
        <v>-2493.5300000000002</v>
      </c>
      <c r="I50" s="88">
        <v>-2750</v>
      </c>
      <c r="J50" s="174">
        <v>-2732.12</v>
      </c>
      <c r="K50" s="152">
        <v>-2750</v>
      </c>
      <c r="L50" s="95" t="s">
        <v>96</v>
      </c>
      <c r="M50" s="136" t="s">
        <v>244</v>
      </c>
      <c r="N50" s="129"/>
    </row>
    <row r="51" spans="1:14" x14ac:dyDescent="0.35">
      <c r="A51" s="6"/>
      <c r="B51" s="97" t="s">
        <v>37</v>
      </c>
      <c r="C51" s="4">
        <v>0</v>
      </c>
      <c r="D51" s="5">
        <v>-1090</v>
      </c>
      <c r="E51" s="36">
        <v>-2000</v>
      </c>
      <c r="F51" s="43">
        <v>-270.42</v>
      </c>
      <c r="G51" s="43">
        <v>-2000</v>
      </c>
      <c r="H51" s="88">
        <v>0</v>
      </c>
      <c r="I51" s="88">
        <v>0</v>
      </c>
      <c r="J51" s="174">
        <v>0</v>
      </c>
      <c r="K51" s="152"/>
      <c r="L51" s="95" t="s">
        <v>97</v>
      </c>
      <c r="N51" s="129"/>
    </row>
    <row r="52" spans="1:14" x14ac:dyDescent="0.35">
      <c r="A52" s="6"/>
      <c r="B52" s="97" t="s">
        <v>38</v>
      </c>
      <c r="C52" s="4">
        <v>-1700</v>
      </c>
      <c r="D52" s="5">
        <v>0</v>
      </c>
      <c r="E52" s="36">
        <v>-1800</v>
      </c>
      <c r="F52" s="43">
        <v>-6284.39</v>
      </c>
      <c r="G52" s="43">
        <v>-6000</v>
      </c>
      <c r="H52" s="88">
        <v>-9253.0400000000009</v>
      </c>
      <c r="I52" s="88">
        <v>-9500</v>
      </c>
      <c r="J52" s="174">
        <v>-9258.92</v>
      </c>
      <c r="K52" s="152">
        <v>-9500</v>
      </c>
      <c r="L52" s="95" t="s">
        <v>98</v>
      </c>
      <c r="M52" s="136" t="s">
        <v>256</v>
      </c>
      <c r="N52" s="129"/>
    </row>
    <row r="53" spans="1:14" x14ac:dyDescent="0.35">
      <c r="A53" s="6"/>
      <c r="B53" s="97" t="s">
        <v>39</v>
      </c>
      <c r="C53" s="4">
        <v>-600</v>
      </c>
      <c r="D53" s="5">
        <v>-107.06</v>
      </c>
      <c r="E53" s="36">
        <v>-200</v>
      </c>
      <c r="F53" s="43">
        <v>-150</v>
      </c>
      <c r="G53" s="18">
        <v>-200</v>
      </c>
      <c r="H53" s="88">
        <v>0</v>
      </c>
      <c r="I53" s="88">
        <v>0</v>
      </c>
      <c r="J53" s="174">
        <v>0</v>
      </c>
      <c r="K53" s="152"/>
      <c r="L53" s="95" t="s">
        <v>99</v>
      </c>
      <c r="N53" s="129"/>
    </row>
    <row r="54" spans="1:14" x14ac:dyDescent="0.35">
      <c r="A54" s="6"/>
      <c r="B54" s="97" t="s">
        <v>40</v>
      </c>
      <c r="C54" s="4">
        <v>-500</v>
      </c>
      <c r="D54" s="5">
        <v>-427.82</v>
      </c>
      <c r="E54" s="36">
        <v>-300</v>
      </c>
      <c r="F54" s="43">
        <v>-303.86</v>
      </c>
      <c r="G54" s="18">
        <v>-500</v>
      </c>
      <c r="H54" s="88">
        <v>-631.78</v>
      </c>
      <c r="I54" s="88">
        <v>-750</v>
      </c>
      <c r="J54" s="174">
        <v>-758.14</v>
      </c>
      <c r="K54" s="152">
        <v>-800</v>
      </c>
      <c r="L54" s="95" t="s">
        <v>100</v>
      </c>
      <c r="N54" s="129"/>
    </row>
    <row r="55" spans="1:14" x14ac:dyDescent="0.35">
      <c r="A55" s="6"/>
      <c r="B55" s="97" t="s">
        <v>41</v>
      </c>
      <c r="C55" s="4">
        <v>-1600</v>
      </c>
      <c r="D55" s="5">
        <v>-1642.11</v>
      </c>
      <c r="E55" s="36">
        <v>-1750</v>
      </c>
      <c r="F55" s="43">
        <v>-1775.76</v>
      </c>
      <c r="G55" s="18">
        <v>-1750</v>
      </c>
      <c r="H55" s="88">
        <v>-2072.3200000000002</v>
      </c>
      <c r="I55" s="88">
        <v>-2250</v>
      </c>
      <c r="J55" s="174">
        <v>-2838.82</v>
      </c>
      <c r="K55" s="152">
        <v>-3000</v>
      </c>
      <c r="L55" s="95" t="s">
        <v>101</v>
      </c>
      <c r="N55" s="129"/>
    </row>
    <row r="56" spans="1:14" x14ac:dyDescent="0.35">
      <c r="A56" s="6"/>
      <c r="B56" s="97" t="s">
        <v>42</v>
      </c>
      <c r="C56" s="4" t="s">
        <v>10</v>
      </c>
      <c r="D56" s="5">
        <v>0</v>
      </c>
      <c r="E56" s="36">
        <v>-100</v>
      </c>
      <c r="F56" s="43">
        <v>0</v>
      </c>
      <c r="G56" s="18">
        <v>-100</v>
      </c>
      <c r="H56" s="88">
        <v>0</v>
      </c>
      <c r="I56" s="88">
        <v>0</v>
      </c>
      <c r="J56" s="174">
        <v>0</v>
      </c>
      <c r="K56" s="152">
        <v>0</v>
      </c>
      <c r="N56" s="129"/>
    </row>
    <row r="57" spans="1:14" x14ac:dyDescent="0.35">
      <c r="A57" s="6"/>
      <c r="B57" s="97" t="s">
        <v>43</v>
      </c>
      <c r="C57" s="4">
        <v>0</v>
      </c>
      <c r="D57" s="5">
        <v>0</v>
      </c>
      <c r="E57" s="36">
        <v>-100</v>
      </c>
      <c r="F57" s="43">
        <v>0</v>
      </c>
      <c r="G57" s="18">
        <v>-100</v>
      </c>
      <c r="H57" s="18">
        <v>0</v>
      </c>
      <c r="I57" s="18">
        <v>0</v>
      </c>
      <c r="J57" s="174">
        <v>0</v>
      </c>
      <c r="K57" s="152">
        <v>0</v>
      </c>
      <c r="N57" s="129"/>
    </row>
    <row r="58" spans="1:14" x14ac:dyDescent="0.35">
      <c r="A58" s="6"/>
      <c r="B58" s="97" t="s">
        <v>44</v>
      </c>
      <c r="C58" s="4">
        <v>-300</v>
      </c>
      <c r="D58" s="5">
        <v>-130.71</v>
      </c>
      <c r="E58" s="36">
        <v>-750</v>
      </c>
      <c r="F58" s="43">
        <v>-1007.5</v>
      </c>
      <c r="G58" s="43">
        <v>-1000</v>
      </c>
      <c r="H58" s="18">
        <v>0</v>
      </c>
      <c r="I58" s="18">
        <v>0</v>
      </c>
      <c r="J58" s="174">
        <v>0</v>
      </c>
      <c r="K58" s="152">
        <v>0</v>
      </c>
      <c r="L58" s="95" t="s">
        <v>102</v>
      </c>
      <c r="N58" s="129"/>
    </row>
    <row r="59" spans="1:14" s="48" customFormat="1" x14ac:dyDescent="0.35">
      <c r="A59" s="31" t="s">
        <v>45</v>
      </c>
      <c r="B59" s="93"/>
      <c r="C59" s="32">
        <v>-4400</v>
      </c>
      <c r="D59" s="33">
        <v>-3810.34</v>
      </c>
      <c r="E59" s="38">
        <v>-5850</v>
      </c>
      <c r="F59" s="39">
        <f>SUM(F60:F68)</f>
        <v>-2886.95</v>
      </c>
      <c r="G59" s="39">
        <f>SUM(G60:G68)</f>
        <v>-4850</v>
      </c>
      <c r="H59" s="28">
        <f>SUM(H60:H68)</f>
        <v>-1935.2800000000002</v>
      </c>
      <c r="I59" s="28">
        <f>SUM(I60:I68)</f>
        <v>-4400</v>
      </c>
      <c r="J59" s="164">
        <f>SUM(J60:J68)</f>
        <v>-9571.2099999999991</v>
      </c>
      <c r="K59" s="151">
        <f t="shared" ref="K59" si="7">SUM(K60:K68)</f>
        <v>-10450</v>
      </c>
      <c r="N59" s="129"/>
    </row>
    <row r="60" spans="1:14" ht="31" x14ac:dyDescent="0.35">
      <c r="B60" s="97" t="s">
        <v>46</v>
      </c>
      <c r="C60" s="4">
        <v>-150</v>
      </c>
      <c r="D60" s="5">
        <v>0</v>
      </c>
      <c r="E60" s="36">
        <v>-100</v>
      </c>
      <c r="F60" s="43">
        <v>-81.599999999999994</v>
      </c>
      <c r="G60" s="18">
        <v>-100</v>
      </c>
      <c r="H60" s="88">
        <v>-91.08</v>
      </c>
      <c r="I60" s="88">
        <v>-200</v>
      </c>
      <c r="J60" s="174">
        <v>-435.66</v>
      </c>
      <c r="K60" s="152">
        <v>-500</v>
      </c>
      <c r="L60" s="95" t="s">
        <v>103</v>
      </c>
      <c r="N60" s="129"/>
    </row>
    <row r="61" spans="1:14" ht="31" x14ac:dyDescent="0.35">
      <c r="A61" s="6"/>
      <c r="B61" s="98" t="s">
        <v>64</v>
      </c>
      <c r="C61" s="4">
        <v>0</v>
      </c>
      <c r="D61" s="5">
        <v>0</v>
      </c>
      <c r="E61" s="36">
        <v>-600</v>
      </c>
      <c r="F61" s="43">
        <v>-708.61</v>
      </c>
      <c r="G61" s="18">
        <v>-700</v>
      </c>
      <c r="H61" s="88">
        <v>-572.33000000000004</v>
      </c>
      <c r="I61" s="88">
        <v>-700</v>
      </c>
      <c r="J61" s="174">
        <v>-4898.09</v>
      </c>
      <c r="K61" s="152">
        <v>-5000</v>
      </c>
      <c r="L61" s="95" t="s">
        <v>104</v>
      </c>
      <c r="N61" s="129"/>
    </row>
    <row r="62" spans="1:14" x14ac:dyDescent="0.35">
      <c r="A62" s="6"/>
      <c r="B62" s="98" t="s">
        <v>47</v>
      </c>
      <c r="C62" s="4"/>
      <c r="D62" s="5"/>
      <c r="E62" s="36">
        <v>-300</v>
      </c>
      <c r="F62" s="43">
        <v>0</v>
      </c>
      <c r="G62" s="18">
        <v>-300</v>
      </c>
      <c r="H62" s="88">
        <v>-190.68</v>
      </c>
      <c r="I62" s="88">
        <v>-300</v>
      </c>
      <c r="J62" s="174">
        <v>-431.42</v>
      </c>
      <c r="K62" s="152">
        <v>-1500</v>
      </c>
      <c r="L62" s="95" t="s">
        <v>118</v>
      </c>
      <c r="M62" s="136" t="s">
        <v>245</v>
      </c>
      <c r="N62" s="129"/>
    </row>
    <row r="63" spans="1:14" ht="31" x14ac:dyDescent="0.35">
      <c r="A63" s="6"/>
      <c r="B63" s="98" t="s">
        <v>18</v>
      </c>
      <c r="C63" s="4"/>
      <c r="D63" s="5"/>
      <c r="E63" s="36">
        <v>-2000</v>
      </c>
      <c r="F63" s="43">
        <v>-1771.74</v>
      </c>
      <c r="G63" s="43">
        <v>-2000</v>
      </c>
      <c r="H63" s="88">
        <v>-629.54999999999995</v>
      </c>
      <c r="I63" s="88">
        <v>-1000</v>
      </c>
      <c r="J63" s="174">
        <v>-552.88</v>
      </c>
      <c r="K63" s="152">
        <f>-1500</f>
        <v>-1500</v>
      </c>
      <c r="L63" s="95" t="s">
        <v>246</v>
      </c>
      <c r="N63" s="129"/>
    </row>
    <row r="64" spans="1:14" x14ac:dyDescent="0.35">
      <c r="B64" s="97" t="s">
        <v>48</v>
      </c>
      <c r="C64" s="4">
        <v>-550</v>
      </c>
      <c r="D64" s="5">
        <v>-500</v>
      </c>
      <c r="E64" s="36">
        <v>-500</v>
      </c>
      <c r="F64" s="43">
        <v>-325</v>
      </c>
      <c r="G64" s="18">
        <v>-500</v>
      </c>
      <c r="H64" s="88">
        <v>-350</v>
      </c>
      <c r="I64" s="88">
        <v>-400</v>
      </c>
      <c r="J64" s="174">
        <v>-250</v>
      </c>
      <c r="K64" s="152">
        <v>-500</v>
      </c>
      <c r="L64" s="95" t="s">
        <v>106</v>
      </c>
      <c r="N64" s="129"/>
    </row>
    <row r="65" spans="1:14" x14ac:dyDescent="0.35">
      <c r="B65" s="98" t="s">
        <v>49</v>
      </c>
      <c r="C65" s="4">
        <v>-250</v>
      </c>
      <c r="D65" s="5">
        <v>-250</v>
      </c>
      <c r="E65" s="36">
        <v>-250</v>
      </c>
      <c r="F65" s="43"/>
      <c r="G65" s="18">
        <v>-250</v>
      </c>
      <c r="H65" s="88">
        <v>0</v>
      </c>
      <c r="I65" s="88">
        <v>0</v>
      </c>
      <c r="J65" s="174">
        <v>-1324.75</v>
      </c>
      <c r="K65" s="152">
        <v>-1000</v>
      </c>
      <c r="L65" s="95"/>
      <c r="N65" s="129"/>
    </row>
    <row r="66" spans="1:14" x14ac:dyDescent="0.35">
      <c r="B66" s="118" t="s">
        <v>69</v>
      </c>
      <c r="C66" s="4"/>
      <c r="D66" s="5"/>
      <c r="E66" s="36">
        <v>0</v>
      </c>
      <c r="F66" s="43">
        <v>0</v>
      </c>
      <c r="G66" s="18">
        <v>0</v>
      </c>
      <c r="H66" s="88">
        <v>-101.64</v>
      </c>
      <c r="I66" s="88">
        <v>-100</v>
      </c>
      <c r="J66" s="174">
        <v>-108</v>
      </c>
      <c r="K66" s="152">
        <v>-200</v>
      </c>
      <c r="L66" s="95" t="s">
        <v>117</v>
      </c>
      <c r="N66" s="129"/>
    </row>
    <row r="67" spans="1:14" x14ac:dyDescent="0.35">
      <c r="B67" s="119" t="s">
        <v>126</v>
      </c>
      <c r="C67" s="120"/>
      <c r="D67" s="121"/>
      <c r="E67" s="36"/>
      <c r="F67" s="122"/>
      <c r="G67" s="123"/>
      <c r="H67" s="123">
        <v>0</v>
      </c>
      <c r="I67" s="123">
        <v>-700</v>
      </c>
      <c r="J67" s="174">
        <v>-690.28</v>
      </c>
      <c r="K67" s="152">
        <v>-250</v>
      </c>
      <c r="L67" s="95"/>
      <c r="N67" s="129"/>
    </row>
    <row r="68" spans="1:14" x14ac:dyDescent="0.35">
      <c r="B68" s="119" t="s">
        <v>61</v>
      </c>
      <c r="C68" s="4"/>
      <c r="D68" s="5"/>
      <c r="E68" s="36">
        <v>1000</v>
      </c>
      <c r="F68" s="43"/>
      <c r="G68" s="18">
        <v>-1000</v>
      </c>
      <c r="H68" s="18">
        <v>0</v>
      </c>
      <c r="I68" s="18">
        <v>-1000</v>
      </c>
      <c r="J68" s="174">
        <v>-880.13</v>
      </c>
      <c r="K68" s="152">
        <v>0</v>
      </c>
      <c r="L68" s="95" t="s">
        <v>107</v>
      </c>
      <c r="N68" s="129"/>
    </row>
    <row r="69" spans="1:14" s="48" customFormat="1" x14ac:dyDescent="0.35">
      <c r="A69" s="31" t="s">
        <v>50</v>
      </c>
      <c r="B69" s="93"/>
      <c r="C69" s="32">
        <v>-1600</v>
      </c>
      <c r="D69" s="33">
        <v>0</v>
      </c>
      <c r="E69" s="38">
        <f t="shared" ref="E69:K69" si="8">SUM(E70:E72)</f>
        <v>-400</v>
      </c>
      <c r="F69" s="39">
        <f t="shared" si="8"/>
        <v>-578.20000000000005</v>
      </c>
      <c r="G69" s="39">
        <f t="shared" si="8"/>
        <v>-500</v>
      </c>
      <c r="H69" s="28">
        <f t="shared" si="8"/>
        <v>-643.74</v>
      </c>
      <c r="I69" s="28">
        <f t="shared" si="8"/>
        <v>-700</v>
      </c>
      <c r="J69" s="164">
        <f t="shared" si="8"/>
        <v>-637.84</v>
      </c>
      <c r="K69" s="151">
        <f t="shared" si="8"/>
        <v>-700</v>
      </c>
      <c r="L69" s="95"/>
      <c r="N69" s="129"/>
    </row>
    <row r="70" spans="1:14" x14ac:dyDescent="0.35">
      <c r="A70" s="6"/>
      <c r="B70" s="98" t="s">
        <v>20</v>
      </c>
      <c r="C70" s="4">
        <v>0</v>
      </c>
      <c r="D70" s="5">
        <v>0</v>
      </c>
      <c r="E70" s="36">
        <v>0</v>
      </c>
      <c r="F70" s="43">
        <v>0</v>
      </c>
      <c r="G70" s="18">
        <v>0</v>
      </c>
      <c r="H70" s="18"/>
      <c r="I70" s="18"/>
      <c r="J70" s="160"/>
      <c r="K70" s="152"/>
      <c r="L70" s="95"/>
      <c r="N70" s="129"/>
    </row>
    <row r="71" spans="1:14" x14ac:dyDescent="0.35">
      <c r="A71" s="6"/>
      <c r="B71" s="98" t="s">
        <v>19</v>
      </c>
      <c r="C71" s="4">
        <v>0</v>
      </c>
      <c r="D71" s="5">
        <v>0</v>
      </c>
      <c r="E71" s="36">
        <v>0</v>
      </c>
      <c r="F71" s="43">
        <v>0</v>
      </c>
      <c r="G71" s="18">
        <v>0</v>
      </c>
      <c r="H71" s="18"/>
      <c r="I71" s="18"/>
      <c r="J71" s="160"/>
      <c r="K71" s="152"/>
      <c r="L71" s="95"/>
      <c r="N71" s="129"/>
    </row>
    <row r="72" spans="1:14" x14ac:dyDescent="0.35">
      <c r="A72" s="6"/>
      <c r="B72" s="98" t="s">
        <v>51</v>
      </c>
      <c r="C72" s="4">
        <v>0</v>
      </c>
      <c r="D72" s="5">
        <v>0</v>
      </c>
      <c r="E72" s="36">
        <v>-400</v>
      </c>
      <c r="F72" s="43">
        <v>-578.20000000000005</v>
      </c>
      <c r="G72" s="18">
        <v>-500</v>
      </c>
      <c r="H72" s="88">
        <v>-643.74</v>
      </c>
      <c r="I72" s="88">
        <v>-700</v>
      </c>
      <c r="J72" s="174">
        <v>-637.84</v>
      </c>
      <c r="K72" s="152">
        <v>-700</v>
      </c>
      <c r="N72" s="129"/>
    </row>
    <row r="73" spans="1:14" x14ac:dyDescent="0.35">
      <c r="A73" s="31" t="s">
        <v>21</v>
      </c>
      <c r="B73" s="93"/>
      <c r="C73" s="32">
        <v>-4000</v>
      </c>
      <c r="D73" s="33">
        <v>-5313.33</v>
      </c>
      <c r="E73" s="38">
        <v>-5500</v>
      </c>
      <c r="F73" s="44">
        <v>-5618</v>
      </c>
      <c r="G73" s="28">
        <v>-5500</v>
      </c>
      <c r="H73" s="86">
        <v>-6456.95</v>
      </c>
      <c r="I73" s="86">
        <v>-8000</v>
      </c>
      <c r="J73" s="164">
        <v>-6116.96</v>
      </c>
      <c r="K73" s="151">
        <v>-6200</v>
      </c>
      <c r="L73" s="95" t="s">
        <v>108</v>
      </c>
      <c r="N73" s="129"/>
    </row>
    <row r="74" spans="1:14" ht="31" x14ac:dyDescent="0.35">
      <c r="A74" s="31" t="s">
        <v>65</v>
      </c>
      <c r="B74" s="93"/>
      <c r="C74" s="32"/>
      <c r="D74" s="33"/>
      <c r="E74" s="38">
        <v>-1000</v>
      </c>
      <c r="F74" s="44">
        <v>-636</v>
      </c>
      <c r="G74" s="28">
        <v>0</v>
      </c>
      <c r="H74" s="86">
        <v>0</v>
      </c>
      <c r="I74" s="86">
        <v>0</v>
      </c>
      <c r="J74" s="171">
        <v>0</v>
      </c>
      <c r="K74" s="151">
        <v>0</v>
      </c>
      <c r="L74" s="95" t="s">
        <v>109</v>
      </c>
      <c r="N74" s="129"/>
    </row>
    <row r="75" spans="1:14" x14ac:dyDescent="0.35">
      <c r="A75" s="31" t="s">
        <v>23</v>
      </c>
      <c r="B75" s="93"/>
      <c r="C75" s="32"/>
      <c r="D75" s="33"/>
      <c r="E75" s="38"/>
      <c r="F75" s="44">
        <v>-624.03</v>
      </c>
      <c r="G75" s="28">
        <v>-1000</v>
      </c>
      <c r="H75" s="86">
        <v>-1031.08</v>
      </c>
      <c r="I75" s="86">
        <v>-1300</v>
      </c>
      <c r="J75" s="171">
        <v>0</v>
      </c>
      <c r="K75" s="151">
        <v>0</v>
      </c>
      <c r="L75" s="95" t="s">
        <v>110</v>
      </c>
      <c r="N75" s="129"/>
    </row>
    <row r="76" spans="1:14" x14ac:dyDescent="0.35">
      <c r="A76" s="31" t="s">
        <v>242</v>
      </c>
      <c r="B76" s="93"/>
      <c r="C76" s="32"/>
      <c r="D76" s="33"/>
      <c r="E76" s="38">
        <v>0</v>
      </c>
      <c r="F76" s="44">
        <v>0</v>
      </c>
      <c r="G76" s="28">
        <v>0</v>
      </c>
      <c r="H76" s="86">
        <v>0</v>
      </c>
      <c r="I76" s="86">
        <v>0</v>
      </c>
      <c r="J76" s="171">
        <v>-780.53</v>
      </c>
      <c r="K76" s="151">
        <v>-800</v>
      </c>
      <c r="L76" s="95"/>
      <c r="N76" s="129"/>
    </row>
    <row r="77" spans="1:14" x14ac:dyDescent="0.35">
      <c r="A77" s="31" t="s">
        <v>52</v>
      </c>
      <c r="B77" s="93"/>
      <c r="C77" s="32">
        <v>-200</v>
      </c>
      <c r="D77" s="33">
        <v>0</v>
      </c>
      <c r="E77" s="38">
        <v>0</v>
      </c>
      <c r="F77" s="74"/>
      <c r="G77" s="74"/>
      <c r="H77" s="28"/>
      <c r="I77" s="28"/>
      <c r="J77" s="171">
        <v>-1976</v>
      </c>
      <c r="K77" s="151">
        <v>-2000</v>
      </c>
      <c r="N77" s="129"/>
    </row>
    <row r="78" spans="1:14" x14ac:dyDescent="0.35">
      <c r="A78" s="31" t="s">
        <v>25</v>
      </c>
      <c r="B78" s="93"/>
      <c r="C78" s="32">
        <v>-8000</v>
      </c>
      <c r="D78" s="33">
        <v>-14133.39</v>
      </c>
      <c r="E78" s="38">
        <v>-10000</v>
      </c>
      <c r="F78" s="44">
        <v>-8302.1299999999992</v>
      </c>
      <c r="G78" s="28">
        <v>-10000</v>
      </c>
      <c r="H78" s="86">
        <v>-12780.43</v>
      </c>
      <c r="I78" s="86">
        <v>-13000</v>
      </c>
      <c r="J78" s="171">
        <v>-7296.33</v>
      </c>
      <c r="K78" s="151">
        <v>-7000</v>
      </c>
      <c r="L78" s="95" t="s">
        <v>111</v>
      </c>
      <c r="N78" s="129"/>
    </row>
    <row r="79" spans="1:14" x14ac:dyDescent="0.35">
      <c r="A79" s="24" t="s">
        <v>26</v>
      </c>
      <c r="B79" s="93"/>
      <c r="C79" s="32">
        <v>-60000</v>
      </c>
      <c r="D79" s="33">
        <v>-46391.31</v>
      </c>
      <c r="E79" s="38">
        <v>-50000</v>
      </c>
      <c r="F79" s="44">
        <v>-90379.07</v>
      </c>
      <c r="G79" s="44">
        <v>-75000</v>
      </c>
      <c r="H79" s="86">
        <v>-68440</v>
      </c>
      <c r="I79" s="86">
        <v>-75000</v>
      </c>
      <c r="J79" s="171">
        <v>-76850.210000000006</v>
      </c>
      <c r="K79" s="151">
        <f>-75000-7500-2500</f>
        <v>-85000</v>
      </c>
      <c r="L79" s="95" t="s">
        <v>112</v>
      </c>
      <c r="M79" s="136" t="s">
        <v>247</v>
      </c>
      <c r="N79" s="129"/>
    </row>
    <row r="80" spans="1:14" s="48" customFormat="1" x14ac:dyDescent="0.35">
      <c r="A80" s="13" t="s">
        <v>53</v>
      </c>
      <c r="B80" s="93"/>
      <c r="C80" s="33">
        <f t="shared" ref="C80:D80" si="9">SUM(C81:C85)</f>
        <v>-14100</v>
      </c>
      <c r="D80" s="33">
        <f t="shared" si="9"/>
        <v>-12933.7</v>
      </c>
      <c r="E80" s="38">
        <v>-14500</v>
      </c>
      <c r="F80" s="40">
        <f>SUM(F81:F87)</f>
        <v>-15408.369999999999</v>
      </c>
      <c r="G80" s="40">
        <f>SUM(G81:G85)</f>
        <v>-16100</v>
      </c>
      <c r="H80" s="50">
        <f>SUM(H81:H85)</f>
        <v>-16729.09</v>
      </c>
      <c r="I80" s="50">
        <f>SUM(I81:I85)</f>
        <v>-19500</v>
      </c>
      <c r="J80" s="168">
        <f>SUM(J81:J85)</f>
        <v>-17254.77</v>
      </c>
      <c r="K80" s="157">
        <v>-19500</v>
      </c>
      <c r="N80" s="129"/>
    </row>
    <row r="81" spans="1:14" ht="46.5" x14ac:dyDescent="0.35">
      <c r="A81" s="11"/>
      <c r="B81" s="113" t="s">
        <v>54</v>
      </c>
      <c r="C81" s="4">
        <v>-2300</v>
      </c>
      <c r="D81" s="5">
        <v>-3651.72</v>
      </c>
      <c r="E81" s="36">
        <v>-4500</v>
      </c>
      <c r="F81" s="43">
        <v>-4044.22</v>
      </c>
      <c r="G81" s="43">
        <v>-4500</v>
      </c>
      <c r="H81" s="88">
        <v>-4763.8999999999996</v>
      </c>
      <c r="I81" s="88">
        <v>-6500</v>
      </c>
      <c r="J81" s="174">
        <v>-5545.83</v>
      </c>
      <c r="K81" s="152">
        <v>-6500</v>
      </c>
      <c r="L81" s="95" t="s">
        <v>119</v>
      </c>
      <c r="N81" s="129"/>
    </row>
    <row r="82" spans="1:14" x14ac:dyDescent="0.35">
      <c r="A82" s="11"/>
      <c r="B82" s="113" t="s">
        <v>55</v>
      </c>
      <c r="C82" s="4">
        <v>-400</v>
      </c>
      <c r="D82" s="5">
        <v>0</v>
      </c>
      <c r="E82" s="36">
        <v>0</v>
      </c>
      <c r="F82" s="42">
        <v>0</v>
      </c>
      <c r="G82" s="42">
        <v>0</v>
      </c>
      <c r="H82" s="18"/>
      <c r="I82" s="18">
        <v>0</v>
      </c>
      <c r="J82" s="174">
        <v>0</v>
      </c>
      <c r="K82" s="152"/>
      <c r="N82" s="129"/>
    </row>
    <row r="83" spans="1:14" x14ac:dyDescent="0.35">
      <c r="A83" s="11"/>
      <c r="B83" s="113" t="s">
        <v>56</v>
      </c>
      <c r="C83" s="4">
        <v>-8900</v>
      </c>
      <c r="D83" s="5">
        <v>-7814.94</v>
      </c>
      <c r="E83" s="36">
        <v>-7900</v>
      </c>
      <c r="F83" s="43">
        <v>-9650.44</v>
      </c>
      <c r="G83" s="18">
        <v>-9500</v>
      </c>
      <c r="H83" s="88">
        <v>-10336.280000000001</v>
      </c>
      <c r="I83" s="88">
        <v>-11000</v>
      </c>
      <c r="J83" s="174">
        <v>-9969.3799999999992</v>
      </c>
      <c r="K83" s="152">
        <v>-11000</v>
      </c>
      <c r="L83" s="148" t="s">
        <v>113</v>
      </c>
      <c r="N83" s="129"/>
    </row>
    <row r="84" spans="1:14" x14ac:dyDescent="0.35">
      <c r="A84" s="11"/>
      <c r="B84" s="113" t="s">
        <v>57</v>
      </c>
      <c r="C84" s="4">
        <v>-1000</v>
      </c>
      <c r="D84" s="5">
        <v>-1000</v>
      </c>
      <c r="E84" s="36">
        <v>-1000</v>
      </c>
      <c r="F84" s="43">
        <v>-1000</v>
      </c>
      <c r="G84" s="18">
        <v>-1000</v>
      </c>
      <c r="H84" s="88">
        <v>-1000</v>
      </c>
      <c r="I84" s="88">
        <v>-1000</v>
      </c>
      <c r="J84" s="174">
        <v>-1000</v>
      </c>
      <c r="K84" s="152">
        <v>-1000</v>
      </c>
      <c r="L84" s="95"/>
      <c r="N84" s="129"/>
    </row>
    <row r="85" spans="1:14" ht="31" x14ac:dyDescent="0.35">
      <c r="A85" s="11"/>
      <c r="B85" s="113" t="s">
        <v>58</v>
      </c>
      <c r="C85" s="4">
        <v>-1500</v>
      </c>
      <c r="D85" s="5">
        <v>-467.04</v>
      </c>
      <c r="E85" s="36">
        <v>-1100</v>
      </c>
      <c r="F85" s="43">
        <v>-713.71</v>
      </c>
      <c r="G85" s="43">
        <v>-1100</v>
      </c>
      <c r="H85" s="88">
        <v>-628.91</v>
      </c>
      <c r="I85" s="88">
        <v>-1000</v>
      </c>
      <c r="J85" s="174">
        <v>-739.56</v>
      </c>
      <c r="K85" s="152">
        <v>-1200</v>
      </c>
      <c r="L85" s="95" t="s">
        <v>114</v>
      </c>
      <c r="N85" s="129"/>
    </row>
    <row r="86" spans="1:14" x14ac:dyDescent="0.35">
      <c r="A86" s="131" t="s">
        <v>59</v>
      </c>
      <c r="B86" s="132"/>
      <c r="C86" s="32">
        <v>0</v>
      </c>
      <c r="D86" s="33">
        <v>0</v>
      </c>
      <c r="E86" s="38">
        <v>-100</v>
      </c>
      <c r="F86" s="44">
        <v>0</v>
      </c>
      <c r="G86" s="40">
        <v>-2300</v>
      </c>
      <c r="H86" s="86">
        <v>-2287</v>
      </c>
      <c r="I86" s="86">
        <v>-2500</v>
      </c>
      <c r="J86" s="174">
        <v>-1410.87</v>
      </c>
      <c r="K86" s="151">
        <v>-1650</v>
      </c>
      <c r="N86" s="129"/>
    </row>
    <row r="87" spans="1:14" ht="16" thickBot="1" x14ac:dyDescent="0.4">
      <c r="A87" s="13" t="s">
        <v>60</v>
      </c>
      <c r="B87" s="124"/>
      <c r="C87" s="70"/>
      <c r="D87" s="71"/>
      <c r="E87" s="72"/>
      <c r="F87" s="125"/>
      <c r="G87" s="126"/>
      <c r="H87" s="127"/>
      <c r="I87" s="127"/>
      <c r="J87" s="169"/>
      <c r="K87" s="158"/>
    </row>
    <row r="88" spans="1:14" s="48" customFormat="1" ht="16" thickBot="1" x14ac:dyDescent="0.4">
      <c r="A88" s="128"/>
      <c r="B88" s="61" t="s">
        <v>29</v>
      </c>
      <c r="C88" s="68">
        <f>C32+C33+C34+C35+C36+C37+C45+C46+C59+C69+C73+C74+C77+C78+C79+C80+C65+C86</f>
        <v>-152500</v>
      </c>
      <c r="D88" s="68">
        <f>D32+D33+D34+D35+D36+D37+D45+D46+D59+D69+D73+D74+D77+D78+D79+D80+D65+D86</f>
        <v>-117212.07999999999</v>
      </c>
      <c r="E88" s="69">
        <f>E32+E33+E34+E35+E36+E37+E45+E46+E59+E69+E73+E74+E77+E78+E79+E80+E86</f>
        <v>-161300</v>
      </c>
      <c r="F88" s="41">
        <f>F32+F33+F34+F35+F36+F37+F45+F46+F59+F69+F73+F74+F75+F78+F79+F80</f>
        <v>-216334.68</v>
      </c>
      <c r="G88" s="41">
        <f>G32+G33+G34+G35+G36+G37+G45+G46+G59+G69+G73+G74+G75+G78+G79+G80+G86</f>
        <v>-204950</v>
      </c>
      <c r="H88" s="41">
        <f>H32+H33+H34+H35+H36+H37+H45+H46+H59+H69+H73+H74+H75+H78+H79+H80+H86</f>
        <v>-221133.63999999998</v>
      </c>
      <c r="I88" s="41">
        <f>I32+I33+I34+I35+I36+I37+I45+I46+I59+I69+I73+I74+I75+I78+I79+I80+I86</f>
        <v>-223950</v>
      </c>
      <c r="J88" s="170">
        <f>J32+J33+J34+J35+J36+J37+J45+J46+J59+J69+J73+J74+J75+J78+J79+J80+J86+J77+J76</f>
        <v>-217937.73300000001</v>
      </c>
      <c r="K88" s="159">
        <f>K32+K33+K34+K35+K36+K37+K45+K46+K59+K69+K73+K74+K75+K78+K79+K80+K86</f>
        <v>-237450</v>
      </c>
    </row>
    <row r="89" spans="1:14" x14ac:dyDescent="0.35">
      <c r="C89" s="129"/>
    </row>
    <row r="90" spans="1:14" s="48" customFormat="1" x14ac:dyDescent="0.35">
      <c r="A90" s="13" t="s">
        <v>125</v>
      </c>
      <c r="E90" s="49"/>
      <c r="F90" s="49">
        <f t="shared" ref="F90:J90" si="10">F29+F88</f>
        <v>1314.3300000000163</v>
      </c>
      <c r="G90" s="49">
        <f t="shared" si="10"/>
        <v>1750</v>
      </c>
      <c r="H90" s="49">
        <f t="shared" si="10"/>
        <v>7899.2900000000081</v>
      </c>
      <c r="I90" s="49">
        <f t="shared" si="10"/>
        <v>11650</v>
      </c>
      <c r="J90" s="171">
        <f t="shared" si="10"/>
        <v>29013.896999999997</v>
      </c>
      <c r="K90" s="145">
        <f>K29+K88</f>
        <v>0</v>
      </c>
    </row>
    <row r="91" spans="1:14" x14ac:dyDescent="0.35">
      <c r="C91" s="129"/>
      <c r="D91" s="129"/>
      <c r="J91" s="174"/>
    </row>
    <row r="92" spans="1:14" x14ac:dyDescent="0.35">
      <c r="I92" s="173"/>
    </row>
    <row r="93" spans="1:14" x14ac:dyDescent="0.35">
      <c r="I93" s="173"/>
    </row>
    <row r="96" spans="1:14" x14ac:dyDescent="0.35">
      <c r="F96" s="130"/>
    </row>
  </sheetData>
  <mergeCells count="4">
    <mergeCell ref="A18:B18"/>
    <mergeCell ref="A3:D3"/>
    <mergeCell ref="A2:G2"/>
    <mergeCell ref="A1:G1"/>
  </mergeCells>
  <pageMargins left="0.25" right="0.25" top="0.75" bottom="0.75" header="0.3" footer="0.3"/>
  <pageSetup scale="74" orientation="portrait" r:id="rId1"/>
  <ignoredErrors>
    <ignoredError sqref="D46 C80:D80 D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4656-72ED-4E29-97E8-545121C944CF}">
  <dimension ref="A2:D20"/>
  <sheetViews>
    <sheetView workbookViewId="0">
      <selection activeCell="E27" sqref="E27"/>
    </sheetView>
  </sheetViews>
  <sheetFormatPr defaultRowHeight="14.5" x14ac:dyDescent="0.35"/>
  <cols>
    <col min="2" max="2" width="9.1796875" style="176"/>
    <col min="3" max="3" width="11.26953125" style="177" bestFit="1" customWidth="1"/>
    <col min="4" max="4" width="12.54296875" bestFit="1" customWidth="1"/>
  </cols>
  <sheetData>
    <row r="2" spans="1:4" x14ac:dyDescent="0.35">
      <c r="A2" s="179" t="s">
        <v>252</v>
      </c>
      <c r="B2" s="180"/>
      <c r="C2" s="181"/>
      <c r="D2" s="179"/>
    </row>
    <row r="5" spans="1:4" x14ac:dyDescent="0.35">
      <c r="B5" s="176" t="s">
        <v>251</v>
      </c>
      <c r="C5" s="177">
        <f>Budget!K81</f>
        <v>-6500</v>
      </c>
    </row>
    <row r="7" spans="1:4" x14ac:dyDescent="0.35">
      <c r="B7" s="176" t="s">
        <v>249</v>
      </c>
      <c r="C7" s="177">
        <v>300</v>
      </c>
    </row>
    <row r="8" spans="1:4" x14ac:dyDescent="0.35">
      <c r="B8" s="176">
        <v>1</v>
      </c>
      <c r="C8" s="177">
        <v>300</v>
      </c>
    </row>
    <row r="9" spans="1:4" x14ac:dyDescent="0.35">
      <c r="B9" s="176">
        <v>2</v>
      </c>
      <c r="C9" s="177">
        <v>300</v>
      </c>
    </row>
    <row r="10" spans="1:4" x14ac:dyDescent="0.35">
      <c r="B10" s="176">
        <v>3</v>
      </c>
      <c r="C10" s="177">
        <v>300</v>
      </c>
    </row>
    <row r="11" spans="1:4" x14ac:dyDescent="0.35">
      <c r="B11" s="176">
        <v>4</v>
      </c>
      <c r="C11" s="177">
        <v>400</v>
      </c>
    </row>
    <row r="12" spans="1:4" x14ac:dyDescent="0.35">
      <c r="B12" s="176">
        <v>5</v>
      </c>
      <c r="C12" s="177">
        <v>300</v>
      </c>
    </row>
    <row r="13" spans="1:4" x14ac:dyDescent="0.35">
      <c r="B13" s="176">
        <v>6</v>
      </c>
      <c r="C13" s="177">
        <v>300</v>
      </c>
    </row>
    <row r="14" spans="1:4" x14ac:dyDescent="0.35">
      <c r="B14" s="176">
        <v>7</v>
      </c>
      <c r="C14" s="177">
        <v>300</v>
      </c>
    </row>
    <row r="15" spans="1:4" x14ac:dyDescent="0.35">
      <c r="B15" s="176">
        <v>8</v>
      </c>
      <c r="C15" s="178">
        <v>300</v>
      </c>
    </row>
    <row r="16" spans="1:4" x14ac:dyDescent="0.35">
      <c r="C16" s="177">
        <f>SUM(C7:C15)</f>
        <v>2800</v>
      </c>
    </row>
    <row r="18" spans="2:4" x14ac:dyDescent="0.35">
      <c r="B18" s="176" t="s">
        <v>250</v>
      </c>
      <c r="C18" s="177">
        <f>C5+C16</f>
        <v>-3700</v>
      </c>
      <c r="D18" s="138" t="s">
        <v>253</v>
      </c>
    </row>
    <row r="20" spans="2:4" x14ac:dyDescent="0.35">
      <c r="B20" s="176" t="s">
        <v>254</v>
      </c>
      <c r="C20" s="177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E724-2C12-400E-9D8C-6A8D83F0109C}">
  <dimension ref="A1:Q94"/>
  <sheetViews>
    <sheetView topLeftCell="A48" workbookViewId="0">
      <selection activeCell="I48" sqref="I48"/>
    </sheetView>
  </sheetViews>
  <sheetFormatPr defaultColWidth="9.1796875" defaultRowHeight="15.5" x14ac:dyDescent="0.35"/>
  <cols>
    <col min="1" max="1" width="5.26953125" style="91" customWidth="1"/>
    <col min="2" max="2" width="35.26953125" style="91" customWidth="1"/>
    <col min="3" max="5" width="15.7265625" style="91" customWidth="1"/>
    <col min="6" max="6" width="14.7265625" style="91" bestFit="1" customWidth="1"/>
    <col min="7" max="7" width="14.26953125" style="91" customWidth="1"/>
    <col min="8" max="8" width="16" style="89" customWidth="1"/>
    <col min="9" max="9" width="17.1796875" style="90" bestFit="1" customWidth="1"/>
    <col min="10" max="10" width="56.81640625" style="91" hidden="1" customWidth="1"/>
    <col min="11" max="11" width="9.1796875" style="91"/>
    <col min="12" max="12" width="19.81640625" style="134" customWidth="1"/>
    <col min="13" max="13" width="9.1796875" style="48"/>
    <col min="14" max="14" width="12.26953125" style="136" bestFit="1" customWidth="1"/>
    <col min="15" max="16" width="9.1796875" style="91"/>
    <col min="17" max="17" width="24.7265625" style="91" bestFit="1" customWidth="1"/>
    <col min="18" max="16384" width="9.1796875" style="91"/>
  </cols>
  <sheetData>
    <row r="1" spans="1:17" ht="16.5" customHeight="1" x14ac:dyDescent="0.35">
      <c r="A1" s="184" t="s">
        <v>67</v>
      </c>
      <c r="B1" s="184"/>
      <c r="C1" s="184"/>
      <c r="D1" s="184"/>
      <c r="E1" s="184"/>
      <c r="F1" s="184"/>
      <c r="G1" s="184"/>
      <c r="L1" s="91"/>
    </row>
    <row r="2" spans="1:17" ht="16.5" customHeight="1" x14ac:dyDescent="0.35">
      <c r="A2" s="184" t="s">
        <v>0</v>
      </c>
      <c r="B2" s="184"/>
      <c r="C2" s="184"/>
      <c r="D2" s="184"/>
      <c r="E2" s="184"/>
      <c r="F2" s="184"/>
      <c r="G2" s="184"/>
      <c r="L2" s="91"/>
    </row>
    <row r="3" spans="1:17" ht="16" thickBot="1" x14ac:dyDescent="0.4">
      <c r="A3" s="183"/>
      <c r="B3" s="183"/>
      <c r="C3" s="183"/>
      <c r="D3" s="183"/>
      <c r="E3" s="9"/>
      <c r="L3" s="91" t="s">
        <v>127</v>
      </c>
    </row>
    <row r="4" spans="1:17" ht="47" thickBot="1" x14ac:dyDescent="0.4">
      <c r="A4" s="1" t="s">
        <v>1</v>
      </c>
      <c r="B4" s="92"/>
      <c r="C4" s="2" t="s">
        <v>2</v>
      </c>
      <c r="D4" s="2" t="s">
        <v>3</v>
      </c>
      <c r="E4" s="16" t="s">
        <v>4</v>
      </c>
      <c r="F4" s="45" t="s">
        <v>62</v>
      </c>
      <c r="G4" s="51" t="s">
        <v>63</v>
      </c>
      <c r="H4" s="52" t="s">
        <v>68</v>
      </c>
      <c r="I4" s="59" t="s">
        <v>70</v>
      </c>
      <c r="J4" s="53" t="s">
        <v>71</v>
      </c>
      <c r="L4" s="133" t="s">
        <v>128</v>
      </c>
      <c r="M4" s="48" t="s">
        <v>233</v>
      </c>
      <c r="N4" s="136" t="s">
        <v>129</v>
      </c>
      <c r="Q4" s="146" t="s">
        <v>234</v>
      </c>
    </row>
    <row r="5" spans="1:17" ht="31" x14ac:dyDescent="0.35">
      <c r="A5" s="24" t="s">
        <v>5</v>
      </c>
      <c r="B5" s="93"/>
      <c r="C5" s="25">
        <v>8500</v>
      </c>
      <c r="D5" s="26">
        <v>8780</v>
      </c>
      <c r="E5" s="81">
        <v>8500</v>
      </c>
      <c r="F5" s="82">
        <v>10600</v>
      </c>
      <c r="G5" s="28">
        <v>10000</v>
      </c>
      <c r="H5" s="85">
        <v>8400</v>
      </c>
      <c r="I5" s="94">
        <v>9000</v>
      </c>
      <c r="J5" s="95" t="s">
        <v>72</v>
      </c>
      <c r="L5" s="143">
        <f>GETPIVOTDATA("Total sales",PIVOT!$A$3,"Line Item","CAF")</f>
        <v>4160</v>
      </c>
      <c r="M5" s="48">
        <f>GETPIVOTDATA("Sum of Net items sold",PIVOT!$A$3,"Line Item","CAF")</f>
        <v>208</v>
      </c>
      <c r="N5" s="145">
        <f>L5-I5</f>
        <v>-4840</v>
      </c>
      <c r="Q5" s="147">
        <f>N5+N17</f>
        <v>-8340</v>
      </c>
    </row>
    <row r="6" spans="1:17" ht="31" x14ac:dyDescent="0.35">
      <c r="A6" s="24" t="s">
        <v>6</v>
      </c>
      <c r="B6" s="93"/>
      <c r="C6" s="25">
        <v>26000</v>
      </c>
      <c r="D6" s="26">
        <v>0</v>
      </c>
      <c r="E6" s="77">
        <v>25000</v>
      </c>
      <c r="F6" s="44">
        <v>36963.910000000003</v>
      </c>
      <c r="G6" s="28">
        <v>30000</v>
      </c>
      <c r="H6" s="86">
        <v>30625.39</v>
      </c>
      <c r="I6" s="55">
        <v>31000</v>
      </c>
      <c r="J6" s="95" t="s">
        <v>73</v>
      </c>
      <c r="L6" s="143"/>
    </row>
    <row r="7" spans="1:17" s="48" customFormat="1" x14ac:dyDescent="0.35">
      <c r="A7" s="24" t="s">
        <v>7</v>
      </c>
      <c r="B7" s="93"/>
      <c r="C7" s="25">
        <v>11000</v>
      </c>
      <c r="D7" s="26">
        <v>0</v>
      </c>
      <c r="E7" s="27">
        <f>SUM(E8:E14)</f>
        <v>15300</v>
      </c>
      <c r="F7" s="44">
        <f>SUM(F8:F14)</f>
        <v>19135</v>
      </c>
      <c r="G7" s="28">
        <f>SUM(G8:G14)</f>
        <v>22800</v>
      </c>
      <c r="H7" s="28">
        <f>SUM(H8:H14)</f>
        <v>25383.64</v>
      </c>
      <c r="I7" s="55">
        <f>SUM(I8:I14)</f>
        <v>26500</v>
      </c>
      <c r="L7" s="144"/>
      <c r="N7" s="136"/>
    </row>
    <row r="8" spans="1:17" x14ac:dyDescent="0.35">
      <c r="A8" s="8"/>
      <c r="B8" s="97" t="s">
        <v>8</v>
      </c>
      <c r="C8" s="12">
        <v>2800</v>
      </c>
      <c r="D8" s="10">
        <v>0</v>
      </c>
      <c r="E8" s="17">
        <v>4200</v>
      </c>
      <c r="F8" s="43">
        <v>4140</v>
      </c>
      <c r="G8" s="18">
        <v>4400</v>
      </c>
      <c r="H8" s="88">
        <v>5125</v>
      </c>
      <c r="I8" s="55">
        <v>5500</v>
      </c>
      <c r="J8" s="95" t="s">
        <v>74</v>
      </c>
      <c r="L8" s="143">
        <f>GETPIVOTDATA("Total sales",PIVOT!$A$3,"Line Item","PICN")</f>
        <v>5675</v>
      </c>
      <c r="M8" s="48">
        <f>GETPIVOTDATA("Sum of Net items sold",PIVOT!$A$3,"Line Item","PICN")</f>
        <v>227</v>
      </c>
      <c r="N8" s="145">
        <f>L8-I8</f>
        <v>175</v>
      </c>
    </row>
    <row r="9" spans="1:17" x14ac:dyDescent="0.35">
      <c r="A9" s="7"/>
      <c r="B9" s="98" t="s">
        <v>9</v>
      </c>
      <c r="C9" s="12" t="s">
        <v>10</v>
      </c>
      <c r="D9" s="10">
        <v>0</v>
      </c>
      <c r="E9" s="17">
        <v>3200</v>
      </c>
      <c r="F9" s="99">
        <v>0</v>
      </c>
      <c r="G9" s="43">
        <v>3500</v>
      </c>
      <c r="H9" s="88">
        <v>4270</v>
      </c>
      <c r="I9" s="55">
        <v>4500</v>
      </c>
      <c r="J9" s="95" t="s">
        <v>75</v>
      </c>
      <c r="L9" s="143"/>
    </row>
    <row r="10" spans="1:17" x14ac:dyDescent="0.35">
      <c r="A10" s="7"/>
      <c r="B10" s="98" t="s">
        <v>11</v>
      </c>
      <c r="C10" s="12" t="s">
        <v>10</v>
      </c>
      <c r="D10" s="10">
        <v>535</v>
      </c>
      <c r="E10" s="17">
        <v>0</v>
      </c>
      <c r="F10" s="99">
        <v>0</v>
      </c>
      <c r="G10" s="18">
        <v>0</v>
      </c>
      <c r="H10" s="88">
        <v>325</v>
      </c>
      <c r="I10" s="55">
        <v>0</v>
      </c>
      <c r="L10" s="143"/>
    </row>
    <row r="11" spans="1:17" ht="31" x14ac:dyDescent="0.35">
      <c r="A11" s="15"/>
      <c r="B11" s="100" t="s">
        <v>12</v>
      </c>
      <c r="C11" s="12" t="s">
        <v>10</v>
      </c>
      <c r="D11" s="10">
        <v>980</v>
      </c>
      <c r="E11" s="17">
        <v>3300</v>
      </c>
      <c r="F11" s="43">
        <v>3885</v>
      </c>
      <c r="G11" s="18">
        <v>3500</v>
      </c>
      <c r="H11" s="88">
        <v>3920</v>
      </c>
      <c r="I11" s="55">
        <v>4000</v>
      </c>
      <c r="J11" s="95" t="s">
        <v>76</v>
      </c>
      <c r="L11" s="143"/>
    </row>
    <row r="12" spans="1:17" x14ac:dyDescent="0.35">
      <c r="A12" s="15"/>
      <c r="B12" s="100" t="s">
        <v>66</v>
      </c>
      <c r="C12" s="101"/>
      <c r="D12" s="102"/>
      <c r="E12" s="17">
        <v>2500</v>
      </c>
      <c r="F12" s="43">
        <v>7875</v>
      </c>
      <c r="G12" s="18">
        <v>8000</v>
      </c>
      <c r="H12" s="88">
        <v>7415.64</v>
      </c>
      <c r="I12" s="55">
        <v>8000</v>
      </c>
      <c r="J12" s="95" t="s">
        <v>77</v>
      </c>
      <c r="L12" s="143"/>
    </row>
    <row r="13" spans="1:17" ht="31" x14ac:dyDescent="0.35">
      <c r="A13" s="15"/>
      <c r="B13" s="100" t="s">
        <v>13</v>
      </c>
      <c r="C13" s="12" t="s">
        <v>10</v>
      </c>
      <c r="D13" s="10">
        <v>0</v>
      </c>
      <c r="E13" s="17">
        <v>1300</v>
      </c>
      <c r="F13" s="43">
        <v>1980</v>
      </c>
      <c r="G13" s="18">
        <v>1900</v>
      </c>
      <c r="H13" s="88">
        <v>3140</v>
      </c>
      <c r="I13" s="55">
        <v>3000</v>
      </c>
      <c r="J13" s="95" t="s">
        <v>76</v>
      </c>
      <c r="L13" s="143"/>
    </row>
    <row r="14" spans="1:17" ht="31" x14ac:dyDescent="0.35">
      <c r="A14" s="15"/>
      <c r="B14" s="100" t="s">
        <v>14</v>
      </c>
      <c r="C14" s="12" t="s">
        <v>10</v>
      </c>
      <c r="D14" s="10">
        <v>2033.18</v>
      </c>
      <c r="E14" s="17">
        <v>800</v>
      </c>
      <c r="F14" s="43">
        <v>1255</v>
      </c>
      <c r="G14" s="18">
        <v>1500</v>
      </c>
      <c r="H14" s="88">
        <v>1188</v>
      </c>
      <c r="I14" s="55">
        <v>1500</v>
      </c>
      <c r="J14" s="95" t="s">
        <v>76</v>
      </c>
      <c r="L14" s="143"/>
    </row>
    <row r="15" spans="1:17" ht="31" x14ac:dyDescent="0.35">
      <c r="A15" s="79" t="s">
        <v>15</v>
      </c>
      <c r="B15" s="103"/>
      <c r="C15" s="25" t="s">
        <v>10</v>
      </c>
      <c r="D15" s="75">
        <v>12775</v>
      </c>
      <c r="E15" s="76">
        <v>12000</v>
      </c>
      <c r="F15" s="44">
        <v>14955</v>
      </c>
      <c r="G15" s="44">
        <v>16000</v>
      </c>
      <c r="H15" s="86">
        <v>17910</v>
      </c>
      <c r="I15" s="55">
        <v>18000</v>
      </c>
      <c r="J15" s="95" t="s">
        <v>78</v>
      </c>
      <c r="L15" s="143">
        <f>GETPIVOTDATA("Total sales",PIVOT!$A$3,"Line Item","Golf")</f>
        <v>4625</v>
      </c>
      <c r="M15" s="48">
        <f>GETPIVOTDATA("Sum of Net items sold",PIVOT!$A$3,"Line Item","Golf")</f>
        <v>10</v>
      </c>
      <c r="N15" s="145">
        <f>L15-I15</f>
        <v>-13375</v>
      </c>
      <c r="O15" s="135" t="s">
        <v>231</v>
      </c>
    </row>
    <row r="16" spans="1:17" x14ac:dyDescent="0.35">
      <c r="A16" s="24" t="s">
        <v>16</v>
      </c>
      <c r="B16" s="93"/>
      <c r="C16" s="25">
        <v>1000</v>
      </c>
      <c r="D16" s="75">
        <v>1743.5</v>
      </c>
      <c r="E16" s="76">
        <v>500</v>
      </c>
      <c r="F16" s="44">
        <v>340.48</v>
      </c>
      <c r="G16" s="28">
        <v>500</v>
      </c>
      <c r="H16" s="86">
        <v>22.4</v>
      </c>
      <c r="I16" s="55">
        <v>300</v>
      </c>
      <c r="J16" s="95" t="s">
        <v>121</v>
      </c>
      <c r="L16" s="143"/>
    </row>
    <row r="17" spans="1:15" x14ac:dyDescent="0.35">
      <c r="A17" s="24" t="s">
        <v>17</v>
      </c>
      <c r="B17" s="93"/>
      <c r="C17" s="25">
        <v>7000</v>
      </c>
      <c r="D17" s="26">
        <v>7114.05</v>
      </c>
      <c r="E17" s="27">
        <v>7000</v>
      </c>
      <c r="F17" s="44">
        <v>7225</v>
      </c>
      <c r="G17" s="28">
        <v>7200</v>
      </c>
      <c r="H17" s="86">
        <v>5700</v>
      </c>
      <c r="I17" s="55">
        <v>6500</v>
      </c>
      <c r="J17" s="95" t="s">
        <v>79</v>
      </c>
      <c r="L17" s="143">
        <f>GETPIVOTDATA("Total sales",PIVOT!$A$3,"Line Item","HSA Dues")</f>
        <v>3000</v>
      </c>
      <c r="M17" s="48">
        <f>GETPIVOTDATA("Sum of Net items sold",PIVOT!$A$3,"Line Item","HSA Dues")</f>
        <v>120</v>
      </c>
      <c r="N17" s="145">
        <f>L17-I17</f>
        <v>-3500</v>
      </c>
    </row>
    <row r="18" spans="1:15" x14ac:dyDescent="0.35">
      <c r="A18" s="182" t="s">
        <v>18</v>
      </c>
      <c r="B18" s="182"/>
      <c r="C18" s="25">
        <v>2000</v>
      </c>
      <c r="D18" s="26">
        <v>0</v>
      </c>
      <c r="E18" s="27">
        <v>0</v>
      </c>
      <c r="F18" s="74"/>
      <c r="G18" s="74"/>
      <c r="H18" s="28"/>
      <c r="I18" s="55"/>
      <c r="L18" s="143"/>
    </row>
    <row r="19" spans="1:15" x14ac:dyDescent="0.35">
      <c r="A19" s="7"/>
      <c r="B19" s="98" t="s">
        <v>19</v>
      </c>
      <c r="C19" s="12" t="s">
        <v>10</v>
      </c>
      <c r="D19" s="10">
        <v>0</v>
      </c>
      <c r="E19" s="17">
        <v>0</v>
      </c>
      <c r="F19" s="43">
        <v>0</v>
      </c>
      <c r="G19" s="18">
        <v>0</v>
      </c>
      <c r="H19" s="18">
        <v>0</v>
      </c>
      <c r="I19" s="55">
        <v>0</v>
      </c>
      <c r="L19" s="143"/>
    </row>
    <row r="20" spans="1:15" x14ac:dyDescent="0.35">
      <c r="A20" s="7"/>
      <c r="B20" s="98" t="s">
        <v>20</v>
      </c>
      <c r="C20" s="12" t="s">
        <v>10</v>
      </c>
      <c r="D20" s="10">
        <v>0</v>
      </c>
      <c r="E20" s="17">
        <v>0</v>
      </c>
      <c r="F20" s="43">
        <v>0</v>
      </c>
      <c r="G20" s="18">
        <v>0</v>
      </c>
      <c r="H20" s="18">
        <v>0</v>
      </c>
      <c r="I20" s="55">
        <v>0</v>
      </c>
      <c r="L20" s="143"/>
    </row>
    <row r="21" spans="1:15" ht="31" x14ac:dyDescent="0.35">
      <c r="A21" s="24" t="s">
        <v>21</v>
      </c>
      <c r="B21" s="93"/>
      <c r="C21" s="25">
        <v>15000</v>
      </c>
      <c r="D21" s="26">
        <v>24110</v>
      </c>
      <c r="E21" s="27">
        <v>20000</v>
      </c>
      <c r="F21" s="44">
        <v>24605</v>
      </c>
      <c r="G21" s="28">
        <v>25000</v>
      </c>
      <c r="H21" s="86">
        <v>27700</v>
      </c>
      <c r="I21" s="55">
        <v>28500</v>
      </c>
      <c r="J21" s="95" t="s">
        <v>80</v>
      </c>
      <c r="L21" s="143">
        <f>GETPIVOTDATA("Total sales",PIVOT!$A$3,"Line Item","RACE")</f>
        <v>3475</v>
      </c>
      <c r="M21" s="48">
        <f>GETPIVOTDATA("Sum of Net items sold",PIVOT!$A$3,"Line Item","RACE")</f>
        <v>5</v>
      </c>
      <c r="N21" s="145">
        <f>L21-I21</f>
        <v>-25025</v>
      </c>
      <c r="O21" s="135" t="s">
        <v>236</v>
      </c>
    </row>
    <row r="22" spans="1:15" ht="46.5" x14ac:dyDescent="0.35">
      <c r="A22" s="24" t="s">
        <v>22</v>
      </c>
      <c r="B22" s="93"/>
      <c r="C22" s="25">
        <v>2000</v>
      </c>
      <c r="D22" s="26">
        <v>4008.12</v>
      </c>
      <c r="E22" s="27">
        <v>3000</v>
      </c>
      <c r="F22" s="44">
        <v>4318.84</v>
      </c>
      <c r="G22" s="28">
        <v>4000</v>
      </c>
      <c r="H22" s="86">
        <v>4303.0600000000004</v>
      </c>
      <c r="I22" s="55">
        <v>4500</v>
      </c>
      <c r="J22" s="95" t="s">
        <v>81</v>
      </c>
      <c r="L22" s="143"/>
      <c r="O22" s="135" t="s">
        <v>237</v>
      </c>
    </row>
    <row r="23" spans="1:15" ht="31" x14ac:dyDescent="0.35">
      <c r="A23" s="73" t="s">
        <v>23</v>
      </c>
      <c r="B23" s="80"/>
      <c r="C23" s="25">
        <v>1700</v>
      </c>
      <c r="D23" s="26">
        <v>782</v>
      </c>
      <c r="E23" s="27">
        <v>1000</v>
      </c>
      <c r="F23" s="44">
        <v>1670.26</v>
      </c>
      <c r="G23" s="28">
        <v>1200</v>
      </c>
      <c r="H23" s="86">
        <v>1327.28</v>
      </c>
      <c r="I23" s="55">
        <v>1300</v>
      </c>
      <c r="J23" s="95" t="s">
        <v>82</v>
      </c>
      <c r="L23" s="143"/>
    </row>
    <row r="24" spans="1:15" x14ac:dyDescent="0.35">
      <c r="A24" s="73" t="s">
        <v>24</v>
      </c>
      <c r="B24" s="80"/>
      <c r="C24" s="25">
        <v>1500</v>
      </c>
      <c r="D24" s="26">
        <v>0</v>
      </c>
      <c r="E24" s="27">
        <v>0</v>
      </c>
      <c r="F24" s="74"/>
      <c r="G24" s="74"/>
      <c r="H24" s="28"/>
      <c r="I24" s="55"/>
      <c r="L24" s="143"/>
    </row>
    <row r="25" spans="1:15" x14ac:dyDescent="0.35">
      <c r="A25" s="24" t="s">
        <v>25</v>
      </c>
      <c r="B25" s="93"/>
      <c r="C25" s="25">
        <v>9000</v>
      </c>
      <c r="D25" s="26">
        <v>12361.86</v>
      </c>
      <c r="E25" s="27">
        <v>10000</v>
      </c>
      <c r="F25" s="44">
        <v>13258</v>
      </c>
      <c r="G25" s="28">
        <v>13000</v>
      </c>
      <c r="H25" s="86">
        <v>12747.41</v>
      </c>
      <c r="I25" s="55">
        <v>13000</v>
      </c>
      <c r="J25" s="95" t="s">
        <v>83</v>
      </c>
      <c r="L25" s="143">
        <f>GETPIVOTDATA("Total sales",PIVOT!$A$3,"Line Item","Spirit")</f>
        <v>4081</v>
      </c>
      <c r="M25" s="48">
        <f>GETPIVOTDATA("Sum of Net items sold",PIVOT!$A$3,"Line Item","Spirit")</f>
        <v>151</v>
      </c>
      <c r="N25" s="145">
        <f>L25-I25</f>
        <v>-8919</v>
      </c>
    </row>
    <row r="26" spans="1:15" ht="31" x14ac:dyDescent="0.35">
      <c r="A26" s="24" t="s">
        <v>26</v>
      </c>
      <c r="B26" s="93"/>
      <c r="C26" s="25">
        <v>60000</v>
      </c>
      <c r="D26" s="75">
        <v>49877</v>
      </c>
      <c r="E26" s="76">
        <v>50000</v>
      </c>
      <c r="F26" s="44">
        <v>77266.52</v>
      </c>
      <c r="G26" s="44">
        <v>70000</v>
      </c>
      <c r="H26" s="86">
        <v>88420.25</v>
      </c>
      <c r="I26" s="55">
        <v>90000</v>
      </c>
      <c r="J26" s="95" t="s">
        <v>84</v>
      </c>
      <c r="L26" s="143"/>
    </row>
    <row r="27" spans="1:15" ht="46.5" x14ac:dyDescent="0.35">
      <c r="A27" s="73" t="s">
        <v>27</v>
      </c>
      <c r="B27" s="80"/>
      <c r="C27" s="25">
        <v>5000</v>
      </c>
      <c r="D27" s="26">
        <v>13803</v>
      </c>
      <c r="E27" s="77">
        <v>9000</v>
      </c>
      <c r="F27" s="44">
        <v>7311</v>
      </c>
      <c r="G27" s="28">
        <v>7000</v>
      </c>
      <c r="H27" s="86">
        <v>6493.5</v>
      </c>
      <c r="I27" s="55">
        <v>7000</v>
      </c>
      <c r="J27" s="95" t="s">
        <v>85</v>
      </c>
      <c r="L27" s="143">
        <f>GETPIVOTDATA("Total sales",PIVOT!$A$3,"Line Item","UNIFORM")</f>
        <v>3242</v>
      </c>
      <c r="M27" s="48">
        <f>GETPIVOTDATA("Sum of Net items sold",PIVOT!$A$3,"Line Item","UNIFORM")</f>
        <v>459</v>
      </c>
      <c r="N27" s="145">
        <f>L27-I27</f>
        <v>-3758</v>
      </c>
    </row>
    <row r="28" spans="1:15" ht="16" thickBot="1" x14ac:dyDescent="0.4">
      <c r="A28" s="78" t="s">
        <v>28</v>
      </c>
      <c r="B28" s="104"/>
      <c r="C28" s="64" t="s">
        <v>10</v>
      </c>
      <c r="D28" s="65">
        <v>0</v>
      </c>
      <c r="E28" s="66">
        <v>0</v>
      </c>
      <c r="F28" s="67"/>
      <c r="G28" s="67"/>
      <c r="H28" s="105"/>
      <c r="I28" s="106"/>
      <c r="L28" s="143"/>
    </row>
    <row r="29" spans="1:15" s="48" customFormat="1" ht="16" thickBot="1" x14ac:dyDescent="0.4">
      <c r="A29" s="107"/>
      <c r="B29" s="61" t="s">
        <v>29</v>
      </c>
      <c r="C29" s="62">
        <v>152500</v>
      </c>
      <c r="D29" s="62">
        <f>SUM(D5:D28)</f>
        <v>138902.71000000002</v>
      </c>
      <c r="E29" s="63">
        <f>SUM(E5:E28)-E7</f>
        <v>161300</v>
      </c>
      <c r="F29" s="23">
        <f>F5+F6+F7+F15+F16+F17+F21+F22+F23+F25+F26+F27</f>
        <v>217649.01</v>
      </c>
      <c r="G29" s="23">
        <f>G5+G6+G7+G15+G16+G17+G21+G22+G23+G25+G26+G27</f>
        <v>206700</v>
      </c>
      <c r="H29" s="23">
        <f>H5+H6+H7+H15+H16+H17+H21+H22+H23+H25+H26+H27</f>
        <v>229032.93</v>
      </c>
      <c r="I29" s="56">
        <f>I5+I6+I7+I15+I16+I17+I21+I22+I23+I25+I26+I27</f>
        <v>235600</v>
      </c>
      <c r="L29" s="144">
        <f>SUM(L5:L27)</f>
        <v>28258</v>
      </c>
      <c r="N29" s="144">
        <f>SUM(N5:N27)</f>
        <v>-59242</v>
      </c>
    </row>
    <row r="30" spans="1:15" ht="16" thickBot="1" x14ac:dyDescent="0.4">
      <c r="A30" s="108"/>
      <c r="B30" s="108"/>
      <c r="C30" s="108"/>
      <c r="D30" s="108"/>
      <c r="K30" s="91" t="s">
        <v>230</v>
      </c>
      <c r="L30" s="143">
        <f>L29-GETPIVOTDATA("Total sales",PIVOT!$A$3)</f>
        <v>0</v>
      </c>
    </row>
    <row r="31" spans="1:15" ht="47" thickBot="1" x14ac:dyDescent="0.4">
      <c r="A31" s="1" t="s">
        <v>30</v>
      </c>
      <c r="B31" s="109"/>
      <c r="C31" s="3" t="s">
        <v>2</v>
      </c>
      <c r="D31" s="3" t="s">
        <v>3</v>
      </c>
      <c r="E31" s="46" t="s">
        <v>4</v>
      </c>
      <c r="F31" s="47" t="s">
        <v>62</v>
      </c>
      <c r="G31" s="51" t="s">
        <v>63</v>
      </c>
      <c r="H31" s="52" t="s">
        <v>68</v>
      </c>
      <c r="I31" s="59" t="s">
        <v>70</v>
      </c>
      <c r="J31" s="54" t="s">
        <v>71</v>
      </c>
      <c r="L31" s="143"/>
    </row>
    <row r="32" spans="1:15" x14ac:dyDescent="0.35">
      <c r="A32" s="83" t="s">
        <v>31</v>
      </c>
      <c r="B32" s="80"/>
      <c r="C32" s="32">
        <v>-100</v>
      </c>
      <c r="D32" s="33">
        <v>0</v>
      </c>
      <c r="E32" s="84">
        <v>-100</v>
      </c>
      <c r="F32" s="44">
        <v>0</v>
      </c>
      <c r="G32" s="28">
        <v>-100</v>
      </c>
      <c r="H32" s="110">
        <v>0</v>
      </c>
      <c r="I32" s="55">
        <v>0</v>
      </c>
      <c r="J32" s="95" t="s">
        <v>86</v>
      </c>
      <c r="L32" s="143"/>
    </row>
    <row r="33" spans="1:14" x14ac:dyDescent="0.35">
      <c r="A33" s="20" t="s">
        <v>5</v>
      </c>
      <c r="B33" s="80"/>
      <c r="C33" s="32">
        <v>-8500</v>
      </c>
      <c r="D33" s="33">
        <v>-4894.6899999999996</v>
      </c>
      <c r="E33" s="84">
        <v>-8500</v>
      </c>
      <c r="F33" s="44">
        <v>-11017.27</v>
      </c>
      <c r="G33" s="28">
        <v>-10000</v>
      </c>
      <c r="H33" s="86">
        <v>-5549.46</v>
      </c>
      <c r="I33" s="60">
        <v>-7000</v>
      </c>
      <c r="J33" s="95" t="s">
        <v>87</v>
      </c>
      <c r="L33" s="143">
        <v>0</v>
      </c>
    </row>
    <row r="34" spans="1:14" x14ac:dyDescent="0.35">
      <c r="A34" s="20" t="s">
        <v>32</v>
      </c>
      <c r="B34" s="80"/>
      <c r="C34" s="32">
        <v>-100</v>
      </c>
      <c r="D34" s="33">
        <v>0</v>
      </c>
      <c r="E34" s="84">
        <v>-100</v>
      </c>
      <c r="F34" s="44"/>
      <c r="G34" s="28">
        <v>-100</v>
      </c>
      <c r="H34" s="86">
        <v>0</v>
      </c>
      <c r="I34" s="55">
        <v>0</v>
      </c>
      <c r="J34" s="95"/>
      <c r="L34" s="143">
        <v>0</v>
      </c>
    </row>
    <row r="35" spans="1:14" x14ac:dyDescent="0.35">
      <c r="A35" s="20" t="s">
        <v>33</v>
      </c>
      <c r="B35" s="80"/>
      <c r="C35" s="32">
        <v>-5000</v>
      </c>
      <c r="D35" s="33">
        <v>-5000</v>
      </c>
      <c r="E35" s="84">
        <v>-5000</v>
      </c>
      <c r="F35" s="44"/>
      <c r="G35" s="44">
        <v>-5000</v>
      </c>
      <c r="H35" s="86">
        <v>-10000</v>
      </c>
      <c r="I35" s="55">
        <v>-5000</v>
      </c>
      <c r="J35" s="95" t="s">
        <v>88</v>
      </c>
      <c r="L35" s="143">
        <v>0</v>
      </c>
    </row>
    <row r="36" spans="1:14" ht="46.5" x14ac:dyDescent="0.35">
      <c r="A36" s="20" t="s">
        <v>6</v>
      </c>
      <c r="B36" s="80"/>
      <c r="C36" s="32">
        <v>-26000</v>
      </c>
      <c r="D36" s="33">
        <v>0</v>
      </c>
      <c r="E36" s="84">
        <v>-25000</v>
      </c>
      <c r="F36" s="44">
        <v>-37416.239999999998</v>
      </c>
      <c r="G36" s="28">
        <v>-30000</v>
      </c>
      <c r="H36" s="86">
        <v>-31512.91</v>
      </c>
      <c r="I36" s="55">
        <v>-32000</v>
      </c>
      <c r="J36" s="95" t="s">
        <v>89</v>
      </c>
      <c r="L36" s="143">
        <v>0</v>
      </c>
    </row>
    <row r="37" spans="1:14" s="48" customFormat="1" x14ac:dyDescent="0.35">
      <c r="A37" s="20" t="s">
        <v>7</v>
      </c>
      <c r="B37" s="111"/>
      <c r="C37" s="21">
        <v>-10050</v>
      </c>
      <c r="D37" s="22">
        <f t="shared" ref="D37:E37" si="0">SUM(D38:D44)</f>
        <v>-3463.53</v>
      </c>
      <c r="E37" s="35">
        <f t="shared" si="0"/>
        <v>-12000</v>
      </c>
      <c r="F37" s="39">
        <f>SUM(F38:F44)</f>
        <v>-18376.47</v>
      </c>
      <c r="G37" s="39">
        <f>SUM(G38:G44)</f>
        <v>-17700</v>
      </c>
      <c r="H37" s="28">
        <f>SUM(H38:H44)</f>
        <v>-20318.39</v>
      </c>
      <c r="I37" s="55">
        <f>SUM(I38:I44)</f>
        <v>-21300</v>
      </c>
      <c r="J37" s="14"/>
      <c r="L37" s="144"/>
      <c r="N37" s="136"/>
    </row>
    <row r="38" spans="1:14" ht="31" x14ac:dyDescent="0.35">
      <c r="A38" s="112"/>
      <c r="B38" s="113" t="s">
        <v>34</v>
      </c>
      <c r="C38" s="4">
        <v>-2000</v>
      </c>
      <c r="D38" s="5">
        <v>0</v>
      </c>
      <c r="E38" s="34">
        <v>-2200</v>
      </c>
      <c r="F38" s="43">
        <v>-2210.8000000000002</v>
      </c>
      <c r="G38" s="18">
        <v>-2200</v>
      </c>
      <c r="H38" s="88">
        <v>-2126.9499999999998</v>
      </c>
      <c r="I38" s="55">
        <v>-2300</v>
      </c>
      <c r="J38" s="95" t="s">
        <v>90</v>
      </c>
      <c r="L38" s="143">
        <f>1056+975</f>
        <v>2031</v>
      </c>
    </row>
    <row r="39" spans="1:14" x14ac:dyDescent="0.35">
      <c r="A39" s="7"/>
      <c r="B39" s="98" t="s">
        <v>9</v>
      </c>
      <c r="C39" s="5">
        <v>-500</v>
      </c>
      <c r="D39" s="5">
        <v>-547.47</v>
      </c>
      <c r="E39" s="34">
        <v>-2500</v>
      </c>
      <c r="F39" s="43">
        <v>-2120.71</v>
      </c>
      <c r="G39" s="43">
        <v>-3500</v>
      </c>
      <c r="H39" s="88">
        <v>-3472.16</v>
      </c>
      <c r="I39" s="55">
        <v>-3200</v>
      </c>
      <c r="J39" s="95" t="s">
        <v>115</v>
      </c>
      <c r="L39" s="143"/>
    </row>
    <row r="40" spans="1:14" x14ac:dyDescent="0.35">
      <c r="A40" s="7"/>
      <c r="B40" s="98" t="s">
        <v>11</v>
      </c>
      <c r="C40" s="5">
        <v>0</v>
      </c>
      <c r="D40" s="5">
        <v>-680.08</v>
      </c>
      <c r="E40" s="36">
        <v>-500</v>
      </c>
      <c r="F40" s="19"/>
      <c r="G40" s="19"/>
      <c r="H40" s="88">
        <v>-12.85</v>
      </c>
      <c r="I40" s="55">
        <v>-300</v>
      </c>
      <c r="L40" s="143"/>
    </row>
    <row r="41" spans="1:14" x14ac:dyDescent="0.35">
      <c r="A41" s="7"/>
      <c r="B41" s="98" t="s">
        <v>12</v>
      </c>
      <c r="C41" s="5">
        <v>0</v>
      </c>
      <c r="D41" s="5">
        <v>-1260.5999999999999</v>
      </c>
      <c r="E41" s="36">
        <v>-3000</v>
      </c>
      <c r="F41" s="43">
        <v>-4137.1499999999996</v>
      </c>
      <c r="G41" s="18">
        <v>-3000</v>
      </c>
      <c r="H41" s="88">
        <v>-4720.75</v>
      </c>
      <c r="I41" s="55">
        <v>-5250</v>
      </c>
      <c r="J41" s="95" t="s">
        <v>91</v>
      </c>
      <c r="L41" s="143"/>
    </row>
    <row r="42" spans="1:14" ht="31" x14ac:dyDescent="0.35">
      <c r="A42" s="15"/>
      <c r="B42" s="100" t="s">
        <v>120</v>
      </c>
      <c r="C42" s="114"/>
      <c r="D42" s="114"/>
      <c r="E42" s="36">
        <v>-2500</v>
      </c>
      <c r="F42" s="43">
        <v>-8504.5</v>
      </c>
      <c r="G42" s="18">
        <v>-7500</v>
      </c>
      <c r="H42" s="88">
        <v>-7768.15</v>
      </c>
      <c r="I42" s="55">
        <v>-8000</v>
      </c>
      <c r="J42" s="95" t="s">
        <v>92</v>
      </c>
      <c r="L42" s="143"/>
    </row>
    <row r="43" spans="1:14" ht="31" x14ac:dyDescent="0.35">
      <c r="A43" s="15"/>
      <c r="B43" s="100" t="s">
        <v>13</v>
      </c>
      <c r="C43" s="5">
        <v>0</v>
      </c>
      <c r="D43" s="5">
        <v>0</v>
      </c>
      <c r="E43" s="36">
        <v>-450</v>
      </c>
      <c r="F43" s="43">
        <v>-153.19999999999999</v>
      </c>
      <c r="G43" s="18">
        <v>-500</v>
      </c>
      <c r="H43" s="88">
        <v>-537.77</v>
      </c>
      <c r="I43" s="55">
        <v>-500</v>
      </c>
      <c r="J43" s="95" t="s">
        <v>93</v>
      </c>
      <c r="L43" s="143"/>
    </row>
    <row r="44" spans="1:14" ht="31" x14ac:dyDescent="0.35">
      <c r="A44" s="15"/>
      <c r="B44" s="100" t="s">
        <v>14</v>
      </c>
      <c r="C44" s="5">
        <v>0</v>
      </c>
      <c r="D44" s="5">
        <v>-975.38</v>
      </c>
      <c r="E44" s="36">
        <v>-850</v>
      </c>
      <c r="F44" s="43">
        <v>-1250.1099999999999</v>
      </c>
      <c r="G44" s="18">
        <v>-1000</v>
      </c>
      <c r="H44" s="88">
        <v>-1679.76</v>
      </c>
      <c r="I44" s="55">
        <v>-1750</v>
      </c>
      <c r="J44" s="95" t="s">
        <v>94</v>
      </c>
      <c r="L44" s="143"/>
    </row>
    <row r="45" spans="1:14" x14ac:dyDescent="0.35">
      <c r="A45" s="79" t="s">
        <v>15</v>
      </c>
      <c r="B45" s="115"/>
      <c r="C45" s="32">
        <v>0</v>
      </c>
      <c r="D45" s="33">
        <v>-9742.85</v>
      </c>
      <c r="E45" s="38">
        <v>-10000</v>
      </c>
      <c r="F45" s="44">
        <v>-9467.9500000000007</v>
      </c>
      <c r="G45" s="44">
        <v>-9500</v>
      </c>
      <c r="H45" s="87">
        <v>-25108.98</v>
      </c>
      <c r="I45" s="55">
        <v>-15000</v>
      </c>
      <c r="J45" s="95" t="s">
        <v>116</v>
      </c>
      <c r="L45" s="143">
        <v>1000</v>
      </c>
    </row>
    <row r="46" spans="1:14" s="48" customFormat="1" x14ac:dyDescent="0.35">
      <c r="A46" s="29" t="s">
        <v>35</v>
      </c>
      <c r="B46" s="93"/>
      <c r="C46" s="30">
        <f t="shared" ref="C46:E46" si="1">SUM(C47:C57)</f>
        <v>-10200</v>
      </c>
      <c r="D46" s="30">
        <f t="shared" si="1"/>
        <v>-11278.939999999999</v>
      </c>
      <c r="E46" s="37">
        <f t="shared" si="1"/>
        <v>-13250</v>
      </c>
      <c r="F46" s="39">
        <f>SUM(F47:F57)</f>
        <v>-15624.000000000002</v>
      </c>
      <c r="G46" s="39">
        <f>SUM(G47:G57)</f>
        <v>-17300</v>
      </c>
      <c r="H46" s="28">
        <f>SUM(H47:H57)</f>
        <v>-18340.330000000002</v>
      </c>
      <c r="I46" s="55">
        <f>SUM(I47:I57)</f>
        <v>-19250</v>
      </c>
      <c r="L46" s="144"/>
      <c r="N46" s="136"/>
    </row>
    <row r="47" spans="1:14" ht="31" x14ac:dyDescent="0.35">
      <c r="A47" s="6"/>
      <c r="B47" s="97" t="s">
        <v>123</v>
      </c>
      <c r="C47" s="4">
        <v>-3000</v>
      </c>
      <c r="D47" s="5">
        <v>-5785.66</v>
      </c>
      <c r="E47" s="36">
        <v>-4000</v>
      </c>
      <c r="F47" s="43">
        <v>-2023.43</v>
      </c>
      <c r="G47" s="43">
        <v>-2000</v>
      </c>
      <c r="H47" s="116">
        <v>-2489.66</v>
      </c>
      <c r="I47" s="55">
        <v>-2200</v>
      </c>
      <c r="J47" s="95" t="s">
        <v>95</v>
      </c>
      <c r="L47" s="143"/>
    </row>
    <row r="48" spans="1:14" ht="31" x14ac:dyDescent="0.35">
      <c r="A48" s="6"/>
      <c r="B48" s="95" t="s">
        <v>124</v>
      </c>
      <c r="C48" s="4"/>
      <c r="D48" s="5"/>
      <c r="E48" s="36">
        <v>0</v>
      </c>
      <c r="F48" s="43">
        <v>-1400</v>
      </c>
      <c r="G48" s="43">
        <v>-1400</v>
      </c>
      <c r="H48" s="116">
        <v>-1400</v>
      </c>
      <c r="I48" s="55">
        <v>-1800</v>
      </c>
      <c r="J48" s="95" t="s">
        <v>122</v>
      </c>
      <c r="K48" s="96"/>
      <c r="L48" s="143"/>
    </row>
    <row r="49" spans="1:14" x14ac:dyDescent="0.35">
      <c r="A49" s="6"/>
      <c r="B49" s="97" t="s">
        <v>36</v>
      </c>
      <c r="C49" s="4">
        <v>-2500</v>
      </c>
      <c r="D49" s="5">
        <v>-2095.58</v>
      </c>
      <c r="E49" s="36">
        <v>-2250</v>
      </c>
      <c r="F49" s="43">
        <v>-2408.64</v>
      </c>
      <c r="G49" s="18">
        <v>-2250</v>
      </c>
      <c r="H49" s="88">
        <v>-2493.5300000000002</v>
      </c>
      <c r="I49" s="55">
        <v>-2750</v>
      </c>
      <c r="J49" s="95" t="s">
        <v>96</v>
      </c>
      <c r="L49" s="143"/>
    </row>
    <row r="50" spans="1:14" x14ac:dyDescent="0.35">
      <c r="A50" s="6"/>
      <c r="B50" s="97" t="s">
        <v>37</v>
      </c>
      <c r="C50" s="4">
        <v>0</v>
      </c>
      <c r="D50" s="5">
        <v>-1090</v>
      </c>
      <c r="E50" s="36">
        <v>-2000</v>
      </c>
      <c r="F50" s="43">
        <v>-270.42</v>
      </c>
      <c r="G50" s="43">
        <v>-2000</v>
      </c>
      <c r="H50" s="88">
        <v>0</v>
      </c>
      <c r="I50" s="55">
        <v>0</v>
      </c>
      <c r="J50" s="95" t="s">
        <v>97</v>
      </c>
      <c r="L50" s="143"/>
    </row>
    <row r="51" spans="1:14" x14ac:dyDescent="0.35">
      <c r="A51" s="6"/>
      <c r="B51" s="97" t="s">
        <v>38</v>
      </c>
      <c r="C51" s="4">
        <v>-1700</v>
      </c>
      <c r="D51" s="5">
        <v>0</v>
      </c>
      <c r="E51" s="36">
        <v>-1800</v>
      </c>
      <c r="F51" s="43">
        <v>-6284.39</v>
      </c>
      <c r="G51" s="43">
        <v>-6000</v>
      </c>
      <c r="H51" s="88">
        <v>-9253.0400000000009</v>
      </c>
      <c r="I51" s="55">
        <v>-9500</v>
      </c>
      <c r="J51" s="95" t="s">
        <v>98</v>
      </c>
      <c r="L51" s="143"/>
    </row>
    <row r="52" spans="1:14" x14ac:dyDescent="0.35">
      <c r="A52" s="6"/>
      <c r="B52" s="97" t="s">
        <v>39</v>
      </c>
      <c r="C52" s="4">
        <v>-600</v>
      </c>
      <c r="D52" s="5">
        <v>-107.06</v>
      </c>
      <c r="E52" s="36">
        <v>-200</v>
      </c>
      <c r="F52" s="43">
        <v>-150</v>
      </c>
      <c r="G52" s="18">
        <v>-200</v>
      </c>
      <c r="H52" s="88">
        <v>0</v>
      </c>
      <c r="I52" s="55">
        <v>0</v>
      </c>
      <c r="J52" s="95" t="s">
        <v>99</v>
      </c>
      <c r="L52" s="143"/>
    </row>
    <row r="53" spans="1:14" x14ac:dyDescent="0.35">
      <c r="A53" s="6"/>
      <c r="B53" s="97" t="s">
        <v>40</v>
      </c>
      <c r="C53" s="4">
        <v>-500</v>
      </c>
      <c r="D53" s="5">
        <v>-427.82</v>
      </c>
      <c r="E53" s="36">
        <v>-300</v>
      </c>
      <c r="F53" s="43">
        <v>-303.86</v>
      </c>
      <c r="G53" s="18">
        <v>-500</v>
      </c>
      <c r="H53" s="88">
        <v>-631.78</v>
      </c>
      <c r="I53" s="55">
        <v>-750</v>
      </c>
      <c r="J53" s="95" t="s">
        <v>100</v>
      </c>
      <c r="L53" s="143"/>
    </row>
    <row r="54" spans="1:14" x14ac:dyDescent="0.35">
      <c r="A54" s="6"/>
      <c r="B54" s="97" t="s">
        <v>41</v>
      </c>
      <c r="C54" s="4">
        <v>-1600</v>
      </c>
      <c r="D54" s="5">
        <v>-1642.11</v>
      </c>
      <c r="E54" s="36">
        <v>-1750</v>
      </c>
      <c r="F54" s="43">
        <v>-1775.76</v>
      </c>
      <c r="G54" s="18">
        <v>-1750</v>
      </c>
      <c r="H54" s="88">
        <v>-2072.3200000000002</v>
      </c>
      <c r="I54" s="55">
        <v>-2250</v>
      </c>
      <c r="J54" s="95" t="s">
        <v>101</v>
      </c>
      <c r="L54" s="143"/>
    </row>
    <row r="55" spans="1:14" x14ac:dyDescent="0.35">
      <c r="A55" s="6"/>
      <c r="B55" s="97" t="s">
        <v>42</v>
      </c>
      <c r="C55" s="4" t="s">
        <v>10</v>
      </c>
      <c r="D55" s="5">
        <v>0</v>
      </c>
      <c r="E55" s="36">
        <v>-100</v>
      </c>
      <c r="F55" s="43">
        <v>0</v>
      </c>
      <c r="G55" s="18">
        <v>-100</v>
      </c>
      <c r="H55" s="88">
        <v>0</v>
      </c>
      <c r="I55" s="55">
        <v>0</v>
      </c>
      <c r="L55" s="143"/>
    </row>
    <row r="56" spans="1:14" x14ac:dyDescent="0.35">
      <c r="A56" s="6"/>
      <c r="B56" s="97" t="s">
        <v>43</v>
      </c>
      <c r="C56" s="4">
        <v>0</v>
      </c>
      <c r="D56" s="5">
        <v>0</v>
      </c>
      <c r="E56" s="36">
        <v>-100</v>
      </c>
      <c r="F56" s="43">
        <v>0</v>
      </c>
      <c r="G56" s="18">
        <v>-100</v>
      </c>
      <c r="H56" s="18">
        <v>0</v>
      </c>
      <c r="I56" s="55">
        <v>0</v>
      </c>
      <c r="L56" s="143"/>
    </row>
    <row r="57" spans="1:14" x14ac:dyDescent="0.35">
      <c r="A57" s="6"/>
      <c r="B57" s="97" t="s">
        <v>44</v>
      </c>
      <c r="C57" s="4">
        <v>-300</v>
      </c>
      <c r="D57" s="5">
        <v>-130.71</v>
      </c>
      <c r="E57" s="36">
        <v>-750</v>
      </c>
      <c r="F57" s="43">
        <v>-1007.5</v>
      </c>
      <c r="G57" s="43">
        <v>-1000</v>
      </c>
      <c r="H57" s="18">
        <v>0</v>
      </c>
      <c r="I57" s="55">
        <v>0</v>
      </c>
      <c r="J57" s="95" t="s">
        <v>102</v>
      </c>
      <c r="L57" s="143"/>
    </row>
    <row r="58" spans="1:14" s="48" customFormat="1" x14ac:dyDescent="0.35">
      <c r="A58" s="31" t="s">
        <v>45</v>
      </c>
      <c r="B58" s="93"/>
      <c r="C58" s="32">
        <v>-4400</v>
      </c>
      <c r="D58" s="33">
        <v>-3810.34</v>
      </c>
      <c r="E58" s="38">
        <v>-5850</v>
      </c>
      <c r="F58" s="39">
        <f>SUM(F59:F67)</f>
        <v>-2886.95</v>
      </c>
      <c r="G58" s="39">
        <f>SUM(G59:G67)</f>
        <v>-4850</v>
      </c>
      <c r="H58" s="28">
        <f>SUM(H59:H67)</f>
        <v>-1935.2800000000002</v>
      </c>
      <c r="I58" s="55">
        <f>SUM(I59:I67)</f>
        <v>-4400</v>
      </c>
      <c r="L58" s="144"/>
      <c r="N58" s="136"/>
    </row>
    <row r="59" spans="1:14" ht="31" x14ac:dyDescent="0.35">
      <c r="B59" s="97" t="s">
        <v>46</v>
      </c>
      <c r="C59" s="4">
        <v>-150</v>
      </c>
      <c r="D59" s="5">
        <v>0</v>
      </c>
      <c r="E59" s="36">
        <v>-100</v>
      </c>
      <c r="F59" s="43">
        <v>-81.599999999999994</v>
      </c>
      <c r="G59" s="18">
        <v>-100</v>
      </c>
      <c r="H59" s="88">
        <v>-91.08</v>
      </c>
      <c r="I59" s="55">
        <v>-200</v>
      </c>
      <c r="J59" s="95" t="s">
        <v>103</v>
      </c>
      <c r="L59" s="143"/>
    </row>
    <row r="60" spans="1:14" ht="31" x14ac:dyDescent="0.35">
      <c r="A60" s="6"/>
      <c r="B60" s="98" t="s">
        <v>64</v>
      </c>
      <c r="C60" s="4">
        <v>0</v>
      </c>
      <c r="D60" s="5">
        <v>0</v>
      </c>
      <c r="E60" s="36">
        <v>-600</v>
      </c>
      <c r="F60" s="43">
        <v>-708.61</v>
      </c>
      <c r="G60" s="18">
        <v>-700</v>
      </c>
      <c r="H60" s="88">
        <v>-572.33000000000004</v>
      </c>
      <c r="I60" s="55">
        <v>-700</v>
      </c>
      <c r="J60" s="95" t="s">
        <v>104</v>
      </c>
      <c r="L60" s="143"/>
    </row>
    <row r="61" spans="1:14" x14ac:dyDescent="0.35">
      <c r="A61" s="6"/>
      <c r="B61" s="98" t="s">
        <v>47</v>
      </c>
      <c r="C61" s="4"/>
      <c r="D61" s="5"/>
      <c r="E61" s="36">
        <v>-300</v>
      </c>
      <c r="F61" s="43">
        <v>0</v>
      </c>
      <c r="G61" s="18">
        <v>-300</v>
      </c>
      <c r="H61" s="88">
        <v>-190.68</v>
      </c>
      <c r="I61" s="55">
        <v>-300</v>
      </c>
      <c r="J61" s="95" t="s">
        <v>118</v>
      </c>
      <c r="L61" s="143"/>
    </row>
    <row r="62" spans="1:14" ht="31" x14ac:dyDescent="0.35">
      <c r="A62" s="6"/>
      <c r="B62" s="98" t="s">
        <v>18</v>
      </c>
      <c r="C62" s="4"/>
      <c r="D62" s="5"/>
      <c r="E62" s="36">
        <v>-2000</v>
      </c>
      <c r="F62" s="43">
        <v>-1771.74</v>
      </c>
      <c r="G62" s="43">
        <v>-2000</v>
      </c>
      <c r="H62" s="88">
        <v>-629.54999999999995</v>
      </c>
      <c r="I62" s="55">
        <v>-1000</v>
      </c>
      <c r="J62" s="95" t="s">
        <v>105</v>
      </c>
      <c r="L62" s="143"/>
    </row>
    <row r="63" spans="1:14" x14ac:dyDescent="0.35">
      <c r="B63" s="97" t="s">
        <v>48</v>
      </c>
      <c r="C63" s="4">
        <v>-550</v>
      </c>
      <c r="D63" s="5">
        <v>-500</v>
      </c>
      <c r="E63" s="36">
        <v>-500</v>
      </c>
      <c r="F63" s="43">
        <v>-325</v>
      </c>
      <c r="G63" s="18">
        <v>-500</v>
      </c>
      <c r="H63" s="88">
        <v>-350</v>
      </c>
      <c r="I63" s="55">
        <v>-400</v>
      </c>
      <c r="J63" s="95" t="s">
        <v>106</v>
      </c>
      <c r="L63" s="143"/>
    </row>
    <row r="64" spans="1:14" x14ac:dyDescent="0.35">
      <c r="B64" s="98" t="s">
        <v>49</v>
      </c>
      <c r="C64" s="4">
        <v>-250</v>
      </c>
      <c r="D64" s="5">
        <v>-250</v>
      </c>
      <c r="E64" s="36">
        <v>-250</v>
      </c>
      <c r="F64" s="43"/>
      <c r="G64" s="18">
        <v>-250</v>
      </c>
      <c r="H64" s="88">
        <v>0</v>
      </c>
      <c r="I64" s="117">
        <v>0</v>
      </c>
      <c r="J64" s="95"/>
      <c r="L64" s="143"/>
    </row>
    <row r="65" spans="1:14" x14ac:dyDescent="0.35">
      <c r="B65" s="118" t="s">
        <v>69</v>
      </c>
      <c r="C65" s="4"/>
      <c r="D65" s="5"/>
      <c r="E65" s="36">
        <v>0</v>
      </c>
      <c r="F65" s="43">
        <v>0</v>
      </c>
      <c r="G65" s="18">
        <v>0</v>
      </c>
      <c r="H65" s="88">
        <v>-101.64</v>
      </c>
      <c r="I65" s="55">
        <v>-100</v>
      </c>
      <c r="J65" s="95" t="s">
        <v>117</v>
      </c>
      <c r="L65" s="143"/>
    </row>
    <row r="66" spans="1:14" x14ac:dyDescent="0.35">
      <c r="B66" s="119" t="s">
        <v>126</v>
      </c>
      <c r="C66" s="120"/>
      <c r="D66" s="121"/>
      <c r="E66" s="36"/>
      <c r="F66" s="122"/>
      <c r="G66" s="123"/>
      <c r="H66" s="123">
        <v>0</v>
      </c>
      <c r="I66" s="60">
        <v>-700</v>
      </c>
      <c r="J66" s="95"/>
      <c r="L66" s="143"/>
    </row>
    <row r="67" spans="1:14" x14ac:dyDescent="0.35">
      <c r="B67" s="119" t="s">
        <v>61</v>
      </c>
      <c r="C67" s="4"/>
      <c r="D67" s="5"/>
      <c r="E67" s="36">
        <v>1000</v>
      </c>
      <c r="F67" s="43"/>
      <c r="G67" s="18">
        <v>-1000</v>
      </c>
      <c r="H67" s="18">
        <v>0</v>
      </c>
      <c r="I67" s="55">
        <v>-1000</v>
      </c>
      <c r="J67" s="95" t="s">
        <v>107</v>
      </c>
      <c r="L67" s="143"/>
    </row>
    <row r="68" spans="1:14" s="48" customFormat="1" x14ac:dyDescent="0.35">
      <c r="A68" s="31" t="s">
        <v>50</v>
      </c>
      <c r="B68" s="93"/>
      <c r="C68" s="32">
        <v>-1600</v>
      </c>
      <c r="D68" s="33">
        <v>0</v>
      </c>
      <c r="E68" s="38">
        <f>SUM(E69:E71)</f>
        <v>-400</v>
      </c>
      <c r="F68" s="39">
        <f>SUM(F69:F71)</f>
        <v>-578.20000000000005</v>
      </c>
      <c r="G68" s="39">
        <f>SUM(G69:G71)</f>
        <v>-500</v>
      </c>
      <c r="H68" s="28">
        <f>SUM(H69:H71)</f>
        <v>-643.74</v>
      </c>
      <c r="I68" s="55">
        <f>SUM(I69:I71)</f>
        <v>-700</v>
      </c>
      <c r="J68" s="95"/>
      <c r="L68" s="144"/>
      <c r="N68" s="136"/>
    </row>
    <row r="69" spans="1:14" x14ac:dyDescent="0.35">
      <c r="A69" s="6"/>
      <c r="B69" s="98" t="s">
        <v>20</v>
      </c>
      <c r="C69" s="4">
        <v>0</v>
      </c>
      <c r="D69" s="5">
        <v>0</v>
      </c>
      <c r="E69" s="36">
        <v>0</v>
      </c>
      <c r="F69" s="43">
        <v>0</v>
      </c>
      <c r="G69" s="18">
        <v>0</v>
      </c>
      <c r="H69" s="18"/>
      <c r="I69" s="55"/>
      <c r="J69" s="95"/>
      <c r="L69" s="143"/>
    </row>
    <row r="70" spans="1:14" x14ac:dyDescent="0.35">
      <c r="A70" s="6"/>
      <c r="B70" s="98" t="s">
        <v>19</v>
      </c>
      <c r="C70" s="4">
        <v>0</v>
      </c>
      <c r="D70" s="5">
        <v>0</v>
      </c>
      <c r="E70" s="36">
        <v>0</v>
      </c>
      <c r="F70" s="43">
        <v>0</v>
      </c>
      <c r="G70" s="18">
        <v>0</v>
      </c>
      <c r="H70" s="18"/>
      <c r="I70" s="55"/>
      <c r="J70" s="95"/>
      <c r="L70" s="143"/>
    </row>
    <row r="71" spans="1:14" x14ac:dyDescent="0.35">
      <c r="A71" s="6"/>
      <c r="B71" s="98" t="s">
        <v>51</v>
      </c>
      <c r="C71" s="4">
        <v>0</v>
      </c>
      <c r="D71" s="5">
        <v>0</v>
      </c>
      <c r="E71" s="36">
        <v>-400</v>
      </c>
      <c r="F71" s="43">
        <v>-578.20000000000005</v>
      </c>
      <c r="G71" s="18">
        <v>-500</v>
      </c>
      <c r="H71" s="88">
        <v>-643.74</v>
      </c>
      <c r="I71" s="55">
        <v>-700</v>
      </c>
      <c r="L71" s="143"/>
    </row>
    <row r="72" spans="1:14" x14ac:dyDescent="0.35">
      <c r="A72" s="31" t="s">
        <v>21</v>
      </c>
      <c r="B72" s="93"/>
      <c r="C72" s="32">
        <v>-4000</v>
      </c>
      <c r="D72" s="33">
        <v>-5313.33</v>
      </c>
      <c r="E72" s="38">
        <v>-5500</v>
      </c>
      <c r="F72" s="44">
        <v>-5618</v>
      </c>
      <c r="G72" s="28">
        <v>-5500</v>
      </c>
      <c r="H72" s="86">
        <v>-6456.95</v>
      </c>
      <c r="I72" s="55">
        <v>-8000</v>
      </c>
      <c r="J72" s="95" t="s">
        <v>108</v>
      </c>
      <c r="K72" s="136" t="s">
        <v>235</v>
      </c>
      <c r="L72" s="143"/>
    </row>
    <row r="73" spans="1:14" ht="31" x14ac:dyDescent="0.35">
      <c r="A73" s="31" t="s">
        <v>65</v>
      </c>
      <c r="B73" s="93"/>
      <c r="C73" s="32"/>
      <c r="D73" s="33"/>
      <c r="E73" s="38">
        <v>-1000</v>
      </c>
      <c r="F73" s="44">
        <v>-636</v>
      </c>
      <c r="G73" s="28">
        <v>0</v>
      </c>
      <c r="H73" s="86">
        <v>0</v>
      </c>
      <c r="I73" s="55"/>
      <c r="J73" s="95" t="s">
        <v>109</v>
      </c>
      <c r="L73" s="143"/>
    </row>
    <row r="74" spans="1:14" x14ac:dyDescent="0.35">
      <c r="A74" s="31" t="s">
        <v>23</v>
      </c>
      <c r="B74" s="93"/>
      <c r="C74" s="32"/>
      <c r="D74" s="33"/>
      <c r="E74" s="38"/>
      <c r="F74" s="44">
        <v>-624.03</v>
      </c>
      <c r="G74" s="28">
        <v>-1000</v>
      </c>
      <c r="H74" s="86">
        <v>-1031.08</v>
      </c>
      <c r="I74" s="55">
        <v>-1300</v>
      </c>
      <c r="J74" s="95" t="s">
        <v>110</v>
      </c>
      <c r="L74" s="143"/>
    </row>
    <row r="75" spans="1:14" x14ac:dyDescent="0.35">
      <c r="A75" s="31" t="s">
        <v>52</v>
      </c>
      <c r="B75" s="93"/>
      <c r="C75" s="32">
        <v>-200</v>
      </c>
      <c r="D75" s="33">
        <v>0</v>
      </c>
      <c r="E75" s="38">
        <v>0</v>
      </c>
      <c r="F75" s="74"/>
      <c r="G75" s="74"/>
      <c r="H75" s="28"/>
      <c r="I75" s="55"/>
      <c r="L75" s="143"/>
    </row>
    <row r="76" spans="1:14" x14ac:dyDescent="0.35">
      <c r="A76" s="31" t="s">
        <v>25</v>
      </c>
      <c r="B76" s="93"/>
      <c r="C76" s="32">
        <v>-8000</v>
      </c>
      <c r="D76" s="33">
        <v>-14133.39</v>
      </c>
      <c r="E76" s="38">
        <v>-10000</v>
      </c>
      <c r="F76" s="44">
        <v>-8302.1299999999992</v>
      </c>
      <c r="G76" s="28">
        <v>-10000</v>
      </c>
      <c r="H76" s="86">
        <v>-12780.43</v>
      </c>
      <c r="I76" s="55">
        <v>-13000</v>
      </c>
      <c r="J76" s="95" t="s">
        <v>111</v>
      </c>
      <c r="L76" s="143"/>
    </row>
    <row r="77" spans="1:14" x14ac:dyDescent="0.35">
      <c r="A77" s="24" t="s">
        <v>26</v>
      </c>
      <c r="B77" s="93"/>
      <c r="C77" s="32">
        <v>-60000</v>
      </c>
      <c r="D77" s="33">
        <v>-46391.31</v>
      </c>
      <c r="E77" s="38">
        <v>-50000</v>
      </c>
      <c r="F77" s="44">
        <v>-90379.07</v>
      </c>
      <c r="G77" s="44">
        <v>-75000</v>
      </c>
      <c r="H77" s="86">
        <v>-68440</v>
      </c>
      <c r="I77" s="55">
        <v>-75000</v>
      </c>
      <c r="J77" s="95" t="s">
        <v>112</v>
      </c>
      <c r="L77" s="143"/>
    </row>
    <row r="78" spans="1:14" s="48" customFormat="1" x14ac:dyDescent="0.35">
      <c r="A78" s="13" t="s">
        <v>53</v>
      </c>
      <c r="B78" s="93"/>
      <c r="C78" s="33">
        <f t="shared" ref="C78:D78" si="2">SUM(C79:C83)</f>
        <v>-14100</v>
      </c>
      <c r="D78" s="33">
        <f t="shared" si="2"/>
        <v>-12933.7</v>
      </c>
      <c r="E78" s="38">
        <v>-14500</v>
      </c>
      <c r="F78" s="40">
        <f>SUM(F79:F85)</f>
        <v>-15408.369999999999</v>
      </c>
      <c r="G78" s="40">
        <f>SUM(G79:G83)</f>
        <v>-16100</v>
      </c>
      <c r="H78" s="50">
        <f>SUM(H79:H83)</f>
        <v>-16729.09</v>
      </c>
      <c r="I78" s="57">
        <f>SUM(I79:J83)</f>
        <v>-19500</v>
      </c>
      <c r="L78" s="144"/>
      <c r="N78" s="136"/>
    </row>
    <row r="79" spans="1:14" ht="46.5" x14ac:dyDescent="0.35">
      <c r="A79" s="11"/>
      <c r="B79" s="113" t="s">
        <v>54</v>
      </c>
      <c r="C79" s="4">
        <v>-2300</v>
      </c>
      <c r="D79" s="5">
        <v>-3651.72</v>
      </c>
      <c r="E79" s="36">
        <v>-4500</v>
      </c>
      <c r="F79" s="43">
        <v>-4044.22</v>
      </c>
      <c r="G79" s="43">
        <v>-4500</v>
      </c>
      <c r="H79" s="88">
        <v>-4763.8999999999996</v>
      </c>
      <c r="I79" s="55">
        <v>-6500</v>
      </c>
      <c r="J79" s="95" t="s">
        <v>119</v>
      </c>
      <c r="L79" s="143"/>
    </row>
    <row r="80" spans="1:14" x14ac:dyDescent="0.35">
      <c r="A80" s="11"/>
      <c r="B80" s="113" t="s">
        <v>55</v>
      </c>
      <c r="C80" s="4">
        <v>-400</v>
      </c>
      <c r="D80" s="5">
        <v>0</v>
      </c>
      <c r="E80" s="36">
        <v>0</v>
      </c>
      <c r="F80" s="42">
        <v>0</v>
      </c>
      <c r="G80" s="42">
        <v>0</v>
      </c>
      <c r="H80" s="18"/>
      <c r="I80" s="55">
        <v>0</v>
      </c>
      <c r="L80" s="143"/>
    </row>
    <row r="81" spans="1:14" x14ac:dyDescent="0.35">
      <c r="A81" s="11"/>
      <c r="B81" s="113" t="s">
        <v>56</v>
      </c>
      <c r="C81" s="4">
        <v>-8900</v>
      </c>
      <c r="D81" s="5">
        <v>-7814.94</v>
      </c>
      <c r="E81" s="36">
        <v>-7900</v>
      </c>
      <c r="F81" s="43">
        <v>-9650.44</v>
      </c>
      <c r="G81" s="18">
        <v>-9500</v>
      </c>
      <c r="H81" s="88">
        <v>-10336.280000000001</v>
      </c>
      <c r="I81" s="55">
        <v>-11000</v>
      </c>
      <c r="J81" s="95" t="s">
        <v>113</v>
      </c>
      <c r="L81" s="143"/>
    </row>
    <row r="82" spans="1:14" x14ac:dyDescent="0.35">
      <c r="A82" s="11"/>
      <c r="B82" s="113" t="s">
        <v>57</v>
      </c>
      <c r="C82" s="4">
        <v>-1000</v>
      </c>
      <c r="D82" s="5">
        <v>-1000</v>
      </c>
      <c r="E82" s="36">
        <v>-1000</v>
      </c>
      <c r="F82" s="43">
        <v>-1000</v>
      </c>
      <c r="G82" s="18">
        <v>-1000</v>
      </c>
      <c r="H82" s="88">
        <v>-1000</v>
      </c>
      <c r="I82" s="55">
        <v>-1000</v>
      </c>
      <c r="J82" s="95"/>
      <c r="L82" s="143"/>
    </row>
    <row r="83" spans="1:14" ht="31" x14ac:dyDescent="0.35">
      <c r="A83" s="11"/>
      <c r="B83" s="113" t="s">
        <v>58</v>
      </c>
      <c r="C83" s="4">
        <v>-1500</v>
      </c>
      <c r="D83" s="5">
        <v>-467.04</v>
      </c>
      <c r="E83" s="36">
        <v>-1100</v>
      </c>
      <c r="F83" s="43">
        <v>-713.71</v>
      </c>
      <c r="G83" s="43">
        <v>-1100</v>
      </c>
      <c r="H83" s="88">
        <v>-628.91</v>
      </c>
      <c r="I83" s="55">
        <v>-1000</v>
      </c>
      <c r="J83" s="95" t="s">
        <v>114</v>
      </c>
      <c r="L83" s="143"/>
    </row>
    <row r="84" spans="1:14" x14ac:dyDescent="0.35">
      <c r="A84" s="131" t="s">
        <v>59</v>
      </c>
      <c r="B84" s="132"/>
      <c r="C84" s="32">
        <v>0</v>
      </c>
      <c r="D84" s="33">
        <v>0</v>
      </c>
      <c r="E84" s="38">
        <v>-100</v>
      </c>
      <c r="F84" s="44">
        <v>0</v>
      </c>
      <c r="G84" s="40">
        <v>-2300</v>
      </c>
      <c r="H84" s="86">
        <v>-2287</v>
      </c>
      <c r="I84" s="55">
        <v>-2500</v>
      </c>
      <c r="L84" s="143"/>
    </row>
    <row r="85" spans="1:14" ht="16" thickBot="1" x14ac:dyDescent="0.4">
      <c r="A85" s="13" t="s">
        <v>60</v>
      </c>
      <c r="B85" s="124"/>
      <c r="C85" s="70"/>
      <c r="D85" s="71"/>
      <c r="E85" s="72"/>
      <c r="F85" s="125"/>
      <c r="G85" s="126"/>
      <c r="H85" s="127"/>
      <c r="I85" s="106"/>
      <c r="L85" s="143"/>
    </row>
    <row r="86" spans="1:14" s="48" customFormat="1" ht="16" thickBot="1" x14ac:dyDescent="0.4">
      <c r="A86" s="128"/>
      <c r="B86" s="61" t="s">
        <v>29</v>
      </c>
      <c r="C86" s="68">
        <f>C32+C33+C34+C35+C36+C37+C45+C46+C58+C68+C72+C73+C75+C76+C77+C78+C64+C84</f>
        <v>-152500</v>
      </c>
      <c r="D86" s="68">
        <f>D32+D33+D34+D35+D36+D37+D45+D46+D58+D68+D72+D73+D75+D76+D77+D78+D64+D84</f>
        <v>-117212.07999999999</v>
      </c>
      <c r="E86" s="69">
        <f>E32+E33+E34+E35+E36+E37+E45+E46+E58+E68+E72+E73+E75+E76+E77+E78+E84</f>
        <v>-161300</v>
      </c>
      <c r="F86" s="41">
        <f>F32+F33+F34+F35+F36+F37+F45+F46+F58+F68+F72+F73+F74+F76+F77+F78</f>
        <v>-216334.68</v>
      </c>
      <c r="G86" s="41">
        <f>G32+G33+G34+G35+G36+G37+G45+G46+G58+G68+G72+G73+G74+G76+G77+G78+G84</f>
        <v>-204950</v>
      </c>
      <c r="H86" s="41">
        <f>H32+H33+H34+H35+H36+H37+H45+H46+H58+H68+H72+H73+H74+H76+H77+H78+H84</f>
        <v>-221133.63999999998</v>
      </c>
      <c r="I86" s="58">
        <f>I32+I33+I34+I35+I36+I37+I45+I46+I58+I68+I72+I73+I74+I76+I77+I78+I84</f>
        <v>-223950</v>
      </c>
      <c r="L86" s="144"/>
      <c r="N86" s="136"/>
    </row>
    <row r="87" spans="1:14" x14ac:dyDescent="0.35">
      <c r="C87" s="129"/>
      <c r="L87" s="143"/>
    </row>
    <row r="88" spans="1:14" s="48" customFormat="1" x14ac:dyDescent="0.35">
      <c r="A88" s="13" t="s">
        <v>125</v>
      </c>
      <c r="E88" s="49"/>
      <c r="F88" s="49">
        <f>F29+F86</f>
        <v>1314.3300000000163</v>
      </c>
      <c r="G88" s="49">
        <f>G29+G86</f>
        <v>1750</v>
      </c>
      <c r="H88" s="49">
        <f>H29+H86</f>
        <v>7899.2900000000081</v>
      </c>
      <c r="I88" s="49">
        <f>I29+I86</f>
        <v>11650</v>
      </c>
      <c r="L88" s="144"/>
      <c r="N88" s="136"/>
    </row>
    <row r="89" spans="1:14" x14ac:dyDescent="0.35">
      <c r="C89" s="129"/>
      <c r="D89" s="129"/>
      <c r="L89" s="143"/>
    </row>
    <row r="90" spans="1:14" x14ac:dyDescent="0.35">
      <c r="L90" s="143"/>
    </row>
    <row r="91" spans="1:14" x14ac:dyDescent="0.35">
      <c r="L91" s="143"/>
    </row>
    <row r="92" spans="1:14" x14ac:dyDescent="0.35">
      <c r="L92" s="143"/>
    </row>
    <row r="93" spans="1:14" x14ac:dyDescent="0.35">
      <c r="L93" s="143"/>
    </row>
    <row r="94" spans="1:14" x14ac:dyDescent="0.35">
      <c r="F94" s="130"/>
    </row>
  </sheetData>
  <mergeCells count="4">
    <mergeCell ref="A1:G1"/>
    <mergeCell ref="A2:G2"/>
    <mergeCell ref="A3:D3"/>
    <mergeCell ref="A18:B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84DA-1974-475F-9298-D774083F2585}">
  <dimension ref="A1:K74"/>
  <sheetViews>
    <sheetView workbookViewId="0">
      <selection activeCell="A8" sqref="A8"/>
    </sheetView>
  </sheetViews>
  <sheetFormatPr defaultRowHeight="14.5" x14ac:dyDescent="0.35"/>
  <cols>
    <col min="2" max="2" width="51.54296875" bestFit="1" customWidth="1"/>
    <col min="3" max="3" width="18.81640625" bestFit="1" customWidth="1"/>
    <col min="4" max="4" width="18.54296875" customWidth="1"/>
    <col min="6" max="6" width="12.1796875" bestFit="1" customWidth="1"/>
    <col min="7" max="7" width="11" bestFit="1" customWidth="1"/>
    <col min="8" max="8" width="9.26953125" bestFit="1" customWidth="1"/>
    <col min="9" max="9" width="10.54296875" bestFit="1" customWidth="1"/>
    <col min="10" max="10" width="7.453125" bestFit="1" customWidth="1"/>
    <col min="11" max="11" width="11.7265625" bestFit="1" customWidth="1"/>
  </cols>
  <sheetData>
    <row r="1" spans="1:11" x14ac:dyDescent="0.35">
      <c r="A1" t="s">
        <v>226</v>
      </c>
      <c r="B1" t="s">
        <v>130</v>
      </c>
      <c r="C1" t="s">
        <v>131</v>
      </c>
      <c r="D1" t="s">
        <v>132</v>
      </c>
      <c r="E1" s="137" t="s">
        <v>133</v>
      </c>
      <c r="F1" s="137" t="s">
        <v>134</v>
      </c>
      <c r="G1" s="137" t="s">
        <v>135</v>
      </c>
      <c r="H1" s="137" t="s">
        <v>136</v>
      </c>
      <c r="I1" s="137" t="s">
        <v>137</v>
      </c>
      <c r="J1" s="137" t="s">
        <v>138</v>
      </c>
      <c r="K1" s="137" t="s">
        <v>139</v>
      </c>
    </row>
    <row r="2" spans="1:11" x14ac:dyDescent="0.35">
      <c r="A2" s="138" t="s">
        <v>140</v>
      </c>
      <c r="B2" s="138" t="s">
        <v>141</v>
      </c>
      <c r="C2" s="138" t="s">
        <v>142</v>
      </c>
      <c r="D2" s="138"/>
      <c r="E2" s="139">
        <v>26</v>
      </c>
      <c r="F2" s="139">
        <v>520</v>
      </c>
      <c r="G2" s="139">
        <v>0</v>
      </c>
      <c r="H2" s="139">
        <v>0</v>
      </c>
      <c r="I2" s="139">
        <v>520</v>
      </c>
      <c r="J2" s="139">
        <v>0</v>
      </c>
      <c r="K2" s="139">
        <v>520</v>
      </c>
    </row>
    <row r="3" spans="1:11" x14ac:dyDescent="0.35">
      <c r="A3" s="138" t="s">
        <v>143</v>
      </c>
      <c r="B3" s="138" t="s">
        <v>144</v>
      </c>
      <c r="C3" s="138" t="s">
        <v>142</v>
      </c>
      <c r="D3" s="138"/>
      <c r="E3" s="139">
        <v>2</v>
      </c>
      <c r="F3" s="139">
        <v>150</v>
      </c>
      <c r="G3" s="139">
        <v>0</v>
      </c>
      <c r="H3" s="139">
        <v>0</v>
      </c>
      <c r="I3" s="139">
        <v>150</v>
      </c>
      <c r="J3" s="139">
        <v>0</v>
      </c>
      <c r="K3" s="139">
        <v>150</v>
      </c>
    </row>
    <row r="4" spans="1:11" x14ac:dyDescent="0.35">
      <c r="A4" s="138" t="s">
        <v>143</v>
      </c>
      <c r="B4" s="138" t="s">
        <v>145</v>
      </c>
      <c r="C4" s="138" t="s">
        <v>142</v>
      </c>
      <c r="D4" s="138"/>
      <c r="E4" s="139">
        <v>1</v>
      </c>
      <c r="F4" s="139">
        <v>300</v>
      </c>
      <c r="G4" s="139">
        <v>0</v>
      </c>
      <c r="H4" s="139">
        <v>0</v>
      </c>
      <c r="I4" s="139">
        <v>300</v>
      </c>
      <c r="J4" s="139">
        <v>0</v>
      </c>
      <c r="K4" s="139">
        <v>300</v>
      </c>
    </row>
    <row r="5" spans="1:11" x14ac:dyDescent="0.35">
      <c r="A5" s="138" t="s">
        <v>143</v>
      </c>
      <c r="B5" s="138" t="s">
        <v>146</v>
      </c>
      <c r="C5" s="138" t="s">
        <v>142</v>
      </c>
      <c r="D5" s="138"/>
      <c r="E5" s="139">
        <v>1</v>
      </c>
      <c r="F5" s="139">
        <v>500</v>
      </c>
      <c r="G5" s="139">
        <v>0</v>
      </c>
      <c r="H5" s="139">
        <v>0</v>
      </c>
      <c r="I5" s="139">
        <v>500</v>
      </c>
      <c r="J5" s="139">
        <v>0</v>
      </c>
      <c r="K5" s="139">
        <v>500</v>
      </c>
    </row>
    <row r="6" spans="1:11" x14ac:dyDescent="0.35">
      <c r="A6" s="138" t="s">
        <v>143</v>
      </c>
      <c r="B6" s="139" t="s">
        <v>147</v>
      </c>
      <c r="C6" s="139" t="s">
        <v>142</v>
      </c>
      <c r="D6" s="139"/>
      <c r="E6" s="139">
        <v>5</v>
      </c>
      <c r="F6" s="139">
        <v>3500</v>
      </c>
      <c r="G6" s="139">
        <v>0</v>
      </c>
      <c r="H6" s="139">
        <v>0</v>
      </c>
      <c r="I6" s="139">
        <v>3500</v>
      </c>
      <c r="J6" s="139">
        <v>0</v>
      </c>
      <c r="K6" s="139">
        <v>3500</v>
      </c>
    </row>
    <row r="7" spans="1:11" x14ac:dyDescent="0.35">
      <c r="A7" s="138" t="s">
        <v>143</v>
      </c>
      <c r="B7" s="138" t="s">
        <v>148</v>
      </c>
      <c r="C7" s="138" t="s">
        <v>142</v>
      </c>
      <c r="D7" s="138"/>
      <c r="E7" s="139">
        <v>1</v>
      </c>
      <c r="F7" s="139">
        <v>175</v>
      </c>
      <c r="G7" s="139">
        <v>0</v>
      </c>
      <c r="H7" s="139">
        <v>0</v>
      </c>
      <c r="I7" s="139">
        <v>175</v>
      </c>
      <c r="J7" s="139">
        <v>0</v>
      </c>
      <c r="K7" s="139">
        <v>175</v>
      </c>
    </row>
    <row r="8" spans="1:11" x14ac:dyDescent="0.35">
      <c r="A8" s="138" t="s">
        <v>140</v>
      </c>
      <c r="B8" s="138" t="s">
        <v>149</v>
      </c>
      <c r="C8" s="138" t="s">
        <v>142</v>
      </c>
      <c r="D8" s="138"/>
      <c r="E8" s="139">
        <v>22</v>
      </c>
      <c r="F8" s="139">
        <v>440</v>
      </c>
      <c r="G8" s="139">
        <v>0</v>
      </c>
      <c r="H8" s="139">
        <v>0</v>
      </c>
      <c r="I8" s="139">
        <v>440</v>
      </c>
      <c r="J8" s="139">
        <v>0</v>
      </c>
      <c r="K8" s="139">
        <v>440</v>
      </c>
    </row>
    <row r="9" spans="1:11" x14ac:dyDescent="0.35">
      <c r="A9" s="138" t="s">
        <v>140</v>
      </c>
      <c r="B9" s="138" t="s">
        <v>150</v>
      </c>
      <c r="C9" s="138" t="s">
        <v>142</v>
      </c>
      <c r="D9" s="138"/>
      <c r="E9" s="139">
        <v>26</v>
      </c>
      <c r="F9" s="139">
        <v>520</v>
      </c>
      <c r="G9" s="139">
        <v>0</v>
      </c>
      <c r="H9" s="139">
        <v>0</v>
      </c>
      <c r="I9" s="139">
        <v>520</v>
      </c>
      <c r="J9" s="139">
        <v>0</v>
      </c>
      <c r="K9" s="139">
        <v>520</v>
      </c>
    </row>
    <row r="10" spans="1:11" x14ac:dyDescent="0.35">
      <c r="A10" s="138" t="s">
        <v>140</v>
      </c>
      <c r="B10" s="138" t="s">
        <v>151</v>
      </c>
      <c r="C10" s="138" t="s">
        <v>142</v>
      </c>
      <c r="D10" s="138"/>
      <c r="E10" s="139">
        <v>25</v>
      </c>
      <c r="F10" s="139">
        <v>500</v>
      </c>
      <c r="G10" s="139">
        <v>0</v>
      </c>
      <c r="H10" s="139">
        <v>0</v>
      </c>
      <c r="I10" s="139">
        <v>500</v>
      </c>
      <c r="J10" s="139">
        <v>0</v>
      </c>
      <c r="K10" s="139">
        <v>500</v>
      </c>
    </row>
    <row r="11" spans="1:11" x14ac:dyDescent="0.35">
      <c r="A11" s="138" t="s">
        <v>140</v>
      </c>
      <c r="B11" s="138" t="s">
        <v>152</v>
      </c>
      <c r="C11" s="138" t="s">
        <v>142</v>
      </c>
      <c r="D11" s="138"/>
      <c r="E11" s="139">
        <v>25</v>
      </c>
      <c r="F11" s="139">
        <v>500</v>
      </c>
      <c r="G11" s="139">
        <v>0</v>
      </c>
      <c r="H11" s="139">
        <v>0</v>
      </c>
      <c r="I11" s="139">
        <v>500</v>
      </c>
      <c r="J11" s="139">
        <v>0</v>
      </c>
      <c r="K11" s="139">
        <v>500</v>
      </c>
    </row>
    <row r="12" spans="1:11" x14ac:dyDescent="0.35">
      <c r="A12" s="138" t="s">
        <v>140</v>
      </c>
      <c r="B12" s="138" t="s">
        <v>153</v>
      </c>
      <c r="C12" s="138" t="s">
        <v>142</v>
      </c>
      <c r="D12" s="138"/>
      <c r="E12" s="139">
        <v>18</v>
      </c>
      <c r="F12" s="139">
        <v>360</v>
      </c>
      <c r="G12" s="139">
        <v>0</v>
      </c>
      <c r="H12" s="139">
        <v>0</v>
      </c>
      <c r="I12" s="139">
        <v>360</v>
      </c>
      <c r="J12" s="139">
        <v>0</v>
      </c>
      <c r="K12" s="139">
        <v>360</v>
      </c>
    </row>
    <row r="13" spans="1:11" x14ac:dyDescent="0.35">
      <c r="A13" s="138" t="s">
        <v>140</v>
      </c>
      <c r="B13" s="138" t="s">
        <v>154</v>
      </c>
      <c r="C13" s="138" t="s">
        <v>142</v>
      </c>
      <c r="D13" s="138"/>
      <c r="E13" s="139">
        <v>22</v>
      </c>
      <c r="F13" s="139">
        <v>440</v>
      </c>
      <c r="G13" s="139">
        <v>0</v>
      </c>
      <c r="H13" s="139">
        <v>0</v>
      </c>
      <c r="I13" s="139">
        <v>440</v>
      </c>
      <c r="J13" s="139">
        <v>0</v>
      </c>
      <c r="K13" s="139">
        <v>440</v>
      </c>
    </row>
    <row r="14" spans="1:11" x14ac:dyDescent="0.35">
      <c r="A14" s="138" t="s">
        <v>140</v>
      </c>
      <c r="B14" s="138" t="s">
        <v>155</v>
      </c>
      <c r="C14" s="138" t="s">
        <v>142</v>
      </c>
      <c r="D14" s="138"/>
      <c r="E14" s="139">
        <v>16</v>
      </c>
      <c r="F14" s="139">
        <v>320</v>
      </c>
      <c r="G14" s="139">
        <v>0</v>
      </c>
      <c r="H14" s="139">
        <v>0</v>
      </c>
      <c r="I14" s="139">
        <v>320</v>
      </c>
      <c r="J14" s="139">
        <v>0</v>
      </c>
      <c r="K14" s="139">
        <v>320</v>
      </c>
    </row>
    <row r="15" spans="1:11" x14ac:dyDescent="0.35">
      <c r="A15" s="138" t="s">
        <v>156</v>
      </c>
      <c r="B15" s="139" t="s">
        <v>157</v>
      </c>
      <c r="C15" s="139" t="s">
        <v>142</v>
      </c>
      <c r="D15" s="139"/>
      <c r="E15" s="139">
        <v>227</v>
      </c>
      <c r="F15" s="139">
        <v>5675</v>
      </c>
      <c r="G15" s="139">
        <v>0</v>
      </c>
      <c r="H15" s="139">
        <v>0</v>
      </c>
      <c r="I15" s="139">
        <v>5675</v>
      </c>
      <c r="J15" s="139">
        <v>0</v>
      </c>
      <c r="K15" s="139">
        <v>5675</v>
      </c>
    </row>
    <row r="16" spans="1:11" x14ac:dyDescent="0.35">
      <c r="A16" s="138" t="s">
        <v>17</v>
      </c>
      <c r="B16" s="139" t="s">
        <v>158</v>
      </c>
      <c r="C16" s="139" t="s">
        <v>142</v>
      </c>
      <c r="D16" s="139"/>
      <c r="E16" s="139">
        <v>120</v>
      </c>
      <c r="F16" s="139">
        <v>3000</v>
      </c>
      <c r="G16" s="139">
        <v>0</v>
      </c>
      <c r="H16" s="139">
        <v>0</v>
      </c>
      <c r="I16" s="139">
        <v>3000</v>
      </c>
      <c r="J16" s="139">
        <v>0</v>
      </c>
      <c r="K16" s="139">
        <v>3000</v>
      </c>
    </row>
    <row r="17" spans="1:11" x14ac:dyDescent="0.35">
      <c r="A17" s="138" t="s">
        <v>140</v>
      </c>
      <c r="B17" s="138" t="s">
        <v>159</v>
      </c>
      <c r="C17" s="138" t="s">
        <v>142</v>
      </c>
      <c r="D17" s="138"/>
      <c r="E17" s="139">
        <v>19</v>
      </c>
      <c r="F17" s="139">
        <v>380</v>
      </c>
      <c r="G17" s="139">
        <v>0</v>
      </c>
      <c r="H17" s="139">
        <v>0</v>
      </c>
      <c r="I17" s="139">
        <v>380</v>
      </c>
      <c r="J17" s="139">
        <v>0</v>
      </c>
      <c r="K17" s="139">
        <v>380</v>
      </c>
    </row>
    <row r="18" spans="1:11" x14ac:dyDescent="0.35">
      <c r="A18" s="138" t="s">
        <v>160</v>
      </c>
      <c r="B18" t="s">
        <v>161</v>
      </c>
      <c r="C18" t="s">
        <v>142</v>
      </c>
      <c r="E18" s="137">
        <v>2</v>
      </c>
      <c r="F18" s="137">
        <v>20</v>
      </c>
      <c r="G18" s="137">
        <v>0</v>
      </c>
      <c r="H18" s="137">
        <v>0</v>
      </c>
      <c r="I18" s="137">
        <v>20</v>
      </c>
      <c r="J18" s="137">
        <v>0</v>
      </c>
      <c r="K18" s="137">
        <v>20</v>
      </c>
    </row>
    <row r="19" spans="1:11" x14ac:dyDescent="0.35">
      <c r="A19" s="138" t="s">
        <v>160</v>
      </c>
      <c r="B19" t="s">
        <v>162</v>
      </c>
      <c r="C19" t="s">
        <v>163</v>
      </c>
      <c r="E19" s="137">
        <v>2</v>
      </c>
      <c r="F19" s="137">
        <v>40</v>
      </c>
      <c r="G19" s="137">
        <v>0</v>
      </c>
      <c r="H19" s="137">
        <v>0</v>
      </c>
      <c r="I19" s="137">
        <v>40</v>
      </c>
      <c r="J19" s="137">
        <v>0</v>
      </c>
      <c r="K19" s="137">
        <v>40</v>
      </c>
    </row>
    <row r="20" spans="1:11" x14ac:dyDescent="0.35">
      <c r="A20" s="138" t="s">
        <v>160</v>
      </c>
      <c r="B20" t="s">
        <v>164</v>
      </c>
      <c r="C20" t="s">
        <v>142</v>
      </c>
      <c r="E20" s="137">
        <v>13</v>
      </c>
      <c r="F20" s="137">
        <v>65</v>
      </c>
      <c r="G20" s="137">
        <v>0</v>
      </c>
      <c r="H20" s="137">
        <v>0</v>
      </c>
      <c r="I20" s="137">
        <v>65</v>
      </c>
      <c r="J20" s="137">
        <v>0</v>
      </c>
      <c r="K20" s="137">
        <v>65</v>
      </c>
    </row>
    <row r="21" spans="1:11" x14ac:dyDescent="0.35">
      <c r="A21" s="138" t="s">
        <v>160</v>
      </c>
      <c r="B21" t="s">
        <v>165</v>
      </c>
      <c r="C21" t="s">
        <v>163</v>
      </c>
      <c r="E21" s="137">
        <v>2</v>
      </c>
      <c r="F21" s="137">
        <v>40</v>
      </c>
      <c r="G21" s="137">
        <v>0</v>
      </c>
      <c r="H21" s="137">
        <v>0</v>
      </c>
      <c r="I21" s="137">
        <v>40</v>
      </c>
      <c r="J21" s="137">
        <v>0</v>
      </c>
      <c r="K21" s="137">
        <v>40</v>
      </c>
    </row>
    <row r="22" spans="1:11" x14ac:dyDescent="0.35">
      <c r="A22" s="138" t="s">
        <v>160</v>
      </c>
      <c r="B22" t="s">
        <v>165</v>
      </c>
      <c r="C22" t="s">
        <v>166</v>
      </c>
      <c r="E22" s="137">
        <v>1</v>
      </c>
      <c r="F22" s="137">
        <v>20</v>
      </c>
      <c r="G22" s="137">
        <v>0</v>
      </c>
      <c r="H22" s="137">
        <v>0</v>
      </c>
      <c r="I22" s="137">
        <v>20</v>
      </c>
      <c r="J22" s="137">
        <v>0</v>
      </c>
      <c r="K22" s="137">
        <v>20</v>
      </c>
    </row>
    <row r="23" spans="1:11" x14ac:dyDescent="0.35">
      <c r="A23" s="138" t="s">
        <v>160</v>
      </c>
      <c r="B23" t="s">
        <v>167</v>
      </c>
      <c r="C23" t="s">
        <v>168</v>
      </c>
      <c r="E23" s="137">
        <v>3</v>
      </c>
      <c r="F23" s="137">
        <v>75</v>
      </c>
      <c r="G23" s="137">
        <v>0</v>
      </c>
      <c r="H23" s="137">
        <v>0</v>
      </c>
      <c r="I23" s="137">
        <v>75</v>
      </c>
      <c r="J23" s="137">
        <v>0</v>
      </c>
      <c r="K23" s="137">
        <v>75</v>
      </c>
    </row>
    <row r="24" spans="1:11" x14ac:dyDescent="0.35">
      <c r="A24" s="138" t="s">
        <v>160</v>
      </c>
      <c r="B24" t="s">
        <v>167</v>
      </c>
      <c r="C24" t="s">
        <v>169</v>
      </c>
      <c r="E24" s="137">
        <v>1</v>
      </c>
      <c r="F24" s="137">
        <v>25</v>
      </c>
      <c r="G24" s="137">
        <v>0</v>
      </c>
      <c r="H24" s="137">
        <v>0</v>
      </c>
      <c r="I24" s="137">
        <v>25</v>
      </c>
      <c r="J24" s="137">
        <v>0</v>
      </c>
      <c r="K24" s="137">
        <v>25</v>
      </c>
    </row>
    <row r="25" spans="1:11" x14ac:dyDescent="0.35">
      <c r="A25" s="138" t="s">
        <v>160</v>
      </c>
      <c r="B25" t="s">
        <v>170</v>
      </c>
      <c r="C25" t="s">
        <v>171</v>
      </c>
      <c r="E25" s="137">
        <v>2</v>
      </c>
      <c r="F25" s="137">
        <v>70</v>
      </c>
      <c r="G25" s="137">
        <v>0</v>
      </c>
      <c r="H25" s="137">
        <v>0</v>
      </c>
      <c r="I25" s="137">
        <v>70</v>
      </c>
      <c r="J25" s="137">
        <v>0</v>
      </c>
      <c r="K25" s="137">
        <v>70</v>
      </c>
    </row>
    <row r="26" spans="1:11" x14ac:dyDescent="0.35">
      <c r="A26" s="138" t="s">
        <v>160</v>
      </c>
      <c r="B26" t="s">
        <v>170</v>
      </c>
      <c r="C26" t="s">
        <v>172</v>
      </c>
      <c r="E26" s="137">
        <v>1</v>
      </c>
      <c r="F26" s="137">
        <v>35</v>
      </c>
      <c r="G26" s="137">
        <v>0</v>
      </c>
      <c r="H26" s="137">
        <v>0</v>
      </c>
      <c r="I26" s="137">
        <v>35</v>
      </c>
      <c r="J26" s="137">
        <v>0</v>
      </c>
      <c r="K26" s="137">
        <v>35</v>
      </c>
    </row>
    <row r="27" spans="1:11" x14ac:dyDescent="0.35">
      <c r="A27" s="138" t="s">
        <v>160</v>
      </c>
      <c r="B27" t="s">
        <v>173</v>
      </c>
      <c r="C27" t="s">
        <v>174</v>
      </c>
      <c r="E27" s="137">
        <v>2</v>
      </c>
      <c r="F27" s="137">
        <v>30</v>
      </c>
      <c r="G27" s="137">
        <v>0</v>
      </c>
      <c r="H27" s="137">
        <v>0</v>
      </c>
      <c r="I27" s="137">
        <v>30</v>
      </c>
      <c r="J27" s="137">
        <v>0</v>
      </c>
      <c r="K27" s="137">
        <v>30</v>
      </c>
    </row>
    <row r="28" spans="1:11" x14ac:dyDescent="0.35">
      <c r="A28" s="138" t="s">
        <v>160</v>
      </c>
      <c r="B28" t="s">
        <v>175</v>
      </c>
      <c r="C28" t="s">
        <v>176</v>
      </c>
      <c r="E28" s="137">
        <v>2</v>
      </c>
      <c r="F28" s="137">
        <v>50</v>
      </c>
      <c r="G28" s="137">
        <v>0</v>
      </c>
      <c r="H28" s="137">
        <v>0</v>
      </c>
      <c r="I28" s="137">
        <v>50</v>
      </c>
      <c r="J28" s="137">
        <v>0</v>
      </c>
      <c r="K28" s="137">
        <v>50</v>
      </c>
    </row>
    <row r="29" spans="1:11" x14ac:dyDescent="0.35">
      <c r="A29" s="138" t="s">
        <v>160</v>
      </c>
      <c r="B29" t="s">
        <v>177</v>
      </c>
      <c r="C29" t="s">
        <v>178</v>
      </c>
      <c r="E29" s="137">
        <v>1</v>
      </c>
      <c r="F29" s="137">
        <v>40</v>
      </c>
      <c r="G29" s="137">
        <v>0</v>
      </c>
      <c r="H29" s="137">
        <v>0</v>
      </c>
      <c r="I29" s="137">
        <v>40</v>
      </c>
      <c r="J29" s="137">
        <v>0</v>
      </c>
      <c r="K29" s="137">
        <v>40</v>
      </c>
    </row>
    <row r="30" spans="1:11" x14ac:dyDescent="0.35">
      <c r="A30" s="138" t="s">
        <v>160</v>
      </c>
      <c r="B30" t="s">
        <v>179</v>
      </c>
      <c r="C30" t="s">
        <v>180</v>
      </c>
      <c r="E30" s="137">
        <v>1</v>
      </c>
      <c r="F30" s="137">
        <v>35</v>
      </c>
      <c r="G30" s="137">
        <v>0</v>
      </c>
      <c r="H30" s="137">
        <v>0</v>
      </c>
      <c r="I30" s="137">
        <v>35</v>
      </c>
      <c r="J30" s="137">
        <v>0</v>
      </c>
      <c r="K30" s="137">
        <v>35</v>
      </c>
    </row>
    <row r="31" spans="1:11" x14ac:dyDescent="0.35">
      <c r="A31" s="138" t="s">
        <v>160</v>
      </c>
      <c r="B31" t="s">
        <v>181</v>
      </c>
      <c r="C31" t="s">
        <v>182</v>
      </c>
      <c r="E31" s="137">
        <v>2</v>
      </c>
      <c r="F31" s="137">
        <v>56</v>
      </c>
      <c r="G31" s="137">
        <v>0</v>
      </c>
      <c r="H31" s="137">
        <v>0</v>
      </c>
      <c r="I31" s="137">
        <v>56</v>
      </c>
      <c r="J31" s="137">
        <v>0</v>
      </c>
      <c r="K31" s="137">
        <v>56</v>
      </c>
    </row>
    <row r="32" spans="1:11" x14ac:dyDescent="0.35">
      <c r="A32" s="138" t="s">
        <v>160</v>
      </c>
      <c r="B32" t="s">
        <v>181</v>
      </c>
      <c r="C32" t="s">
        <v>183</v>
      </c>
      <c r="E32" s="137">
        <v>1</v>
      </c>
      <c r="F32" s="137">
        <v>28</v>
      </c>
      <c r="G32" s="137">
        <v>0</v>
      </c>
      <c r="H32" s="137">
        <v>0</v>
      </c>
      <c r="I32" s="137">
        <v>28</v>
      </c>
      <c r="J32" s="137">
        <v>0</v>
      </c>
      <c r="K32" s="137">
        <v>28</v>
      </c>
    </row>
    <row r="33" spans="1:11" x14ac:dyDescent="0.35">
      <c r="A33" s="138" t="s">
        <v>160</v>
      </c>
      <c r="B33" t="s">
        <v>181</v>
      </c>
      <c r="C33" t="s">
        <v>184</v>
      </c>
      <c r="E33" s="137">
        <v>1</v>
      </c>
      <c r="F33" s="137">
        <v>28</v>
      </c>
      <c r="G33" s="137">
        <v>0</v>
      </c>
      <c r="H33" s="137">
        <v>0</v>
      </c>
      <c r="I33" s="137">
        <v>28</v>
      </c>
      <c r="J33" s="137">
        <v>0</v>
      </c>
      <c r="K33" s="137">
        <v>28</v>
      </c>
    </row>
    <row r="34" spans="1:11" x14ac:dyDescent="0.35">
      <c r="A34" s="138" t="s">
        <v>160</v>
      </c>
      <c r="B34" t="s">
        <v>185</v>
      </c>
      <c r="C34" t="s">
        <v>186</v>
      </c>
      <c r="E34" s="137">
        <v>5</v>
      </c>
      <c r="F34" s="137">
        <v>115</v>
      </c>
      <c r="G34" s="137">
        <v>0</v>
      </c>
      <c r="H34" s="137">
        <v>0</v>
      </c>
      <c r="I34" s="137">
        <v>115</v>
      </c>
      <c r="J34" s="137">
        <v>0</v>
      </c>
      <c r="K34" s="137">
        <v>115</v>
      </c>
    </row>
    <row r="35" spans="1:11" x14ac:dyDescent="0.35">
      <c r="A35" s="138" t="s">
        <v>160</v>
      </c>
      <c r="B35" t="s">
        <v>185</v>
      </c>
      <c r="C35" t="s">
        <v>187</v>
      </c>
      <c r="E35" s="137">
        <v>3</v>
      </c>
      <c r="F35" s="137">
        <v>69</v>
      </c>
      <c r="G35" s="137">
        <v>0</v>
      </c>
      <c r="H35" s="137">
        <v>0</v>
      </c>
      <c r="I35" s="137">
        <v>69</v>
      </c>
      <c r="J35" s="137">
        <v>0</v>
      </c>
      <c r="K35" s="137">
        <v>69</v>
      </c>
    </row>
    <row r="36" spans="1:11" x14ac:dyDescent="0.35">
      <c r="A36" s="138" t="s">
        <v>160</v>
      </c>
      <c r="B36" t="s">
        <v>185</v>
      </c>
      <c r="C36" t="s">
        <v>188</v>
      </c>
      <c r="E36" s="137">
        <v>2</v>
      </c>
      <c r="F36" s="137">
        <v>46</v>
      </c>
      <c r="G36" s="137">
        <v>0</v>
      </c>
      <c r="H36" s="137">
        <v>0</v>
      </c>
      <c r="I36" s="137">
        <v>46</v>
      </c>
      <c r="J36" s="137">
        <v>0</v>
      </c>
      <c r="K36" s="137">
        <v>46</v>
      </c>
    </row>
    <row r="37" spans="1:11" x14ac:dyDescent="0.35">
      <c r="A37" s="138" t="s">
        <v>160</v>
      </c>
      <c r="B37" t="s">
        <v>185</v>
      </c>
      <c r="C37" t="s">
        <v>189</v>
      </c>
      <c r="E37" s="137">
        <v>1</v>
      </c>
      <c r="F37" s="137">
        <v>23</v>
      </c>
      <c r="G37" s="137">
        <v>0</v>
      </c>
      <c r="H37" s="137">
        <v>0</v>
      </c>
      <c r="I37" s="137">
        <v>23</v>
      </c>
      <c r="J37" s="137">
        <v>0</v>
      </c>
      <c r="K37" s="137">
        <v>23</v>
      </c>
    </row>
    <row r="38" spans="1:11" x14ac:dyDescent="0.35">
      <c r="A38" s="138" t="s">
        <v>160</v>
      </c>
      <c r="B38" t="s">
        <v>190</v>
      </c>
      <c r="C38" t="s">
        <v>187</v>
      </c>
      <c r="E38" s="137">
        <v>7</v>
      </c>
      <c r="F38" s="137">
        <v>161</v>
      </c>
      <c r="G38" s="137">
        <v>0</v>
      </c>
      <c r="H38" s="137">
        <v>0</v>
      </c>
      <c r="I38" s="137">
        <v>161</v>
      </c>
      <c r="J38" s="137">
        <v>0</v>
      </c>
      <c r="K38" s="137">
        <v>161</v>
      </c>
    </row>
    <row r="39" spans="1:11" x14ac:dyDescent="0.35">
      <c r="A39" s="138" t="s">
        <v>160</v>
      </c>
      <c r="B39" t="s">
        <v>190</v>
      </c>
      <c r="C39" t="s">
        <v>188</v>
      </c>
      <c r="E39" s="137">
        <v>6</v>
      </c>
      <c r="F39" s="137">
        <v>138</v>
      </c>
      <c r="G39" s="137">
        <v>0</v>
      </c>
      <c r="H39" s="137">
        <v>0</v>
      </c>
      <c r="I39" s="137">
        <v>138</v>
      </c>
      <c r="J39" s="137">
        <v>0</v>
      </c>
      <c r="K39" s="137">
        <v>138</v>
      </c>
    </row>
    <row r="40" spans="1:11" x14ac:dyDescent="0.35">
      <c r="A40" s="138" t="s">
        <v>160</v>
      </c>
      <c r="B40" t="s">
        <v>190</v>
      </c>
      <c r="C40" t="s">
        <v>186</v>
      </c>
      <c r="E40" s="137">
        <v>4</v>
      </c>
      <c r="F40" s="137">
        <v>92</v>
      </c>
      <c r="G40" s="137">
        <v>0</v>
      </c>
      <c r="H40" s="137">
        <v>0</v>
      </c>
      <c r="I40" s="137">
        <v>92</v>
      </c>
      <c r="J40" s="137">
        <v>0</v>
      </c>
      <c r="K40" s="137">
        <v>92</v>
      </c>
    </row>
    <row r="41" spans="1:11" x14ac:dyDescent="0.35">
      <c r="A41" s="138" t="s">
        <v>160</v>
      </c>
      <c r="B41" t="s">
        <v>190</v>
      </c>
      <c r="C41" t="s">
        <v>189</v>
      </c>
      <c r="E41" s="137">
        <v>4</v>
      </c>
      <c r="F41" s="137">
        <v>92</v>
      </c>
      <c r="G41" s="137">
        <v>0</v>
      </c>
      <c r="H41" s="137">
        <v>0</v>
      </c>
      <c r="I41" s="137">
        <v>92</v>
      </c>
      <c r="J41" s="137">
        <v>0</v>
      </c>
      <c r="K41" s="137">
        <v>92</v>
      </c>
    </row>
    <row r="42" spans="1:11" x14ac:dyDescent="0.35">
      <c r="A42" s="138" t="s">
        <v>160</v>
      </c>
      <c r="B42" t="s">
        <v>190</v>
      </c>
      <c r="C42" t="s">
        <v>191</v>
      </c>
      <c r="E42" s="137">
        <v>3</v>
      </c>
      <c r="F42" s="137">
        <v>69</v>
      </c>
      <c r="G42" s="137">
        <v>0</v>
      </c>
      <c r="H42" s="137">
        <v>0</v>
      </c>
      <c r="I42" s="137">
        <v>69</v>
      </c>
      <c r="J42" s="137">
        <v>0</v>
      </c>
      <c r="K42" s="137">
        <v>69</v>
      </c>
    </row>
    <row r="43" spans="1:11" x14ac:dyDescent="0.35">
      <c r="A43" s="138" t="s">
        <v>160</v>
      </c>
      <c r="B43" t="s">
        <v>192</v>
      </c>
      <c r="C43" t="s">
        <v>142</v>
      </c>
      <c r="E43" s="137">
        <v>1</v>
      </c>
      <c r="F43" s="137">
        <v>35</v>
      </c>
      <c r="G43" s="137">
        <v>0</v>
      </c>
      <c r="H43" s="137">
        <v>0</v>
      </c>
      <c r="I43" s="137">
        <v>35</v>
      </c>
      <c r="J43" s="137">
        <v>0</v>
      </c>
      <c r="K43" s="137">
        <v>35</v>
      </c>
    </row>
    <row r="44" spans="1:11" x14ac:dyDescent="0.35">
      <c r="A44" s="138" t="s">
        <v>160</v>
      </c>
      <c r="B44" t="s">
        <v>193</v>
      </c>
      <c r="C44" t="s">
        <v>142</v>
      </c>
      <c r="E44" s="137">
        <v>4</v>
      </c>
      <c r="F44" s="137">
        <v>120</v>
      </c>
      <c r="G44" s="137">
        <v>0</v>
      </c>
      <c r="H44" s="137">
        <v>0</v>
      </c>
      <c r="I44" s="137">
        <v>120</v>
      </c>
      <c r="J44" s="137">
        <v>0</v>
      </c>
      <c r="K44" s="137">
        <v>120</v>
      </c>
    </row>
    <row r="45" spans="1:11" x14ac:dyDescent="0.35">
      <c r="A45" s="138" t="s">
        <v>160</v>
      </c>
      <c r="B45" t="s">
        <v>194</v>
      </c>
      <c r="C45" t="s">
        <v>195</v>
      </c>
      <c r="E45" s="137">
        <v>2</v>
      </c>
      <c r="F45" s="137">
        <v>52</v>
      </c>
      <c r="G45" s="137">
        <v>0</v>
      </c>
      <c r="H45" s="137">
        <v>0</v>
      </c>
      <c r="I45" s="137">
        <v>52</v>
      </c>
      <c r="J45" s="137">
        <v>0</v>
      </c>
      <c r="K45" s="137">
        <v>52</v>
      </c>
    </row>
    <row r="46" spans="1:11" x14ac:dyDescent="0.35">
      <c r="A46" s="138" t="s">
        <v>160</v>
      </c>
      <c r="B46" t="s">
        <v>194</v>
      </c>
      <c r="C46" t="s">
        <v>196</v>
      </c>
      <c r="E46" s="137">
        <v>2</v>
      </c>
      <c r="F46" s="137">
        <v>52</v>
      </c>
      <c r="G46" s="137">
        <v>0</v>
      </c>
      <c r="H46" s="137">
        <v>0</v>
      </c>
      <c r="I46" s="137">
        <v>52</v>
      </c>
      <c r="J46" s="137">
        <v>0</v>
      </c>
      <c r="K46" s="137">
        <v>52</v>
      </c>
    </row>
    <row r="47" spans="1:11" x14ac:dyDescent="0.35">
      <c r="A47" s="138" t="s">
        <v>160</v>
      </c>
      <c r="B47" t="s">
        <v>197</v>
      </c>
      <c r="C47" t="s">
        <v>198</v>
      </c>
      <c r="E47" s="137">
        <v>4</v>
      </c>
      <c r="F47" s="137">
        <v>120</v>
      </c>
      <c r="G47" s="137">
        <v>0</v>
      </c>
      <c r="H47" s="137">
        <v>0</v>
      </c>
      <c r="I47" s="137">
        <v>120</v>
      </c>
      <c r="J47" s="137">
        <v>0</v>
      </c>
      <c r="K47" s="137">
        <v>120</v>
      </c>
    </row>
    <row r="48" spans="1:11" x14ac:dyDescent="0.35">
      <c r="A48" s="138" t="s">
        <v>160</v>
      </c>
      <c r="B48" t="s">
        <v>197</v>
      </c>
      <c r="C48" t="s">
        <v>199</v>
      </c>
      <c r="E48" s="137">
        <v>1</v>
      </c>
      <c r="F48" s="137">
        <v>30</v>
      </c>
      <c r="G48" s="137">
        <v>0</v>
      </c>
      <c r="H48" s="137">
        <v>0</v>
      </c>
      <c r="I48" s="137">
        <v>30</v>
      </c>
      <c r="J48" s="137">
        <v>0</v>
      </c>
      <c r="K48" s="137">
        <v>30</v>
      </c>
    </row>
    <row r="49" spans="1:11" x14ac:dyDescent="0.35">
      <c r="A49" s="138" t="s">
        <v>160</v>
      </c>
      <c r="B49" t="s">
        <v>200</v>
      </c>
      <c r="C49" t="s">
        <v>198</v>
      </c>
      <c r="E49" s="137">
        <v>0</v>
      </c>
      <c r="F49" s="137">
        <v>45</v>
      </c>
      <c r="G49" s="137">
        <v>0</v>
      </c>
      <c r="H49" s="137">
        <v>-45</v>
      </c>
      <c r="I49" s="137">
        <v>0</v>
      </c>
      <c r="J49" s="137">
        <v>0</v>
      </c>
      <c r="K49" s="137">
        <v>0</v>
      </c>
    </row>
    <row r="50" spans="1:11" x14ac:dyDescent="0.35">
      <c r="A50" s="138" t="s">
        <v>140</v>
      </c>
      <c r="B50" s="138" t="s">
        <v>201</v>
      </c>
      <c r="C50" s="138" t="s">
        <v>142</v>
      </c>
      <c r="D50" s="138"/>
      <c r="E50" s="139">
        <v>9</v>
      </c>
      <c r="F50" s="139">
        <v>180</v>
      </c>
      <c r="G50" s="139">
        <v>0</v>
      </c>
      <c r="H50" s="139">
        <v>0</v>
      </c>
      <c r="I50" s="139">
        <v>180</v>
      </c>
      <c r="J50" s="139">
        <v>0</v>
      </c>
      <c r="K50" s="139">
        <v>180</v>
      </c>
    </row>
    <row r="51" spans="1:11" x14ac:dyDescent="0.35">
      <c r="A51" s="138" t="s">
        <v>160</v>
      </c>
      <c r="B51" t="s">
        <v>202</v>
      </c>
      <c r="C51" t="s">
        <v>203</v>
      </c>
      <c r="E51" s="137">
        <v>20</v>
      </c>
      <c r="F51" s="137">
        <v>680</v>
      </c>
      <c r="G51" s="137">
        <v>0</v>
      </c>
      <c r="H51" s="137">
        <v>0</v>
      </c>
      <c r="I51" s="137">
        <v>680</v>
      </c>
      <c r="J51" s="137">
        <v>0</v>
      </c>
      <c r="K51" s="137">
        <v>680</v>
      </c>
    </row>
    <row r="52" spans="1:11" x14ac:dyDescent="0.35">
      <c r="A52" s="138" t="s">
        <v>160</v>
      </c>
      <c r="B52" t="s">
        <v>202</v>
      </c>
      <c r="C52" t="s">
        <v>199</v>
      </c>
      <c r="E52" s="137">
        <v>19</v>
      </c>
      <c r="F52" s="137">
        <v>646</v>
      </c>
      <c r="G52" s="137">
        <v>0</v>
      </c>
      <c r="H52" s="137">
        <v>0</v>
      </c>
      <c r="I52" s="137">
        <v>646</v>
      </c>
      <c r="J52" s="137">
        <v>0</v>
      </c>
      <c r="K52" s="137">
        <v>646</v>
      </c>
    </row>
    <row r="53" spans="1:11" x14ac:dyDescent="0.35">
      <c r="A53" s="138" t="s">
        <v>160</v>
      </c>
      <c r="B53" t="s">
        <v>202</v>
      </c>
      <c r="C53" t="s">
        <v>204</v>
      </c>
      <c r="E53" s="137">
        <v>9</v>
      </c>
      <c r="F53" s="137">
        <v>306</v>
      </c>
      <c r="G53" s="137">
        <v>0</v>
      </c>
      <c r="H53" s="137">
        <v>0</v>
      </c>
      <c r="I53" s="137">
        <v>306</v>
      </c>
      <c r="J53" s="137">
        <v>0</v>
      </c>
      <c r="K53" s="137">
        <v>306</v>
      </c>
    </row>
    <row r="54" spans="1:11" x14ac:dyDescent="0.35">
      <c r="A54" s="138" t="s">
        <v>160</v>
      </c>
      <c r="B54" t="s">
        <v>202</v>
      </c>
      <c r="C54" t="s">
        <v>198</v>
      </c>
      <c r="E54" s="137">
        <v>8</v>
      </c>
      <c r="F54" s="137">
        <v>272</v>
      </c>
      <c r="G54" s="137">
        <v>0</v>
      </c>
      <c r="H54" s="137">
        <v>0</v>
      </c>
      <c r="I54" s="137">
        <v>272</v>
      </c>
      <c r="J54" s="137">
        <v>0</v>
      </c>
      <c r="K54" s="137">
        <v>272</v>
      </c>
    </row>
    <row r="55" spans="1:11" x14ac:dyDescent="0.35">
      <c r="A55" s="138" t="s">
        <v>160</v>
      </c>
      <c r="B55" t="s">
        <v>202</v>
      </c>
      <c r="C55" t="s">
        <v>172</v>
      </c>
      <c r="E55" s="137">
        <v>5</v>
      </c>
      <c r="F55" s="137">
        <v>170</v>
      </c>
      <c r="G55" s="137">
        <v>0</v>
      </c>
      <c r="H55" s="137">
        <v>0</v>
      </c>
      <c r="I55" s="137">
        <v>170</v>
      </c>
      <c r="J55" s="137">
        <v>0</v>
      </c>
      <c r="K55" s="137">
        <v>170</v>
      </c>
    </row>
    <row r="56" spans="1:11" x14ac:dyDescent="0.35">
      <c r="A56" s="138" t="s">
        <v>160</v>
      </c>
      <c r="B56" t="s">
        <v>202</v>
      </c>
      <c r="C56" t="s">
        <v>205</v>
      </c>
      <c r="E56" s="137">
        <v>4</v>
      </c>
      <c r="F56" s="137">
        <v>136</v>
      </c>
      <c r="G56" s="137">
        <v>0</v>
      </c>
      <c r="H56" s="137">
        <v>0</v>
      </c>
      <c r="I56" s="137">
        <v>136</v>
      </c>
      <c r="J56" s="137">
        <v>0</v>
      </c>
      <c r="K56" s="137">
        <v>136</v>
      </c>
    </row>
    <row r="57" spans="1:11" x14ac:dyDescent="0.35">
      <c r="A57" s="138" t="s">
        <v>206</v>
      </c>
      <c r="B57" s="138" t="s">
        <v>207</v>
      </c>
      <c r="C57" s="138" t="s">
        <v>142</v>
      </c>
      <c r="D57" s="138"/>
      <c r="E57" s="139">
        <v>1</v>
      </c>
      <c r="F57" s="139">
        <v>125</v>
      </c>
      <c r="G57" s="139">
        <v>0</v>
      </c>
      <c r="H57" s="139">
        <v>0</v>
      </c>
      <c r="I57" s="139">
        <v>125</v>
      </c>
      <c r="J57" s="139">
        <v>0</v>
      </c>
      <c r="K57" s="139">
        <v>125</v>
      </c>
    </row>
    <row r="58" spans="1:11" x14ac:dyDescent="0.35">
      <c r="A58" s="138" t="s">
        <v>206</v>
      </c>
      <c r="B58" s="139" t="s">
        <v>208</v>
      </c>
      <c r="C58" s="139" t="s">
        <v>142</v>
      </c>
      <c r="D58" s="139"/>
      <c r="E58" s="139">
        <v>3</v>
      </c>
      <c r="F58" s="139">
        <v>2700</v>
      </c>
      <c r="G58" s="139">
        <v>0</v>
      </c>
      <c r="H58" s="139">
        <v>0</v>
      </c>
      <c r="I58" s="139">
        <v>2700</v>
      </c>
      <c r="J58" s="139">
        <v>0</v>
      </c>
      <c r="K58" s="139">
        <v>2700</v>
      </c>
    </row>
    <row r="59" spans="1:11" x14ac:dyDescent="0.35">
      <c r="A59" s="138" t="s">
        <v>206</v>
      </c>
      <c r="B59" s="138" t="s">
        <v>209</v>
      </c>
      <c r="C59" s="138" t="s">
        <v>142</v>
      </c>
      <c r="D59" s="138"/>
      <c r="E59" s="139">
        <v>1</v>
      </c>
      <c r="F59" s="139">
        <v>650</v>
      </c>
      <c r="G59" s="139">
        <v>0</v>
      </c>
      <c r="H59" s="139">
        <v>0</v>
      </c>
      <c r="I59" s="139">
        <v>650</v>
      </c>
      <c r="J59" s="139">
        <v>0</v>
      </c>
      <c r="K59" s="139">
        <v>650</v>
      </c>
    </row>
    <row r="60" spans="1:11" x14ac:dyDescent="0.35">
      <c r="A60" s="138" t="s">
        <v>210</v>
      </c>
      <c r="B60" s="138" t="s">
        <v>211</v>
      </c>
      <c r="C60" s="138" t="s">
        <v>142</v>
      </c>
      <c r="D60" s="138"/>
      <c r="E60" s="139">
        <v>23</v>
      </c>
      <c r="F60" s="139">
        <v>230</v>
      </c>
      <c r="G60" s="139">
        <v>0</v>
      </c>
      <c r="H60" s="139">
        <v>0</v>
      </c>
      <c r="I60" s="139">
        <v>230</v>
      </c>
      <c r="J60" s="139">
        <v>0</v>
      </c>
      <c r="K60" s="139">
        <v>230</v>
      </c>
    </row>
    <row r="61" spans="1:11" x14ac:dyDescent="0.35">
      <c r="A61" s="138" t="s">
        <v>210</v>
      </c>
      <c r="B61" s="138" t="s">
        <v>212</v>
      </c>
      <c r="C61" s="138" t="s">
        <v>142</v>
      </c>
      <c r="D61" s="138"/>
      <c r="E61" s="139">
        <v>68</v>
      </c>
      <c r="F61" s="139">
        <v>408</v>
      </c>
      <c r="G61" s="139">
        <v>0</v>
      </c>
      <c r="H61" s="139">
        <v>0</v>
      </c>
      <c r="I61" s="139">
        <v>408</v>
      </c>
      <c r="J61" s="139">
        <v>0</v>
      </c>
      <c r="K61" s="139">
        <v>408</v>
      </c>
    </row>
    <row r="62" spans="1:11" x14ac:dyDescent="0.35">
      <c r="A62" s="138" t="s">
        <v>210</v>
      </c>
      <c r="B62" s="138" t="s">
        <v>213</v>
      </c>
      <c r="C62" s="138" t="s">
        <v>142</v>
      </c>
      <c r="D62" s="138"/>
      <c r="E62" s="139">
        <v>34</v>
      </c>
      <c r="F62" s="139">
        <v>175</v>
      </c>
      <c r="G62" s="139">
        <v>0</v>
      </c>
      <c r="H62" s="139">
        <v>-5</v>
      </c>
      <c r="I62" s="139">
        <v>170</v>
      </c>
      <c r="J62" s="139">
        <v>0</v>
      </c>
      <c r="K62" s="139">
        <v>170</v>
      </c>
    </row>
    <row r="63" spans="1:11" x14ac:dyDescent="0.35">
      <c r="A63" s="138" t="s">
        <v>210</v>
      </c>
      <c r="B63" s="138" t="s">
        <v>214</v>
      </c>
      <c r="C63" s="138" t="s">
        <v>142</v>
      </c>
      <c r="D63" s="138"/>
      <c r="E63" s="139">
        <v>19</v>
      </c>
      <c r="F63" s="139">
        <v>190</v>
      </c>
      <c r="G63" s="139">
        <v>0</v>
      </c>
      <c r="H63" s="139">
        <v>0</v>
      </c>
      <c r="I63" s="139">
        <v>190</v>
      </c>
      <c r="J63" s="139">
        <v>0</v>
      </c>
      <c r="K63" s="139">
        <v>190</v>
      </c>
    </row>
    <row r="64" spans="1:11" x14ac:dyDescent="0.35">
      <c r="A64" s="138" t="s">
        <v>210</v>
      </c>
      <c r="B64" s="138" t="s">
        <v>215</v>
      </c>
      <c r="C64" s="138" t="s">
        <v>142</v>
      </c>
      <c r="D64" s="138"/>
      <c r="E64" s="139">
        <v>38</v>
      </c>
      <c r="F64" s="139">
        <v>312</v>
      </c>
      <c r="G64" s="139">
        <v>0</v>
      </c>
      <c r="H64" s="139">
        <v>-8</v>
      </c>
      <c r="I64" s="139">
        <v>304</v>
      </c>
      <c r="J64" s="139">
        <v>0</v>
      </c>
      <c r="K64" s="139">
        <v>304</v>
      </c>
    </row>
    <row r="65" spans="1:11" x14ac:dyDescent="0.35">
      <c r="A65" s="138" t="s">
        <v>210</v>
      </c>
      <c r="B65" s="138" t="s">
        <v>216</v>
      </c>
      <c r="C65" s="138" t="s">
        <v>142</v>
      </c>
      <c r="D65" s="138"/>
      <c r="E65" s="139">
        <v>11</v>
      </c>
      <c r="F65" s="139">
        <v>110</v>
      </c>
      <c r="G65" s="139">
        <v>0</v>
      </c>
      <c r="H65" s="139">
        <v>0</v>
      </c>
      <c r="I65" s="139">
        <v>110</v>
      </c>
      <c r="J65" s="139">
        <v>0</v>
      </c>
      <c r="K65" s="139">
        <v>110</v>
      </c>
    </row>
    <row r="66" spans="1:11" x14ac:dyDescent="0.35">
      <c r="A66" s="138" t="s">
        <v>210</v>
      </c>
      <c r="B66" s="138" t="s">
        <v>217</v>
      </c>
      <c r="C66" s="138" t="s">
        <v>142</v>
      </c>
      <c r="D66" s="138"/>
      <c r="E66" s="139">
        <v>6</v>
      </c>
      <c r="F66" s="139">
        <v>18</v>
      </c>
      <c r="G66" s="139">
        <v>0</v>
      </c>
      <c r="H66" s="139">
        <v>0</v>
      </c>
      <c r="I66" s="139">
        <v>18</v>
      </c>
      <c r="J66" s="139">
        <v>0</v>
      </c>
      <c r="K66" s="139">
        <v>18</v>
      </c>
    </row>
    <row r="67" spans="1:11" x14ac:dyDescent="0.35">
      <c r="A67" s="138" t="s">
        <v>210</v>
      </c>
      <c r="B67" s="138" t="s">
        <v>218</v>
      </c>
      <c r="C67" s="138" t="s">
        <v>142</v>
      </c>
      <c r="D67" s="138"/>
      <c r="E67" s="139">
        <v>1</v>
      </c>
      <c r="F67" s="139">
        <v>10</v>
      </c>
      <c r="G67" s="139">
        <v>0</v>
      </c>
      <c r="H67" s="139">
        <v>0</v>
      </c>
      <c r="I67" s="139">
        <v>10</v>
      </c>
      <c r="J67" s="139">
        <v>0</v>
      </c>
      <c r="K67" s="139">
        <v>10</v>
      </c>
    </row>
    <row r="68" spans="1:11" x14ac:dyDescent="0.35">
      <c r="A68" s="138" t="s">
        <v>210</v>
      </c>
      <c r="B68" s="139" t="s">
        <v>219</v>
      </c>
      <c r="C68" s="139" t="s">
        <v>142</v>
      </c>
      <c r="D68" s="139"/>
      <c r="E68" s="139">
        <v>56</v>
      </c>
      <c r="F68" s="139">
        <v>840</v>
      </c>
      <c r="G68" s="139">
        <v>0</v>
      </c>
      <c r="H68" s="139">
        <v>0</v>
      </c>
      <c r="I68" s="139">
        <v>840</v>
      </c>
      <c r="J68" s="139">
        <v>0</v>
      </c>
      <c r="K68" s="139">
        <v>840</v>
      </c>
    </row>
    <row r="69" spans="1:11" x14ac:dyDescent="0.35">
      <c r="A69" s="138" t="s">
        <v>210</v>
      </c>
      <c r="B69" s="138" t="s">
        <v>220</v>
      </c>
      <c r="C69" s="138" t="s">
        <v>142</v>
      </c>
      <c r="D69" s="138"/>
      <c r="E69" s="139">
        <v>22</v>
      </c>
      <c r="F69" s="139">
        <v>22</v>
      </c>
      <c r="G69" s="139">
        <v>0</v>
      </c>
      <c r="H69" s="139">
        <v>0</v>
      </c>
      <c r="I69" s="139">
        <v>22</v>
      </c>
      <c r="J69" s="139">
        <v>0</v>
      </c>
      <c r="K69" s="139">
        <v>22</v>
      </c>
    </row>
    <row r="70" spans="1:11" x14ac:dyDescent="0.35">
      <c r="A70" s="138" t="s">
        <v>210</v>
      </c>
      <c r="B70" s="138" t="s">
        <v>221</v>
      </c>
      <c r="C70" s="138" t="s">
        <v>142</v>
      </c>
      <c r="D70" s="138"/>
      <c r="E70" s="139">
        <v>7</v>
      </c>
      <c r="F70" s="139">
        <v>70</v>
      </c>
      <c r="G70" s="139">
        <v>0</v>
      </c>
      <c r="H70" s="139">
        <v>0</v>
      </c>
      <c r="I70" s="139">
        <v>70</v>
      </c>
      <c r="J70" s="139">
        <v>0</v>
      </c>
      <c r="K70" s="139">
        <v>70</v>
      </c>
    </row>
    <row r="71" spans="1:11" x14ac:dyDescent="0.35">
      <c r="A71" s="138" t="s">
        <v>210</v>
      </c>
      <c r="B71" s="138" t="s">
        <v>222</v>
      </c>
      <c r="C71" s="138" t="s">
        <v>142</v>
      </c>
      <c r="D71" s="138"/>
      <c r="E71" s="139">
        <v>53</v>
      </c>
      <c r="F71" s="139">
        <v>275</v>
      </c>
      <c r="G71" s="139">
        <v>0</v>
      </c>
      <c r="H71" s="139">
        <v>-10</v>
      </c>
      <c r="I71" s="139">
        <v>265</v>
      </c>
      <c r="J71" s="139">
        <v>0</v>
      </c>
      <c r="K71" s="139">
        <v>265</v>
      </c>
    </row>
    <row r="72" spans="1:11" x14ac:dyDescent="0.35">
      <c r="A72" s="138" t="s">
        <v>210</v>
      </c>
      <c r="B72" s="138" t="s">
        <v>223</v>
      </c>
      <c r="C72" s="138" t="s">
        <v>142</v>
      </c>
      <c r="D72" s="138"/>
      <c r="E72" s="139">
        <v>36</v>
      </c>
      <c r="F72" s="139">
        <v>180</v>
      </c>
      <c r="G72" s="139">
        <v>0</v>
      </c>
      <c r="H72" s="139">
        <v>0</v>
      </c>
      <c r="I72" s="139">
        <v>180</v>
      </c>
      <c r="J72" s="139">
        <v>0</v>
      </c>
      <c r="K72" s="139">
        <v>180</v>
      </c>
    </row>
    <row r="73" spans="1:11" x14ac:dyDescent="0.35">
      <c r="A73" s="138" t="s">
        <v>210</v>
      </c>
      <c r="B73" s="138" t="s">
        <v>224</v>
      </c>
      <c r="C73" s="138" t="s">
        <v>142</v>
      </c>
      <c r="D73" s="138"/>
      <c r="E73" s="139">
        <v>33</v>
      </c>
      <c r="F73" s="139">
        <v>165</v>
      </c>
      <c r="G73" s="139">
        <v>0</v>
      </c>
      <c r="H73" s="139">
        <v>0</v>
      </c>
      <c r="I73" s="139">
        <v>165</v>
      </c>
      <c r="J73" s="139">
        <v>0</v>
      </c>
      <c r="K73" s="139">
        <v>165</v>
      </c>
    </row>
    <row r="74" spans="1:11" x14ac:dyDescent="0.35">
      <c r="A74" s="138" t="s">
        <v>210</v>
      </c>
      <c r="B74" s="138" t="s">
        <v>225</v>
      </c>
      <c r="C74" s="138" t="s">
        <v>142</v>
      </c>
      <c r="D74" s="138"/>
      <c r="E74" s="139">
        <v>52</v>
      </c>
      <c r="F74" s="139">
        <v>260</v>
      </c>
      <c r="G74" s="139">
        <v>0</v>
      </c>
      <c r="H74" s="139">
        <v>0</v>
      </c>
      <c r="I74" s="139">
        <v>260</v>
      </c>
      <c r="J74" s="139">
        <v>0</v>
      </c>
      <c r="K74" s="139">
        <v>260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C1FB-FD7A-4EA6-99B7-DDE8B2A229A0}">
  <dimension ref="A3:C11"/>
  <sheetViews>
    <sheetView workbookViewId="0">
      <selection activeCell="C4" sqref="C4"/>
    </sheetView>
  </sheetViews>
  <sheetFormatPr defaultRowHeight="14.5" x14ac:dyDescent="0.35"/>
  <cols>
    <col min="1" max="1" width="13.1796875" bestFit="1" customWidth="1"/>
    <col min="2" max="2" width="17" bestFit="1" customWidth="1"/>
    <col min="3" max="3" width="20.7265625" bestFit="1" customWidth="1"/>
  </cols>
  <sheetData>
    <row r="3" spans="1:3" x14ac:dyDescent="0.35">
      <c r="A3" s="140" t="s">
        <v>227</v>
      </c>
      <c r="B3" t="s">
        <v>229</v>
      </c>
      <c r="C3" t="s">
        <v>232</v>
      </c>
    </row>
    <row r="4" spans="1:3" x14ac:dyDescent="0.35">
      <c r="A4" s="141" t="s">
        <v>140</v>
      </c>
      <c r="B4" s="142">
        <v>4160</v>
      </c>
      <c r="C4" s="142">
        <v>208</v>
      </c>
    </row>
    <row r="5" spans="1:3" x14ac:dyDescent="0.35">
      <c r="A5" s="141" t="s">
        <v>143</v>
      </c>
      <c r="B5" s="142">
        <v>4625</v>
      </c>
      <c r="C5" s="142">
        <v>10</v>
      </c>
    </row>
    <row r="6" spans="1:3" x14ac:dyDescent="0.35">
      <c r="A6" s="141" t="s">
        <v>17</v>
      </c>
      <c r="B6" s="142">
        <v>3000</v>
      </c>
      <c r="C6" s="142">
        <v>120</v>
      </c>
    </row>
    <row r="7" spans="1:3" x14ac:dyDescent="0.35">
      <c r="A7" s="141" t="s">
        <v>156</v>
      </c>
      <c r="B7" s="142">
        <v>5675</v>
      </c>
      <c r="C7" s="142">
        <v>227</v>
      </c>
    </row>
    <row r="8" spans="1:3" x14ac:dyDescent="0.35">
      <c r="A8" s="141" t="s">
        <v>206</v>
      </c>
      <c r="B8" s="142">
        <v>3475</v>
      </c>
      <c r="C8" s="142">
        <v>5</v>
      </c>
    </row>
    <row r="9" spans="1:3" x14ac:dyDescent="0.35">
      <c r="A9" s="141" t="s">
        <v>160</v>
      </c>
      <c r="B9" s="142">
        <v>4081</v>
      </c>
      <c r="C9" s="142">
        <v>151</v>
      </c>
    </row>
    <row r="10" spans="1:3" x14ac:dyDescent="0.35">
      <c r="A10" s="141" t="s">
        <v>210</v>
      </c>
      <c r="B10" s="142">
        <v>3242</v>
      </c>
      <c r="C10" s="142">
        <v>459</v>
      </c>
    </row>
    <row r="11" spans="1:3" x14ac:dyDescent="0.35">
      <c r="A11" s="141" t="s">
        <v>228</v>
      </c>
      <c r="B11" s="142">
        <v>28258</v>
      </c>
      <c r="C11" s="142">
        <v>1180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Budget</vt:lpstr>
      <vt:lpstr>Teacher Appreciation</vt:lpstr>
      <vt:lpstr>Bud to Act - 9.15.25</vt:lpstr>
      <vt:lpstr>Shopify 9-15-25</vt:lpstr>
      <vt:lpstr>PIVOT</vt:lpstr>
      <vt:lpstr>Budget!Print_Area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Gosia Leonarczyk</dc:creator>
  <cp:keywords/>
  <dc:description/>
  <cp:lastModifiedBy>MON Treasurer</cp:lastModifiedBy>
  <cp:revision/>
  <dcterms:created xsi:type="dcterms:W3CDTF">2022-08-25T16:54:40Z</dcterms:created>
  <dcterms:modified xsi:type="dcterms:W3CDTF">2026-09-01T14:44:29Z</dcterms:modified>
  <cp:category/>
  <cp:contentStatus/>
</cp:coreProperties>
</file>