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ITA\Desktop\"/>
    </mc:Choice>
  </mc:AlternateContent>
  <xr:revisionPtr revIDLastSave="0" documentId="8_{566EF56D-7742-4AC7-922F-2999D4E54F06}" xr6:coauthVersionLast="47" xr6:coauthVersionMax="47" xr10:uidLastSave="{00000000-0000-0000-0000-000000000000}"/>
  <bookViews>
    <workbookView xWindow="-108" yWindow="-108" windowWidth="23256" windowHeight="12576" firstSheet="1" activeTab="10"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2" i="11" l="1"/>
  <c r="K118" i="11"/>
  <c r="Q91" i="11"/>
  <c r="J89" i="11"/>
  <c r="Q80" i="11"/>
  <c r="J92" i="11"/>
  <c r="G73" i="11"/>
  <c r="H62" i="11"/>
  <c r="M62" i="11"/>
  <c r="F59" i="11"/>
  <c r="M50" i="11"/>
  <c r="G50" i="11"/>
  <c r="M39" i="11"/>
  <c r="G39" i="11"/>
  <c r="F39" i="11"/>
  <c r="F107" i="10"/>
  <c r="E130" i="12"/>
  <c r="E42" i="8"/>
  <c r="E46" i="8"/>
  <c r="G134" i="7"/>
  <c r="K127" i="7"/>
  <c r="P125" i="7"/>
  <c r="Q132" i="7"/>
  <c r="H131" i="7"/>
  <c r="M86" i="7"/>
  <c r="H79" i="7"/>
  <c r="M76" i="7"/>
  <c r="P70" i="7"/>
  <c r="L39" i="7"/>
  <c r="D196" i="5"/>
  <c r="I179" i="5"/>
  <c r="N85" i="5"/>
  <c r="N83" i="5"/>
  <c r="I77" i="5"/>
  <c r="F65" i="5"/>
  <c r="O11" i="5"/>
  <c r="E144" i="12"/>
  <c r="E83" i="12"/>
  <c r="M137" i="11"/>
  <c r="M126" i="11"/>
  <c r="N114" i="11"/>
  <c r="Q85" i="11"/>
  <c r="I108" i="11"/>
  <c r="G80" i="11"/>
  <c r="I100" i="11"/>
  <c r="O72" i="11"/>
  <c r="N63" i="11"/>
  <c r="H59" i="11"/>
  <c r="Q50" i="11"/>
  <c r="I49" i="11"/>
  <c r="J39" i="11"/>
  <c r="E14" i="9"/>
  <c r="N162" i="7"/>
  <c r="M137" i="7"/>
  <c r="Q134" i="7"/>
  <c r="N154" i="7"/>
  <c r="M126" i="7"/>
  <c r="F125" i="7"/>
  <c r="Q124" i="7"/>
  <c r="K123" i="7"/>
  <c r="E113" i="7"/>
  <c r="L88" i="7"/>
  <c r="N106" i="7"/>
  <c r="L77" i="7"/>
  <c r="H74" i="7"/>
  <c r="G70" i="7"/>
  <c r="L68" i="7"/>
  <c r="Q62" i="7"/>
  <c r="O59" i="7"/>
  <c r="I54" i="7"/>
  <c r="P50" i="7"/>
  <c r="I44" i="7"/>
  <c r="H39" i="7"/>
  <c r="L138" i="5"/>
  <c r="N184" i="5"/>
  <c r="L129" i="5"/>
  <c r="N176" i="5"/>
  <c r="M120" i="5"/>
  <c r="Q117" i="5"/>
  <c r="L110" i="5"/>
  <c r="Q107" i="5"/>
  <c r="M100" i="5"/>
  <c r="Q97" i="5"/>
  <c r="P141" i="5"/>
  <c r="K124" i="5"/>
  <c r="E33" i="9"/>
  <c r="N156" i="11"/>
  <c r="N155" i="11"/>
  <c r="O126" i="11"/>
  <c r="P118" i="11"/>
  <c r="K119" i="11"/>
  <c r="G138" i="11"/>
  <c r="E144" i="11"/>
  <c r="L127" i="11"/>
  <c r="N108" i="11"/>
  <c r="M91" i="11"/>
  <c r="M85" i="11"/>
  <c r="M80" i="11"/>
  <c r="E103" i="11"/>
  <c r="O70" i="11"/>
  <c r="N60" i="11"/>
  <c r="N54" i="11"/>
  <c r="N40" i="11"/>
  <c r="I56" i="11"/>
  <c r="I51" i="11"/>
  <c r="I41" i="11"/>
  <c r="E48" i="11"/>
  <c r="L134" i="7"/>
  <c r="I153" i="7"/>
  <c r="I145" i="7"/>
  <c r="G137" i="7"/>
  <c r="G126" i="7"/>
  <c r="O77" i="7"/>
  <c r="N95" i="7"/>
  <c r="J86" i="7"/>
  <c r="J76" i="7"/>
  <c r="F69" i="7"/>
  <c r="G93" i="7"/>
  <c r="J39" i="7"/>
  <c r="N186" i="5"/>
  <c r="N147" i="5"/>
  <c r="L97" i="5"/>
  <c r="L109" i="5"/>
  <c r="I187" i="5"/>
  <c r="E181" i="5"/>
  <c r="O31" i="5"/>
  <c r="E57" i="5"/>
  <c r="P252" i="14"/>
  <c r="O252" i="14"/>
  <c r="N252" i="14"/>
  <c r="M252" i="14"/>
  <c r="L252" i="14"/>
  <c r="K252" i="14"/>
  <c r="J252" i="14"/>
  <c r="I252" i="14"/>
  <c r="H252" i="14"/>
  <c r="G252" i="14"/>
  <c r="P248" i="14"/>
  <c r="P243" i="14" s="1"/>
  <c r="O248" i="14"/>
  <c r="O243" i="14" s="1"/>
  <c r="N248" i="14"/>
  <c r="M248" i="14"/>
  <c r="L248" i="14"/>
  <c r="K248" i="14"/>
  <c r="J248" i="14"/>
  <c r="I248" i="14"/>
  <c r="H248" i="14"/>
  <c r="G248" i="14"/>
  <c r="P244" i="14"/>
  <c r="O244" i="14"/>
  <c r="N244" i="14"/>
  <c r="N243" i="14" s="1"/>
  <c r="M244" i="14"/>
  <c r="M243" i="14" s="1"/>
  <c r="L244" i="14"/>
  <c r="L243" i="14" s="1"/>
  <c r="K244" i="14"/>
  <c r="J244" i="14"/>
  <c r="J243" i="14"/>
  <c r="I244" i="14"/>
  <c r="I243" i="14" s="1"/>
  <c r="H244" i="14"/>
  <c r="H243" i="14" s="1"/>
  <c r="G244" i="14"/>
  <c r="G243" i="14" s="1"/>
  <c r="P239" i="14"/>
  <c r="O239" i="14"/>
  <c r="N239" i="14"/>
  <c r="M239" i="14"/>
  <c r="L239" i="14"/>
  <c r="L222" i="14" s="1"/>
  <c r="K239" i="14"/>
  <c r="J239" i="14"/>
  <c r="I239" i="14"/>
  <c r="H239" i="14"/>
  <c r="H222" i="14" s="1"/>
  <c r="G239" i="14"/>
  <c r="P235" i="14"/>
  <c r="O235" i="14"/>
  <c r="N235" i="14"/>
  <c r="M235" i="14"/>
  <c r="L235" i="14"/>
  <c r="K235" i="14"/>
  <c r="J235" i="14"/>
  <c r="I235" i="14"/>
  <c r="H235" i="14"/>
  <c r="G235" i="14"/>
  <c r="P231" i="14"/>
  <c r="O231" i="14"/>
  <c r="N231" i="14"/>
  <c r="M231" i="14"/>
  <c r="L231" i="14"/>
  <c r="K231" i="14"/>
  <c r="J231" i="14"/>
  <c r="I231" i="14"/>
  <c r="H231" i="14"/>
  <c r="G231" i="14"/>
  <c r="P227" i="14"/>
  <c r="O227" i="14"/>
  <c r="N227" i="14"/>
  <c r="M227" i="14"/>
  <c r="L227" i="14"/>
  <c r="K227" i="14"/>
  <c r="J227" i="14"/>
  <c r="I227" i="14"/>
  <c r="I222" i="14" s="1"/>
  <c r="H227" i="14"/>
  <c r="G227" i="14"/>
  <c r="P223" i="14"/>
  <c r="P222" i="14" s="1"/>
  <c r="O223" i="14"/>
  <c r="N223" i="14"/>
  <c r="M223" i="14"/>
  <c r="L223" i="14"/>
  <c r="K223" i="14"/>
  <c r="J223" i="14"/>
  <c r="I223" i="14"/>
  <c r="H223" i="14"/>
  <c r="G223" i="14"/>
  <c r="G222" i="14"/>
  <c r="P218" i="14"/>
  <c r="O218" i="14"/>
  <c r="N218" i="14"/>
  <c r="M218" i="14"/>
  <c r="L218" i="14"/>
  <c r="K218" i="14"/>
  <c r="J218" i="14"/>
  <c r="I218" i="14"/>
  <c r="H218" i="14"/>
  <c r="G218" i="14"/>
  <c r="P214" i="14"/>
  <c r="P213" i="14" s="1"/>
  <c r="O214" i="14"/>
  <c r="N214" i="14"/>
  <c r="N213" i="14" s="1"/>
  <c r="M214" i="14"/>
  <c r="L214" i="14"/>
  <c r="L213" i="14" s="1"/>
  <c r="K214" i="14"/>
  <c r="K213" i="14" s="1"/>
  <c r="J214" i="14"/>
  <c r="J213" i="14" s="1"/>
  <c r="I214" i="14"/>
  <c r="I213" i="14" s="1"/>
  <c r="H214" i="14"/>
  <c r="G214" i="14"/>
  <c r="H213" i="14"/>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I201" i="14"/>
  <c r="H201" i="14"/>
  <c r="G201" i="14"/>
  <c r="P197" i="14"/>
  <c r="O197" i="14"/>
  <c r="N197" i="14"/>
  <c r="M197" i="14"/>
  <c r="L197" i="14"/>
  <c r="K197" i="14"/>
  <c r="J197" i="14"/>
  <c r="I197" i="14"/>
  <c r="H197" i="14"/>
  <c r="G197" i="14"/>
  <c r="P193" i="14"/>
  <c r="O193" i="14"/>
  <c r="N193" i="14"/>
  <c r="M193" i="14"/>
  <c r="L193" i="14"/>
  <c r="K193" i="14"/>
  <c r="J193" i="14"/>
  <c r="I193" i="14"/>
  <c r="H193" i="14"/>
  <c r="G193" i="14"/>
  <c r="P189" i="14"/>
  <c r="P188" i="14" s="1"/>
  <c r="O189" i="14"/>
  <c r="O188" i="14" s="1"/>
  <c r="N189" i="14"/>
  <c r="N188" i="14" s="1"/>
  <c r="M189" i="14"/>
  <c r="L189" i="14"/>
  <c r="K189" i="14"/>
  <c r="K188" i="14" s="1"/>
  <c r="J189" i="14"/>
  <c r="J188" i="14" s="1"/>
  <c r="I189" i="14"/>
  <c r="I188" i="14" s="1"/>
  <c r="H189" i="14"/>
  <c r="H188" i="14" s="1"/>
  <c r="G189" i="14"/>
  <c r="P184" i="14"/>
  <c r="O184" i="14"/>
  <c r="N184" i="14"/>
  <c r="M184" i="14"/>
  <c r="L184" i="14"/>
  <c r="K184" i="14"/>
  <c r="K175" i="14" s="1"/>
  <c r="J184" i="14"/>
  <c r="I184" i="14"/>
  <c r="H184" i="14"/>
  <c r="G184" i="14"/>
  <c r="P180" i="14"/>
  <c r="O180" i="14"/>
  <c r="N180" i="14"/>
  <c r="M180" i="14"/>
  <c r="L180" i="14"/>
  <c r="K180" i="14"/>
  <c r="J180" i="14"/>
  <c r="I180" i="14"/>
  <c r="I175" i="14" s="1"/>
  <c r="H180" i="14"/>
  <c r="G180" i="14"/>
  <c r="P176" i="14"/>
  <c r="P175" i="14" s="1"/>
  <c r="O176" i="14"/>
  <c r="N176" i="14"/>
  <c r="M176" i="14"/>
  <c r="M175" i="14" s="1"/>
  <c r="L176" i="14"/>
  <c r="L175" i="14" s="1"/>
  <c r="K176" i="14"/>
  <c r="J176" i="14"/>
  <c r="I176" i="14"/>
  <c r="H176" i="14"/>
  <c r="G176" i="14"/>
  <c r="J175" i="14"/>
  <c r="G175" i="14"/>
  <c r="P170" i="14"/>
  <c r="O170" i="14"/>
  <c r="N170" i="14"/>
  <c r="M170" i="14"/>
  <c r="L170" i="14"/>
  <c r="K170" i="14"/>
  <c r="J170" i="14"/>
  <c r="I170" i="14"/>
  <c r="H170" i="14"/>
  <c r="G170" i="14"/>
  <c r="P166" i="14"/>
  <c r="O166" i="14"/>
  <c r="N166" i="14"/>
  <c r="M166" i="14"/>
  <c r="M161" i="14" s="1"/>
  <c r="L166" i="14"/>
  <c r="L161" i="14" s="1"/>
  <c r="K166" i="14"/>
  <c r="K161" i="14" s="1"/>
  <c r="J166" i="14"/>
  <c r="I166" i="14"/>
  <c r="H166" i="14"/>
  <c r="H161" i="14" s="1"/>
  <c r="G166" i="14"/>
  <c r="P162" i="14"/>
  <c r="O162" i="14"/>
  <c r="N162" i="14"/>
  <c r="N161" i="14" s="1"/>
  <c r="M162" i="14"/>
  <c r="L162" i="14"/>
  <c r="K162" i="14"/>
  <c r="J162" i="14"/>
  <c r="I162" i="14"/>
  <c r="H162" i="14"/>
  <c r="G162" i="14"/>
  <c r="G161" i="14" s="1"/>
  <c r="P161" i="14"/>
  <c r="O161" i="14"/>
  <c r="I161" i="14"/>
  <c r="P157" i="14"/>
  <c r="P140" i="14" s="1"/>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K145" i="14"/>
  <c r="J145" i="14"/>
  <c r="I145" i="14"/>
  <c r="H145" i="14"/>
  <c r="G145" i="14"/>
  <c r="P141" i="14"/>
  <c r="O141" i="14"/>
  <c r="N141" i="14"/>
  <c r="N140" i="14" s="1"/>
  <c r="M141" i="14"/>
  <c r="M140" i="14" s="1"/>
  <c r="L141" i="14"/>
  <c r="K141" i="14"/>
  <c r="K140" i="14" s="1"/>
  <c r="J141" i="14"/>
  <c r="I141" i="14"/>
  <c r="H141" i="14"/>
  <c r="H140" i="14" s="1"/>
  <c r="G141" i="14"/>
  <c r="G140" i="14" s="1"/>
  <c r="P136" i="14"/>
  <c r="O136" i="14"/>
  <c r="N136" i="14"/>
  <c r="N131" i="14" s="1"/>
  <c r="M136" i="14"/>
  <c r="M131" i="14" s="1"/>
  <c r="L136" i="14"/>
  <c r="K136" i="14"/>
  <c r="J136" i="14"/>
  <c r="J131" i="14" s="1"/>
  <c r="I136" i="14"/>
  <c r="H136" i="14"/>
  <c r="G136" i="14"/>
  <c r="P132" i="14"/>
  <c r="P131" i="14" s="1"/>
  <c r="O132" i="14"/>
  <c r="N132" i="14"/>
  <c r="M132" i="14"/>
  <c r="L132" i="14"/>
  <c r="K132" i="14"/>
  <c r="J132" i="14"/>
  <c r="I132" i="14"/>
  <c r="H132" i="14"/>
  <c r="H131" i="14" s="1"/>
  <c r="G132" i="14"/>
  <c r="G131" i="14" s="1"/>
  <c r="O131" i="14"/>
  <c r="P127" i="14"/>
  <c r="O127" i="14"/>
  <c r="N127" i="14"/>
  <c r="M127" i="14"/>
  <c r="L127" i="14"/>
  <c r="K127" i="14"/>
  <c r="J127" i="14"/>
  <c r="I127" i="14"/>
  <c r="H127" i="14"/>
  <c r="G127" i="14"/>
  <c r="P123" i="14"/>
  <c r="O123" i="14"/>
  <c r="N123" i="14"/>
  <c r="M123" i="14"/>
  <c r="L123" i="14"/>
  <c r="K123" i="14"/>
  <c r="J123" i="14"/>
  <c r="I123" i="14"/>
  <c r="H123" i="14"/>
  <c r="G123" i="14"/>
  <c r="P119" i="14"/>
  <c r="O119" i="14"/>
  <c r="N119" i="14"/>
  <c r="M119" i="14"/>
  <c r="L119" i="14"/>
  <c r="K119" i="14"/>
  <c r="J119" i="14"/>
  <c r="I119" i="14"/>
  <c r="H119" i="14"/>
  <c r="G119" i="14"/>
  <c r="P115" i="14"/>
  <c r="O115" i="14"/>
  <c r="N115" i="14"/>
  <c r="M115" i="14"/>
  <c r="L115" i="14"/>
  <c r="K115" i="14"/>
  <c r="J115" i="14"/>
  <c r="I115" i="14"/>
  <c r="H115" i="14"/>
  <c r="G115" i="14"/>
  <c r="P111" i="14"/>
  <c r="O111" i="14"/>
  <c r="N111" i="14"/>
  <c r="M111" i="14"/>
  <c r="M106" i="14" s="1"/>
  <c r="L111" i="14"/>
  <c r="L106" i="14" s="1"/>
  <c r="K111" i="14"/>
  <c r="J111" i="14"/>
  <c r="I111" i="14"/>
  <c r="H111" i="14"/>
  <c r="G111" i="14"/>
  <c r="P107" i="14"/>
  <c r="P106" i="14" s="1"/>
  <c r="O107" i="14"/>
  <c r="O106" i="14" s="1"/>
  <c r="N107" i="14"/>
  <c r="M107" i="14"/>
  <c r="L107" i="14"/>
  <c r="K107" i="14"/>
  <c r="J107" i="14"/>
  <c r="I107" i="14"/>
  <c r="I106" i="14" s="1"/>
  <c r="H107" i="14"/>
  <c r="G107" i="14"/>
  <c r="G106" i="14" s="1"/>
  <c r="P102" i="14"/>
  <c r="O102" i="14"/>
  <c r="N102" i="14"/>
  <c r="M102" i="14"/>
  <c r="L102" i="14"/>
  <c r="K102" i="14"/>
  <c r="J102" i="14"/>
  <c r="I102" i="14"/>
  <c r="H102" i="14"/>
  <c r="G102" i="14"/>
  <c r="P98" i="14"/>
  <c r="P93" i="14" s="1"/>
  <c r="O98" i="14"/>
  <c r="N98" i="14"/>
  <c r="M98" i="14"/>
  <c r="L98" i="14"/>
  <c r="K98" i="14"/>
  <c r="J98" i="14"/>
  <c r="I98" i="14"/>
  <c r="H98" i="14"/>
  <c r="G98" i="14"/>
  <c r="P94" i="14"/>
  <c r="O94" i="14"/>
  <c r="N94" i="14"/>
  <c r="M94" i="14"/>
  <c r="L94" i="14"/>
  <c r="K94" i="14"/>
  <c r="J94" i="14"/>
  <c r="J93" i="14" s="1"/>
  <c r="I94" i="14"/>
  <c r="I93" i="14" s="1"/>
  <c r="H94" i="14"/>
  <c r="H93" i="14" s="1"/>
  <c r="G94" i="14"/>
  <c r="G93" i="14" s="1"/>
  <c r="L93" i="14"/>
  <c r="P88" i="14"/>
  <c r="O88" i="14"/>
  <c r="N88" i="14"/>
  <c r="M88" i="14"/>
  <c r="L88" i="14"/>
  <c r="K88" i="14"/>
  <c r="J88" i="14"/>
  <c r="I88" i="14"/>
  <c r="H88" i="14"/>
  <c r="G88" i="14"/>
  <c r="P84" i="14"/>
  <c r="P79" i="14" s="1"/>
  <c r="O84" i="14"/>
  <c r="O79" i="14" s="1"/>
  <c r="N84" i="14"/>
  <c r="M84" i="14"/>
  <c r="L84" i="14"/>
  <c r="K84" i="14"/>
  <c r="J84" i="14"/>
  <c r="J79" i="14" s="1"/>
  <c r="I84" i="14"/>
  <c r="H84" i="14"/>
  <c r="G84" i="14"/>
  <c r="P80" i="14"/>
  <c r="O80" i="14"/>
  <c r="N80" i="14"/>
  <c r="M80" i="14"/>
  <c r="L80" i="14"/>
  <c r="L79" i="14" s="1"/>
  <c r="K80" i="14"/>
  <c r="K79" i="14" s="1"/>
  <c r="J80" i="14"/>
  <c r="I80" i="14"/>
  <c r="I79" i="14" s="1"/>
  <c r="H80" i="14"/>
  <c r="H79" i="14" s="1"/>
  <c r="G80" i="14"/>
  <c r="M79" i="14"/>
  <c r="P75" i="14"/>
  <c r="O75" i="14"/>
  <c r="N75" i="14"/>
  <c r="M75" i="14"/>
  <c r="L75" i="14"/>
  <c r="K75" i="14"/>
  <c r="J75" i="14"/>
  <c r="I75" i="14"/>
  <c r="H75" i="14"/>
  <c r="G75" i="14"/>
  <c r="P71" i="14"/>
  <c r="O71" i="14"/>
  <c r="N71" i="14"/>
  <c r="M71" i="14"/>
  <c r="L71" i="14"/>
  <c r="K71" i="14"/>
  <c r="J71" i="14"/>
  <c r="I71" i="14"/>
  <c r="H71" i="14"/>
  <c r="G71" i="14"/>
  <c r="P67" i="14"/>
  <c r="O67" i="14"/>
  <c r="N67" i="14"/>
  <c r="M67" i="14"/>
  <c r="L67" i="14"/>
  <c r="K67" i="14"/>
  <c r="J67" i="14"/>
  <c r="I67" i="14"/>
  <c r="H67" i="14"/>
  <c r="G67" i="14"/>
  <c r="P63" i="14"/>
  <c r="O63" i="14"/>
  <c r="N63" i="14"/>
  <c r="M63" i="14"/>
  <c r="L63" i="14"/>
  <c r="K63" i="14"/>
  <c r="J63" i="14"/>
  <c r="I63" i="14"/>
  <c r="H63" i="14"/>
  <c r="G63" i="14"/>
  <c r="P59" i="14"/>
  <c r="P58" i="14" s="1"/>
  <c r="O59" i="14"/>
  <c r="O58" i="14" s="1"/>
  <c r="N59" i="14"/>
  <c r="M59" i="14"/>
  <c r="M58" i="14" s="1"/>
  <c r="L59" i="14"/>
  <c r="K59" i="14"/>
  <c r="K58" i="14" s="1"/>
  <c r="J59" i="14"/>
  <c r="I59" i="14"/>
  <c r="I58" i="14" s="1"/>
  <c r="H59" i="14"/>
  <c r="G59" i="14"/>
  <c r="P54" i="14"/>
  <c r="P49" i="14" s="1"/>
  <c r="O54" i="14"/>
  <c r="N54" i="14"/>
  <c r="M54" i="14"/>
  <c r="L54" i="14"/>
  <c r="K54" i="14"/>
  <c r="J54" i="14"/>
  <c r="I54" i="14"/>
  <c r="H54" i="14"/>
  <c r="G54" i="14"/>
  <c r="P50" i="14"/>
  <c r="O50" i="14"/>
  <c r="O49" i="14" s="1"/>
  <c r="N50" i="14"/>
  <c r="M50" i="14"/>
  <c r="L50" i="14"/>
  <c r="K50" i="14"/>
  <c r="K49" i="14" s="1"/>
  <c r="J50" i="14"/>
  <c r="J49" i="14" s="1"/>
  <c r="I50" i="14"/>
  <c r="I49" i="14" s="1"/>
  <c r="H50" i="14"/>
  <c r="G50" i="14"/>
  <c r="G49" i="14" s="1"/>
  <c r="M49" i="14"/>
  <c r="L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M33" i="14"/>
  <c r="L33" i="14"/>
  <c r="K33" i="14"/>
  <c r="J33" i="14"/>
  <c r="I33" i="14"/>
  <c r="H33" i="14"/>
  <c r="G33" i="14"/>
  <c r="P29" i="14"/>
  <c r="P24" i="14" s="1"/>
  <c r="O29" i="14"/>
  <c r="N29" i="14"/>
  <c r="M29" i="14"/>
  <c r="L29" i="14"/>
  <c r="K29" i="14"/>
  <c r="J29" i="14"/>
  <c r="I29" i="14"/>
  <c r="H29" i="14"/>
  <c r="G29" i="14"/>
  <c r="P25" i="14"/>
  <c r="O25" i="14"/>
  <c r="N25" i="14"/>
  <c r="M25" i="14"/>
  <c r="L25" i="14"/>
  <c r="K25" i="14"/>
  <c r="K24" i="14" s="1"/>
  <c r="J25" i="14"/>
  <c r="J24" i="14" s="1"/>
  <c r="I25" i="14"/>
  <c r="H25" i="14"/>
  <c r="G25" i="14"/>
  <c r="G24" i="14" s="1"/>
  <c r="N24" i="14"/>
  <c r="P20" i="14"/>
  <c r="O20" i="14"/>
  <c r="N20" i="14"/>
  <c r="M20" i="14"/>
  <c r="L20" i="14"/>
  <c r="K20" i="14"/>
  <c r="J20" i="14"/>
  <c r="I20" i="14"/>
  <c r="H20" i="14"/>
  <c r="G20" i="14"/>
  <c r="P16" i="14"/>
  <c r="O16" i="14"/>
  <c r="N16" i="14"/>
  <c r="M16" i="14"/>
  <c r="L16" i="14"/>
  <c r="K16" i="14"/>
  <c r="J16" i="14"/>
  <c r="I16" i="14"/>
  <c r="H16" i="14"/>
  <c r="G16" i="14"/>
  <c r="P12" i="14"/>
  <c r="O12" i="14"/>
  <c r="O11" i="14" s="1"/>
  <c r="N12" i="14"/>
  <c r="N11" i="14" s="1"/>
  <c r="M12" i="14"/>
  <c r="M11" i="14" s="1"/>
  <c r="L12" i="14"/>
  <c r="L11" i="14" s="1"/>
  <c r="K12" i="14"/>
  <c r="J12" i="14"/>
  <c r="I12" i="14"/>
  <c r="I11" i="14" s="1"/>
  <c r="H12" i="14"/>
  <c r="H11" i="14"/>
  <c r="G12" i="14"/>
  <c r="P252" i="13"/>
  <c r="O252" i="13"/>
  <c r="N252" i="13"/>
  <c r="M252" i="13"/>
  <c r="L252" i="13"/>
  <c r="K252" i="13"/>
  <c r="J252" i="13"/>
  <c r="I252" i="13"/>
  <c r="H252" i="13"/>
  <c r="G252" i="13"/>
  <c r="P248" i="13"/>
  <c r="O248" i="13"/>
  <c r="N248" i="13"/>
  <c r="M248" i="13"/>
  <c r="L248" i="13"/>
  <c r="K248" i="13"/>
  <c r="J248" i="13"/>
  <c r="I248" i="13"/>
  <c r="H248" i="13"/>
  <c r="G248" i="13"/>
  <c r="G243" i="13" s="1"/>
  <c r="P244" i="13"/>
  <c r="P243" i="13" s="1"/>
  <c r="O244" i="13"/>
  <c r="O243" i="13" s="1"/>
  <c r="N244" i="13"/>
  <c r="N243" i="13" s="1"/>
  <c r="M244" i="13"/>
  <c r="M243" i="13" s="1"/>
  <c r="L244" i="13"/>
  <c r="K244" i="13"/>
  <c r="K243" i="13" s="1"/>
  <c r="J244" i="13"/>
  <c r="J243" i="13" s="1"/>
  <c r="I244" i="13"/>
  <c r="I243" i="13" s="1"/>
  <c r="H244" i="13"/>
  <c r="G244" i="13"/>
  <c r="H243" i="13"/>
  <c r="P239" i="13"/>
  <c r="P222" i="13" s="1"/>
  <c r="O239" i="13"/>
  <c r="N239" i="13"/>
  <c r="M239" i="13"/>
  <c r="M222" i="13" s="1"/>
  <c r="L239" i="13"/>
  <c r="K239" i="13"/>
  <c r="J239" i="13"/>
  <c r="I239" i="13"/>
  <c r="H239" i="13"/>
  <c r="G239" i="13"/>
  <c r="P235" i="13"/>
  <c r="O235" i="13"/>
  <c r="N235" i="13"/>
  <c r="M235" i="13"/>
  <c r="L235" i="13"/>
  <c r="K235" i="13"/>
  <c r="J235" i="13"/>
  <c r="J222" i="13" s="1"/>
  <c r="I235" i="13"/>
  <c r="H235" i="13"/>
  <c r="G235" i="13"/>
  <c r="P231" i="13"/>
  <c r="O231" i="13"/>
  <c r="N231" i="13"/>
  <c r="M231" i="13"/>
  <c r="L231" i="13"/>
  <c r="K231" i="13"/>
  <c r="J231" i="13"/>
  <c r="I231" i="13"/>
  <c r="H231" i="13"/>
  <c r="G231" i="13"/>
  <c r="P227" i="13"/>
  <c r="O227" i="13"/>
  <c r="O222" i="13" s="1"/>
  <c r="N227" i="13"/>
  <c r="M227" i="13"/>
  <c r="L227" i="13"/>
  <c r="K227" i="13"/>
  <c r="J227" i="13"/>
  <c r="I227" i="13"/>
  <c r="H227" i="13"/>
  <c r="G227" i="13"/>
  <c r="P223" i="13"/>
  <c r="O223" i="13"/>
  <c r="N223" i="13"/>
  <c r="M223" i="13"/>
  <c r="L223" i="13"/>
  <c r="K223" i="13"/>
  <c r="K222" i="13" s="1"/>
  <c r="J223" i="13"/>
  <c r="I223" i="13"/>
  <c r="I222" i="13" s="1"/>
  <c r="H223" i="13"/>
  <c r="G223" i="13"/>
  <c r="G222" i="13" s="1"/>
  <c r="P218" i="13"/>
  <c r="O218" i="13"/>
  <c r="N218" i="13"/>
  <c r="M218" i="13"/>
  <c r="L218" i="13"/>
  <c r="K218" i="13"/>
  <c r="J218" i="13"/>
  <c r="I218" i="13"/>
  <c r="H218" i="13"/>
  <c r="G218" i="13"/>
  <c r="G213" i="13" s="1"/>
  <c r="P214" i="13"/>
  <c r="P213" i="13" s="1"/>
  <c r="O214" i="13"/>
  <c r="N214" i="13"/>
  <c r="M214" i="13"/>
  <c r="L214" i="13"/>
  <c r="K214" i="13"/>
  <c r="K213" i="13" s="1"/>
  <c r="J214" i="13"/>
  <c r="I214" i="13"/>
  <c r="H214" i="13"/>
  <c r="G214" i="13"/>
  <c r="O213" i="13"/>
  <c r="N213" i="13"/>
  <c r="I213"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K201" i="13"/>
  <c r="J201" i="13"/>
  <c r="I201" i="13"/>
  <c r="H201" i="13"/>
  <c r="G201" i="13"/>
  <c r="P197" i="13"/>
  <c r="O197" i="13"/>
  <c r="N197" i="13"/>
  <c r="M197" i="13"/>
  <c r="L197" i="13"/>
  <c r="K197" i="13"/>
  <c r="J197" i="13"/>
  <c r="I197" i="13"/>
  <c r="H197" i="13"/>
  <c r="G197" i="13"/>
  <c r="P193" i="13"/>
  <c r="O193" i="13"/>
  <c r="N193" i="13"/>
  <c r="M193" i="13"/>
  <c r="L193" i="13"/>
  <c r="K193" i="13"/>
  <c r="K188" i="13" s="1"/>
  <c r="J193" i="13"/>
  <c r="I193" i="13"/>
  <c r="H193" i="13"/>
  <c r="G193" i="13"/>
  <c r="P189" i="13"/>
  <c r="O189" i="13"/>
  <c r="N189" i="13"/>
  <c r="M189" i="13"/>
  <c r="M188" i="13" s="1"/>
  <c r="L189" i="13"/>
  <c r="K189" i="13"/>
  <c r="J189" i="13"/>
  <c r="I189" i="13"/>
  <c r="H189" i="13"/>
  <c r="G189" i="13"/>
  <c r="G188" i="13"/>
  <c r="I188" i="13"/>
  <c r="P184" i="13"/>
  <c r="O184" i="13"/>
  <c r="N184" i="13"/>
  <c r="M184" i="13"/>
  <c r="L184" i="13"/>
  <c r="K184" i="13"/>
  <c r="K175" i="13" s="1"/>
  <c r="J184" i="13"/>
  <c r="I184" i="13"/>
  <c r="H184" i="13"/>
  <c r="G184" i="13"/>
  <c r="P180" i="13"/>
  <c r="O180" i="13"/>
  <c r="N180" i="13"/>
  <c r="N175" i="13"/>
  <c r="M180" i="13"/>
  <c r="M175" i="13" s="1"/>
  <c r="L180" i="13"/>
  <c r="K180" i="13"/>
  <c r="J180" i="13"/>
  <c r="I180" i="13"/>
  <c r="H180" i="13"/>
  <c r="G180" i="13"/>
  <c r="P176" i="13"/>
  <c r="P175" i="13" s="1"/>
  <c r="O176" i="13"/>
  <c r="N176" i="13"/>
  <c r="M176" i="13"/>
  <c r="L176" i="13"/>
  <c r="K176" i="13"/>
  <c r="J176" i="13"/>
  <c r="I176" i="13"/>
  <c r="H176" i="13"/>
  <c r="H175" i="13" s="1"/>
  <c r="G176" i="13"/>
  <c r="J175" i="13"/>
  <c r="P170" i="13"/>
  <c r="O170" i="13"/>
  <c r="N170" i="13"/>
  <c r="M170" i="13"/>
  <c r="L170" i="13"/>
  <c r="K170" i="13"/>
  <c r="J170" i="13"/>
  <c r="I170" i="13"/>
  <c r="H170" i="13"/>
  <c r="G170" i="13"/>
  <c r="P166" i="13"/>
  <c r="O166" i="13"/>
  <c r="N166" i="13"/>
  <c r="M166" i="13"/>
  <c r="L166" i="13"/>
  <c r="K166" i="13"/>
  <c r="K161" i="13" s="1"/>
  <c r="J166" i="13"/>
  <c r="I166" i="13"/>
  <c r="H166" i="13"/>
  <c r="G166" i="13"/>
  <c r="P162" i="13"/>
  <c r="O162" i="13"/>
  <c r="N162" i="13"/>
  <c r="M162" i="13"/>
  <c r="L162" i="13"/>
  <c r="K162" i="13"/>
  <c r="J162" i="13"/>
  <c r="I162" i="13"/>
  <c r="H162" i="13"/>
  <c r="H161" i="13" s="1"/>
  <c r="G162" i="13"/>
  <c r="G161" i="13" s="1"/>
  <c r="P161" i="13"/>
  <c r="L161" i="13"/>
  <c r="J161" i="13"/>
  <c r="P157" i="13"/>
  <c r="O157" i="13"/>
  <c r="N157" i="13"/>
  <c r="M157" i="13"/>
  <c r="L157" i="13"/>
  <c r="K157" i="13"/>
  <c r="J157" i="13"/>
  <c r="I157" i="13"/>
  <c r="H157" i="13"/>
  <c r="G157" i="13"/>
  <c r="P153" i="13"/>
  <c r="O153" i="13"/>
  <c r="N153" i="13"/>
  <c r="M153" i="13"/>
  <c r="L153" i="13"/>
  <c r="K153" i="13"/>
  <c r="J153" i="13"/>
  <c r="I153" i="13"/>
  <c r="H153" i="13"/>
  <c r="G153" i="13"/>
  <c r="P149" i="13"/>
  <c r="O149" i="13"/>
  <c r="N149" i="13"/>
  <c r="M149" i="13"/>
  <c r="L149" i="13"/>
  <c r="K149" i="13"/>
  <c r="J149" i="13"/>
  <c r="I149" i="13"/>
  <c r="H149" i="13"/>
  <c r="G149" i="13"/>
  <c r="P145" i="13"/>
  <c r="O145" i="13"/>
  <c r="N145" i="13"/>
  <c r="M145" i="13"/>
  <c r="L145" i="13"/>
  <c r="K145" i="13"/>
  <c r="J145" i="13"/>
  <c r="I145" i="13"/>
  <c r="H145" i="13"/>
  <c r="G145" i="13"/>
  <c r="P141" i="13"/>
  <c r="O141" i="13"/>
  <c r="O140" i="13" s="1"/>
  <c r="N141" i="13"/>
  <c r="M141" i="13"/>
  <c r="L141" i="13"/>
  <c r="K141" i="13"/>
  <c r="J141" i="13"/>
  <c r="J140" i="13" s="1"/>
  <c r="I141" i="13"/>
  <c r="H141" i="13"/>
  <c r="H140" i="13" s="1"/>
  <c r="G141" i="13"/>
  <c r="P136" i="13"/>
  <c r="O136" i="13"/>
  <c r="N136" i="13"/>
  <c r="M136" i="13"/>
  <c r="L136" i="13"/>
  <c r="L131" i="13" s="1"/>
  <c r="K136" i="13"/>
  <c r="J136" i="13"/>
  <c r="I136" i="13"/>
  <c r="H136" i="13"/>
  <c r="H131" i="13" s="1"/>
  <c r="G136" i="13"/>
  <c r="P132" i="13"/>
  <c r="P131" i="13" s="1"/>
  <c r="O132" i="13"/>
  <c r="O131" i="13" s="1"/>
  <c r="N132" i="13"/>
  <c r="N131" i="13" s="1"/>
  <c r="M132" i="13"/>
  <c r="L132" i="13"/>
  <c r="K132" i="13"/>
  <c r="J132" i="13"/>
  <c r="I132" i="13"/>
  <c r="H132" i="13"/>
  <c r="G132" i="13"/>
  <c r="G131" i="13" s="1"/>
  <c r="M131" i="13"/>
  <c r="J131" i="13"/>
  <c r="P127" i="13"/>
  <c r="O127" i="13"/>
  <c r="N127" i="13"/>
  <c r="M127" i="13"/>
  <c r="L127" i="13"/>
  <c r="K127" i="13"/>
  <c r="J127" i="13"/>
  <c r="I127" i="13"/>
  <c r="H127" i="13"/>
  <c r="G127" i="13"/>
  <c r="P123" i="13"/>
  <c r="O123" i="13"/>
  <c r="N123" i="13"/>
  <c r="M123" i="13"/>
  <c r="M106" i="13" s="1"/>
  <c r="L123" i="13"/>
  <c r="K123" i="13"/>
  <c r="J123" i="13"/>
  <c r="I123" i="13"/>
  <c r="H123" i="13"/>
  <c r="G123" i="13"/>
  <c r="P119" i="13"/>
  <c r="O119" i="13"/>
  <c r="N119" i="13"/>
  <c r="M119" i="13"/>
  <c r="L119" i="13"/>
  <c r="K119" i="13"/>
  <c r="J119" i="13"/>
  <c r="I119" i="13"/>
  <c r="H119" i="13"/>
  <c r="G119" i="13"/>
  <c r="P115" i="13"/>
  <c r="O115" i="13"/>
  <c r="N115" i="13"/>
  <c r="M115" i="13"/>
  <c r="L115" i="13"/>
  <c r="K115" i="13"/>
  <c r="J115" i="13"/>
  <c r="I115" i="13"/>
  <c r="H115" i="13"/>
  <c r="G115" i="13"/>
  <c r="P111" i="13"/>
  <c r="O111" i="13"/>
  <c r="N111" i="13"/>
  <c r="M111" i="13"/>
  <c r="L111" i="13"/>
  <c r="K111" i="13"/>
  <c r="K106" i="13" s="1"/>
  <c r="J111" i="13"/>
  <c r="I111" i="13"/>
  <c r="I106" i="13" s="1"/>
  <c r="H111" i="13"/>
  <c r="G111" i="13"/>
  <c r="P107" i="13"/>
  <c r="O107" i="13"/>
  <c r="O106" i="13" s="1"/>
  <c r="N107" i="13"/>
  <c r="M107" i="13"/>
  <c r="L107" i="13"/>
  <c r="K107" i="13"/>
  <c r="J107" i="13"/>
  <c r="I107" i="13"/>
  <c r="H107" i="13"/>
  <c r="G107" i="13"/>
  <c r="P102" i="13"/>
  <c r="O102" i="13"/>
  <c r="N102" i="13"/>
  <c r="M102" i="13"/>
  <c r="L102" i="13"/>
  <c r="K102" i="13"/>
  <c r="J102" i="13"/>
  <c r="I102" i="13"/>
  <c r="H102" i="13"/>
  <c r="G102" i="13"/>
  <c r="P98" i="13"/>
  <c r="O98" i="13"/>
  <c r="O93" i="13" s="1"/>
  <c r="N98" i="13"/>
  <c r="N93" i="13" s="1"/>
  <c r="M98" i="13"/>
  <c r="L98" i="13"/>
  <c r="K98" i="13"/>
  <c r="J98" i="13"/>
  <c r="I98" i="13"/>
  <c r="H98" i="13"/>
  <c r="G98" i="13"/>
  <c r="P94" i="13"/>
  <c r="O94" i="13"/>
  <c r="N94" i="13"/>
  <c r="M94" i="13"/>
  <c r="L94" i="13"/>
  <c r="K94" i="13"/>
  <c r="J94" i="13"/>
  <c r="J93" i="13" s="1"/>
  <c r="I94" i="13"/>
  <c r="H94" i="13"/>
  <c r="G94" i="13"/>
  <c r="L93" i="13"/>
  <c r="P88" i="13"/>
  <c r="O88" i="13"/>
  <c r="N88" i="13"/>
  <c r="M88" i="13"/>
  <c r="L88" i="13"/>
  <c r="K88" i="13"/>
  <c r="J88" i="13"/>
  <c r="I88" i="13"/>
  <c r="H88" i="13"/>
  <c r="G88" i="13"/>
  <c r="P84" i="13"/>
  <c r="O84" i="13"/>
  <c r="N84" i="13"/>
  <c r="M84" i="13"/>
  <c r="L84" i="13"/>
  <c r="K84" i="13"/>
  <c r="K79" i="13" s="1"/>
  <c r="J84" i="13"/>
  <c r="I84" i="13"/>
  <c r="H84" i="13"/>
  <c r="G84" i="13"/>
  <c r="P80" i="13"/>
  <c r="O80" i="13"/>
  <c r="N80" i="13"/>
  <c r="M80" i="13"/>
  <c r="L80" i="13"/>
  <c r="K80" i="13"/>
  <c r="J80" i="13"/>
  <c r="J79" i="13" s="1"/>
  <c r="I80" i="13"/>
  <c r="H80" i="13"/>
  <c r="H79" i="13" s="1"/>
  <c r="G80" i="13"/>
  <c r="M79" i="13"/>
  <c r="P75" i="13"/>
  <c r="O75" i="13"/>
  <c r="N75" i="13"/>
  <c r="M75" i="13"/>
  <c r="L75" i="13"/>
  <c r="K75" i="13"/>
  <c r="J75" i="13"/>
  <c r="I75" i="13"/>
  <c r="H75" i="13"/>
  <c r="G75" i="13"/>
  <c r="P71" i="13"/>
  <c r="O71" i="13"/>
  <c r="N71" i="13"/>
  <c r="M71" i="13"/>
  <c r="L71" i="13"/>
  <c r="K71" i="13"/>
  <c r="J71" i="13"/>
  <c r="I71" i="13"/>
  <c r="H71" i="13"/>
  <c r="G71" i="13"/>
  <c r="P67" i="13"/>
  <c r="O67" i="13"/>
  <c r="N67" i="13"/>
  <c r="M67" i="13"/>
  <c r="L67" i="13"/>
  <c r="K67" i="13"/>
  <c r="J67" i="13"/>
  <c r="I67" i="13"/>
  <c r="H67" i="13"/>
  <c r="G67" i="13"/>
  <c r="P63" i="13"/>
  <c r="O63" i="13"/>
  <c r="N63" i="13"/>
  <c r="M63" i="13"/>
  <c r="L63" i="13"/>
  <c r="K63" i="13"/>
  <c r="J63" i="13"/>
  <c r="I63" i="13"/>
  <c r="H63" i="13"/>
  <c r="G63" i="13"/>
  <c r="P59" i="13"/>
  <c r="O59" i="13"/>
  <c r="N59" i="13"/>
  <c r="M59" i="13"/>
  <c r="L59" i="13"/>
  <c r="L58" i="13" s="1"/>
  <c r="K59" i="13"/>
  <c r="J59" i="13"/>
  <c r="I59" i="13"/>
  <c r="H59" i="13"/>
  <c r="H58" i="13" s="1"/>
  <c r="G59" i="13"/>
  <c r="G58" i="13" s="1"/>
  <c r="M58" i="13"/>
  <c r="P54" i="13"/>
  <c r="O54" i="13"/>
  <c r="N54" i="13"/>
  <c r="M54" i="13"/>
  <c r="L54" i="13"/>
  <c r="K54" i="13"/>
  <c r="J54" i="13"/>
  <c r="I54" i="13"/>
  <c r="H54" i="13"/>
  <c r="G54" i="13"/>
  <c r="P50" i="13"/>
  <c r="O50" i="13"/>
  <c r="N50" i="13"/>
  <c r="N49" i="13" s="1"/>
  <c r="M50" i="13"/>
  <c r="M49" i="13" s="1"/>
  <c r="L50" i="13"/>
  <c r="L49" i="13" s="1"/>
  <c r="K50" i="13"/>
  <c r="J50" i="13"/>
  <c r="I50" i="13"/>
  <c r="H50" i="13"/>
  <c r="G50" i="13"/>
  <c r="J49" i="13"/>
  <c r="G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G37" i="13"/>
  <c r="P33" i="13"/>
  <c r="O33" i="13"/>
  <c r="N33" i="13"/>
  <c r="M33" i="13"/>
  <c r="L33" i="13"/>
  <c r="K33" i="13"/>
  <c r="J33" i="13"/>
  <c r="I33" i="13"/>
  <c r="H33" i="13"/>
  <c r="G33" i="13"/>
  <c r="P29" i="13"/>
  <c r="O29" i="13"/>
  <c r="N29" i="13"/>
  <c r="M29" i="13"/>
  <c r="L29" i="13"/>
  <c r="K29" i="13"/>
  <c r="J29" i="13"/>
  <c r="I29" i="13"/>
  <c r="H29" i="13"/>
  <c r="H24" i="13" s="1"/>
  <c r="G29" i="13"/>
  <c r="P25" i="13"/>
  <c r="P24" i="13" s="1"/>
  <c r="O25" i="13"/>
  <c r="N25" i="13"/>
  <c r="M25" i="13"/>
  <c r="L25" i="13"/>
  <c r="L24" i="13" s="1"/>
  <c r="K25" i="13"/>
  <c r="J25" i="13"/>
  <c r="I25" i="13"/>
  <c r="H25" i="13"/>
  <c r="G25" i="13"/>
  <c r="G24" i="13"/>
  <c r="P20" i="13"/>
  <c r="P11" i="13" s="1"/>
  <c r="O20" i="13"/>
  <c r="N20" i="13"/>
  <c r="M20" i="13"/>
  <c r="M11" i="13" s="1"/>
  <c r="L20" i="13"/>
  <c r="K20" i="13"/>
  <c r="J20" i="13"/>
  <c r="I20" i="13"/>
  <c r="H20" i="13"/>
  <c r="G20" i="13"/>
  <c r="P16" i="13"/>
  <c r="O16" i="13"/>
  <c r="N16" i="13"/>
  <c r="M16" i="13"/>
  <c r="L16" i="13"/>
  <c r="L11" i="13" s="1"/>
  <c r="K16" i="13"/>
  <c r="J16" i="13"/>
  <c r="I16" i="13"/>
  <c r="H16" i="13"/>
  <c r="G16" i="13"/>
  <c r="P12" i="13"/>
  <c r="O12" i="13"/>
  <c r="N12" i="13"/>
  <c r="N11" i="13" s="1"/>
  <c r="M12" i="13"/>
  <c r="L12" i="13"/>
  <c r="K12" i="13"/>
  <c r="J12" i="13"/>
  <c r="I12" i="13"/>
  <c r="H12" i="13"/>
  <c r="G12" i="13"/>
  <c r="H11" i="13"/>
  <c r="E69" i="12"/>
  <c r="E62" i="12"/>
  <c r="I162" i="11"/>
  <c r="N161" i="11"/>
  <c r="N159" i="11"/>
  <c r="I158" i="11"/>
  <c r="N157" i="11"/>
  <c r="E156" i="11"/>
  <c r="I154" i="11"/>
  <c r="N152" i="11"/>
  <c r="E152" i="11"/>
  <c r="I150" i="11"/>
  <c r="N149" i="11"/>
  <c r="N148" i="11"/>
  <c r="E148" i="11"/>
  <c r="E147" i="11"/>
  <c r="I146" i="11"/>
  <c r="N145" i="11"/>
  <c r="N144" i="11"/>
  <c r="Q142" i="11"/>
  <c r="O142" i="11"/>
  <c r="K142" i="11"/>
  <c r="J142" i="11"/>
  <c r="H142" i="11"/>
  <c r="G142" i="11"/>
  <c r="F142" i="11"/>
  <c r="Q141" i="11"/>
  <c r="M141" i="11"/>
  <c r="L141" i="11"/>
  <c r="K141" i="11"/>
  <c r="J141" i="11"/>
  <c r="H141" i="11"/>
  <c r="G141" i="11"/>
  <c r="D139" i="11"/>
  <c r="Q138" i="11"/>
  <c r="O138" i="11"/>
  <c r="H138" i="11"/>
  <c r="F138" i="11"/>
  <c r="Q137" i="11"/>
  <c r="O137" i="11"/>
  <c r="K137" i="11"/>
  <c r="J137" i="11"/>
  <c r="H137" i="11"/>
  <c r="G137" i="11"/>
  <c r="F137" i="11"/>
  <c r="D136" i="11"/>
  <c r="M135" i="11"/>
  <c r="L135" i="11"/>
  <c r="K135" i="11"/>
  <c r="J135" i="11"/>
  <c r="G135" i="11"/>
  <c r="Q134" i="11"/>
  <c r="P134" i="11"/>
  <c r="M134" i="11"/>
  <c r="Q133" i="11"/>
  <c r="O133" i="11"/>
  <c r="M133" i="11"/>
  <c r="H133" i="11"/>
  <c r="G133" i="11"/>
  <c r="F133" i="11"/>
  <c r="O129" i="11"/>
  <c r="M129" i="11"/>
  <c r="L129" i="11"/>
  <c r="J129" i="11"/>
  <c r="F129" i="11"/>
  <c r="D128" i="11"/>
  <c r="Q126" i="11"/>
  <c r="K126" i="11"/>
  <c r="J126" i="11"/>
  <c r="H126" i="11"/>
  <c r="G126" i="11"/>
  <c r="F126" i="11"/>
  <c r="Q125" i="11"/>
  <c r="M125" i="11"/>
  <c r="L125" i="11"/>
  <c r="K125" i="11"/>
  <c r="J125" i="11"/>
  <c r="H125" i="11"/>
  <c r="G125" i="11"/>
  <c r="P124" i="11"/>
  <c r="F124" i="11"/>
  <c r="Q123" i="11"/>
  <c r="P123" i="11"/>
  <c r="M123" i="11"/>
  <c r="H123" i="11"/>
  <c r="G123" i="11"/>
  <c r="F123" i="11"/>
  <c r="P119" i="11"/>
  <c r="O119" i="11"/>
  <c r="M119" i="11"/>
  <c r="L119" i="11"/>
  <c r="J119" i="11"/>
  <c r="F119" i="11"/>
  <c r="Q118" i="11"/>
  <c r="O118" i="11"/>
  <c r="M118" i="11"/>
  <c r="H118" i="11"/>
  <c r="F118" i="11"/>
  <c r="E115" i="11"/>
  <c r="I114" i="11"/>
  <c r="N112" i="11"/>
  <c r="N111" i="11"/>
  <c r="E111" i="11"/>
  <c r="E110" i="11"/>
  <c r="E107" i="11"/>
  <c r="N104" i="11"/>
  <c r="N103" i="11"/>
  <c r="I102" i="11"/>
  <c r="E102" i="11"/>
  <c r="E99" i="11"/>
  <c r="I98" i="11"/>
  <c r="N96" i="11"/>
  <c r="N95" i="11"/>
  <c r="E95" i="11"/>
  <c r="Q93" i="11"/>
  <c r="H93" i="11"/>
  <c r="G93" i="11"/>
  <c r="O91" i="11"/>
  <c r="L91" i="11"/>
  <c r="K91" i="11"/>
  <c r="H91" i="11"/>
  <c r="Q89" i="11"/>
  <c r="P89" i="11"/>
  <c r="O89" i="11"/>
  <c r="M89" i="11"/>
  <c r="K89" i="11"/>
  <c r="G89" i="11"/>
  <c r="F89" i="11"/>
  <c r="Q88" i="11"/>
  <c r="P88" i="11"/>
  <c r="M88" i="11"/>
  <c r="J88" i="11"/>
  <c r="H88" i="11"/>
  <c r="G88" i="11"/>
  <c r="F88" i="11"/>
  <c r="D87" i="11"/>
  <c r="P86" i="11"/>
  <c r="K86" i="11"/>
  <c r="O85" i="11"/>
  <c r="L85" i="11"/>
  <c r="H85" i="11"/>
  <c r="M84" i="11"/>
  <c r="P82" i="11"/>
  <c r="K82" i="11"/>
  <c r="J82" i="11"/>
  <c r="O80" i="11"/>
  <c r="L80" i="11"/>
  <c r="K80" i="11"/>
  <c r="H80" i="11"/>
  <c r="Q79" i="11"/>
  <c r="P79" i="11"/>
  <c r="O79" i="11"/>
  <c r="M79" i="11"/>
  <c r="L79" i="11"/>
  <c r="K79" i="11"/>
  <c r="G79" i="11"/>
  <c r="F79" i="11"/>
  <c r="D78" i="11"/>
  <c r="Q77" i="11"/>
  <c r="P77" i="11"/>
  <c r="M77" i="11"/>
  <c r="J77" i="11"/>
  <c r="G77" i="11"/>
  <c r="F77" i="11"/>
  <c r="L76" i="11"/>
  <c r="J76" i="11"/>
  <c r="K75" i="11"/>
  <c r="J75" i="11"/>
  <c r="P72" i="11"/>
  <c r="L72" i="11"/>
  <c r="K72" i="11"/>
  <c r="J72" i="11"/>
  <c r="H72" i="11"/>
  <c r="F72" i="11"/>
  <c r="Q69" i="11"/>
  <c r="P69" i="11"/>
  <c r="O69" i="11"/>
  <c r="M69" i="11"/>
  <c r="K69" i="11"/>
  <c r="G69" i="11"/>
  <c r="F69" i="11"/>
  <c r="Q68" i="11"/>
  <c r="P68" i="11"/>
  <c r="M68" i="11"/>
  <c r="J68" i="11"/>
  <c r="H68" i="11"/>
  <c r="G68" i="11"/>
  <c r="F68" i="11"/>
  <c r="N65" i="11"/>
  <c r="N64" i="11"/>
  <c r="E64" i="11"/>
  <c r="O62" i="11"/>
  <c r="F62" i="11"/>
  <c r="M59" i="11"/>
  <c r="L59" i="11"/>
  <c r="N58" i="11"/>
  <c r="E58" i="11"/>
  <c r="N55" i="11"/>
  <c r="E54" i="11"/>
  <c r="E52" i="11"/>
  <c r="J50" i="11"/>
  <c r="N49" i="11"/>
  <c r="N48" i="11"/>
  <c r="E47" i="11"/>
  <c r="N44" i="11"/>
  <c r="I40" i="11"/>
  <c r="E83" i="10"/>
  <c r="E73" i="10"/>
  <c r="E58" i="10"/>
  <c r="E32" i="10"/>
  <c r="E50" i="8"/>
  <c r="E43" i="8"/>
  <c r="E39" i="8"/>
  <c r="N163" i="7"/>
  <c r="E163" i="7"/>
  <c r="I162" i="7"/>
  <c r="N160" i="7"/>
  <c r="E159" i="7"/>
  <c r="I158" i="7"/>
  <c r="N156" i="7"/>
  <c r="I154" i="7"/>
  <c r="N152" i="7"/>
  <c r="I150" i="7"/>
  <c r="E147" i="7"/>
  <c r="I146" i="7"/>
  <c r="N144" i="7"/>
  <c r="Q142" i="7"/>
  <c r="P142" i="7"/>
  <c r="J142" i="7"/>
  <c r="H142" i="7"/>
  <c r="G142" i="7"/>
  <c r="F142" i="7"/>
  <c r="L141" i="7"/>
  <c r="Q138" i="7"/>
  <c r="P138" i="7"/>
  <c r="O138" i="7"/>
  <c r="M138" i="7"/>
  <c r="G138" i="7"/>
  <c r="Q137" i="7"/>
  <c r="P137" i="7"/>
  <c r="J137" i="7"/>
  <c r="H137" i="7"/>
  <c r="F137" i="7"/>
  <c r="D136" i="7"/>
  <c r="L135" i="7"/>
  <c r="K135" i="7"/>
  <c r="J135" i="7"/>
  <c r="H135" i="7"/>
  <c r="G135" i="7"/>
  <c r="O134" i="7"/>
  <c r="M134" i="7"/>
  <c r="K134" i="7"/>
  <c r="L133" i="7"/>
  <c r="F133" i="7"/>
  <c r="Q127" i="7"/>
  <c r="P127" i="7"/>
  <c r="O127" i="7"/>
  <c r="M127" i="7"/>
  <c r="L127" i="7"/>
  <c r="G127" i="7"/>
  <c r="F127" i="7"/>
  <c r="Q126" i="7"/>
  <c r="J126" i="7"/>
  <c r="H126" i="7"/>
  <c r="F126" i="7"/>
  <c r="Q125" i="7"/>
  <c r="L125" i="7"/>
  <c r="K125" i="7"/>
  <c r="J125" i="7"/>
  <c r="H125" i="7"/>
  <c r="O124" i="7"/>
  <c r="M124" i="7"/>
  <c r="K124" i="7"/>
  <c r="J124" i="7"/>
  <c r="M123" i="7"/>
  <c r="Q118" i="7"/>
  <c r="P118" i="7"/>
  <c r="O118" i="7"/>
  <c r="M118" i="7"/>
  <c r="G118" i="7"/>
  <c r="F118" i="7"/>
  <c r="N115" i="7"/>
  <c r="E115" i="7"/>
  <c r="I113" i="7"/>
  <c r="N112" i="7"/>
  <c r="N111" i="7"/>
  <c r="E111" i="7"/>
  <c r="I109" i="7"/>
  <c r="N107" i="7"/>
  <c r="E107" i="7"/>
  <c r="I105" i="7"/>
  <c r="N104" i="7"/>
  <c r="E103" i="7"/>
  <c r="I101" i="7"/>
  <c r="N99" i="7"/>
  <c r="E99" i="7"/>
  <c r="I97" i="7"/>
  <c r="N96" i="7"/>
  <c r="E95" i="7"/>
  <c r="H93" i="7"/>
  <c r="P89" i="7"/>
  <c r="O89" i="7"/>
  <c r="M89" i="7"/>
  <c r="L89" i="7"/>
  <c r="K89" i="7"/>
  <c r="Q88" i="7"/>
  <c r="P88" i="7"/>
  <c r="H88" i="7"/>
  <c r="G88" i="7"/>
  <c r="F88" i="7"/>
  <c r="D87" i="7"/>
  <c r="P86" i="7"/>
  <c r="K86" i="7"/>
  <c r="G86" i="7"/>
  <c r="K85" i="7"/>
  <c r="J85" i="7"/>
  <c r="K84" i="7"/>
  <c r="M80" i="7"/>
  <c r="L80" i="7"/>
  <c r="K80" i="7"/>
  <c r="J80" i="7"/>
  <c r="H80" i="7"/>
  <c r="P79" i="7"/>
  <c r="O79" i="7"/>
  <c r="M79" i="7"/>
  <c r="L79" i="7"/>
  <c r="D78" i="7"/>
  <c r="Q77" i="7"/>
  <c r="P77" i="7"/>
  <c r="M77" i="7"/>
  <c r="H77" i="7"/>
  <c r="G77" i="7"/>
  <c r="F77" i="7"/>
  <c r="Q76" i="7"/>
  <c r="P76" i="7"/>
  <c r="K76" i="7"/>
  <c r="H76" i="7"/>
  <c r="G76" i="7"/>
  <c r="M70" i="7"/>
  <c r="L70" i="7"/>
  <c r="K70" i="7"/>
  <c r="J70" i="7"/>
  <c r="P69" i="7"/>
  <c r="O69" i="7"/>
  <c r="M69" i="7"/>
  <c r="L69" i="7"/>
  <c r="Q68" i="7"/>
  <c r="P68" i="7"/>
  <c r="O68" i="7"/>
  <c r="H68" i="7"/>
  <c r="G68" i="7"/>
  <c r="F68" i="7"/>
  <c r="D67" i="7"/>
  <c r="I65" i="7"/>
  <c r="N64" i="7"/>
  <c r="N63" i="7"/>
  <c r="E63" i="7"/>
  <c r="I61" i="7"/>
  <c r="I60" i="7"/>
  <c r="L59" i="7"/>
  <c r="K59" i="7"/>
  <c r="J59" i="7"/>
  <c r="H59" i="7"/>
  <c r="N58" i="7"/>
  <c r="I56" i="7"/>
  <c r="N54" i="7"/>
  <c r="N52" i="7"/>
  <c r="E52" i="7"/>
  <c r="I51" i="7"/>
  <c r="J50" i="7"/>
  <c r="H50" i="7"/>
  <c r="I49" i="7"/>
  <c r="E47" i="7"/>
  <c r="N44" i="7"/>
  <c r="E42" i="7"/>
  <c r="D211" i="5"/>
  <c r="M204" i="5"/>
  <c r="L204" i="5"/>
  <c r="F204" i="5"/>
  <c r="D191" i="5"/>
  <c r="N189" i="5"/>
  <c r="E189" i="5"/>
  <c r="E185" i="5"/>
  <c r="N182" i="5"/>
  <c r="N178" i="5"/>
  <c r="E177" i="5"/>
  <c r="I176" i="5"/>
  <c r="I175" i="5"/>
  <c r="E172" i="5"/>
  <c r="I171" i="5"/>
  <c r="I164" i="5"/>
  <c r="N163" i="5"/>
  <c r="N158" i="5"/>
  <c r="E157" i="5"/>
  <c r="I156" i="5"/>
  <c r="N154" i="5"/>
  <c r="N152" i="5"/>
  <c r="E146" i="5"/>
  <c r="H143" i="5"/>
  <c r="G143" i="5"/>
  <c r="Q140" i="5"/>
  <c r="Q139" i="5"/>
  <c r="P139" i="5"/>
  <c r="H139" i="5"/>
  <c r="G139" i="5"/>
  <c r="Q138" i="5"/>
  <c r="P138" i="5"/>
  <c r="J138" i="5"/>
  <c r="H138" i="5"/>
  <c r="F138" i="5"/>
  <c r="L136" i="5"/>
  <c r="K136" i="5"/>
  <c r="H136" i="5"/>
  <c r="O135" i="5"/>
  <c r="M135" i="5"/>
  <c r="K135" i="5"/>
  <c r="M134" i="5"/>
  <c r="Q130" i="5"/>
  <c r="P130" i="5"/>
  <c r="M130" i="5"/>
  <c r="L130" i="5"/>
  <c r="G130" i="5"/>
  <c r="Q129" i="5"/>
  <c r="J129" i="5"/>
  <c r="H129" i="5"/>
  <c r="Q128" i="5"/>
  <c r="L128" i="5"/>
  <c r="K128" i="5"/>
  <c r="H128" i="5"/>
  <c r="M127" i="5"/>
  <c r="L127" i="5"/>
  <c r="K127" i="5"/>
  <c r="Q126" i="5"/>
  <c r="G126" i="5"/>
  <c r="F126" i="5"/>
  <c r="L124" i="5"/>
  <c r="M122" i="5"/>
  <c r="G122" i="5"/>
  <c r="P120" i="5"/>
  <c r="O120" i="5"/>
  <c r="J120" i="5"/>
  <c r="H120" i="5"/>
  <c r="F120" i="5"/>
  <c r="Q119" i="5"/>
  <c r="K119" i="5"/>
  <c r="J119" i="5"/>
  <c r="H119" i="5"/>
  <c r="D118" i="5"/>
  <c r="M117" i="5"/>
  <c r="L117" i="5"/>
  <c r="K117" i="5"/>
  <c r="Q111" i="5"/>
  <c r="P111" i="5"/>
  <c r="O111" i="5"/>
  <c r="M111" i="5"/>
  <c r="Q110" i="5"/>
  <c r="P110" i="5"/>
  <c r="F110" i="5"/>
  <c r="Q109" i="5"/>
  <c r="K109" i="5"/>
  <c r="J109" i="5"/>
  <c r="H109" i="5"/>
  <c r="O107" i="5"/>
  <c r="M107" i="5"/>
  <c r="L107" i="5"/>
  <c r="K107" i="5"/>
  <c r="J107" i="5"/>
  <c r="P106" i="5"/>
  <c r="F106" i="5"/>
  <c r="P105" i="5"/>
  <c r="P102" i="5"/>
  <c r="M102" i="5"/>
  <c r="L102" i="5"/>
  <c r="G102" i="5"/>
  <c r="F102" i="5"/>
  <c r="Q100" i="5"/>
  <c r="P100" i="5"/>
  <c r="J100" i="5"/>
  <c r="G100" i="5"/>
  <c r="F100" i="5"/>
  <c r="D99" i="5"/>
  <c r="Q98" i="5"/>
  <c r="K98" i="5"/>
  <c r="H98" i="5"/>
  <c r="G98" i="5"/>
  <c r="O97" i="5"/>
  <c r="M97" i="5"/>
  <c r="K97" i="5"/>
  <c r="D96" i="5"/>
  <c r="M95" i="5"/>
  <c r="L95" i="5"/>
  <c r="G95" i="5"/>
  <c r="I87" i="5"/>
  <c r="N86" i="5"/>
  <c r="E85" i="5"/>
  <c r="I83" i="5"/>
  <c r="E80" i="5"/>
  <c r="I79" i="5"/>
  <c r="I75" i="5"/>
  <c r="E72" i="5"/>
  <c r="I71" i="5"/>
  <c r="N69" i="5"/>
  <c r="H65" i="5"/>
  <c r="G65" i="5"/>
  <c r="N63" i="5"/>
  <c r="E62" i="5"/>
  <c r="N59" i="5"/>
  <c r="N56" i="5"/>
  <c r="I51" i="5"/>
  <c r="N49" i="5"/>
  <c r="E48" i="5"/>
  <c r="I47" i="5"/>
  <c r="N44" i="5"/>
  <c r="O43" i="5"/>
  <c r="G43" i="5"/>
  <c r="F43" i="5"/>
  <c r="N42" i="5"/>
  <c r="E42" i="5"/>
  <c r="E41" i="5"/>
  <c r="H40" i="5"/>
  <c r="O37" i="5"/>
  <c r="M37" i="5"/>
  <c r="L37" i="5"/>
  <c r="G37" i="5"/>
  <c r="Q34" i="5"/>
  <c r="H34" i="5"/>
  <c r="N32" i="5"/>
  <c r="M31" i="5"/>
  <c r="H31" i="5"/>
  <c r="E12" i="5"/>
  <c r="K11" i="5"/>
  <c r="D26" i="4"/>
  <c r="D16" i="4"/>
  <c r="G117" i="5" l="1"/>
  <c r="F18" i="9"/>
  <c r="L93" i="11"/>
  <c r="E146" i="11"/>
  <c r="E35" i="5"/>
  <c r="E56" i="5"/>
  <c r="E75" i="5"/>
  <c r="P98" i="5"/>
  <c r="Q70" i="7"/>
  <c r="O76" i="7"/>
  <c r="I104" i="7"/>
  <c r="I112" i="7"/>
  <c r="K118" i="7"/>
  <c r="H124" i="7"/>
  <c r="H134" i="7"/>
  <c r="P135" i="7"/>
  <c r="P30" i="7" s="1"/>
  <c r="O65" i="5"/>
  <c r="I63" i="5"/>
  <c r="N88" i="5"/>
  <c r="I90" i="5"/>
  <c r="M105" i="5"/>
  <c r="N46" i="7"/>
  <c r="M122" i="7"/>
  <c r="N102" i="7"/>
  <c r="N158" i="7"/>
  <c r="P132" i="7"/>
  <c r="P31" i="5"/>
  <c r="P12" i="5" s="1"/>
  <c r="M76" i="11"/>
  <c r="J118" i="11"/>
  <c r="M12" i="5"/>
  <c r="H24" i="7"/>
  <c r="J128" i="11"/>
  <c r="L34" i="5"/>
  <c r="J99" i="5"/>
  <c r="I56" i="5"/>
  <c r="L128" i="11"/>
  <c r="E76" i="5"/>
  <c r="N90" i="5"/>
  <c r="I38" i="5"/>
  <c r="F11" i="5"/>
  <c r="P11" i="5"/>
  <c r="L31" i="5"/>
  <c r="F34" i="5"/>
  <c r="P34" i="5"/>
  <c r="K37" i="5"/>
  <c r="F40" i="5"/>
  <c r="N41" i="5"/>
  <c r="D41" i="5" s="1"/>
  <c r="I44" i="5"/>
  <c r="D44" i="5" s="1"/>
  <c r="N51" i="5"/>
  <c r="I59" i="5"/>
  <c r="E61" i="5"/>
  <c r="E66" i="5"/>
  <c r="I69" i="5"/>
  <c r="N71" i="5"/>
  <c r="I73" i="5"/>
  <c r="N75" i="5"/>
  <c r="N79" i="5"/>
  <c r="I81" i="5"/>
  <c r="E83" i="5"/>
  <c r="I86" i="5"/>
  <c r="M94" i="5"/>
  <c r="F105" i="5"/>
  <c r="M115" i="5"/>
  <c r="J125" i="5"/>
  <c r="M142" i="5"/>
  <c r="I147" i="5"/>
  <c r="H97" i="5"/>
  <c r="N150" i="5"/>
  <c r="K102" i="5"/>
  <c r="F104" i="5"/>
  <c r="N156" i="5"/>
  <c r="H107" i="5"/>
  <c r="P109" i="5"/>
  <c r="K111" i="5"/>
  <c r="E165" i="5"/>
  <c r="N165" i="5"/>
  <c r="I168" i="5"/>
  <c r="H117" i="5"/>
  <c r="P119" i="5"/>
  <c r="P118" i="5" s="1"/>
  <c r="N111" i="5"/>
  <c r="P43" i="5"/>
  <c r="I66" i="5"/>
  <c r="P99" i="5"/>
  <c r="G31" i="5"/>
  <c r="I35" i="5"/>
  <c r="I41" i="5"/>
  <c r="Q43" i="5"/>
  <c r="E67" i="5"/>
  <c r="N81" i="5"/>
  <c r="L98" i="5"/>
  <c r="Q99" i="5"/>
  <c r="G111" i="5"/>
  <c r="O117" i="5"/>
  <c r="G120" i="5"/>
  <c r="Q122" i="5"/>
  <c r="O127" i="5"/>
  <c r="P129" i="5"/>
  <c r="G138" i="5"/>
  <c r="J139" i="5"/>
  <c r="H24" i="11"/>
  <c r="M128" i="11"/>
  <c r="J11" i="5"/>
  <c r="E162" i="5"/>
  <c r="N168" i="5"/>
  <c r="N47" i="5"/>
  <c r="E79" i="5"/>
  <c r="E150" i="5"/>
  <c r="O119" i="5"/>
  <c r="Q204" i="5"/>
  <c r="Q53" i="7"/>
  <c r="M20" i="7"/>
  <c r="G105" i="10"/>
  <c r="G107" i="10" s="1"/>
  <c r="G11" i="5"/>
  <c r="Q11" i="5"/>
  <c r="I33" i="5"/>
  <c r="N36" i="5"/>
  <c r="I39" i="5"/>
  <c r="G40" i="5"/>
  <c r="Q40" i="5"/>
  <c r="L43" i="5"/>
  <c r="I46" i="5"/>
  <c r="G45" i="5"/>
  <c r="N48" i="5"/>
  <c r="E35" i="9"/>
  <c r="I55" i="5"/>
  <c r="N57" i="5"/>
  <c r="L58" i="5"/>
  <c r="I60" i="5"/>
  <c r="D60" i="5" s="1"/>
  <c r="N62" i="5"/>
  <c r="I64" i="5"/>
  <c r="N67" i="5"/>
  <c r="L68" i="5"/>
  <c r="I70" i="5"/>
  <c r="N72" i="5"/>
  <c r="I74" i="5"/>
  <c r="N76" i="5"/>
  <c r="I78" i="5"/>
  <c r="N80" i="5"/>
  <c r="I82" i="5"/>
  <c r="N89" i="5"/>
  <c r="I91" i="5"/>
  <c r="F95" i="5"/>
  <c r="O106" i="5"/>
  <c r="N106" i="5" s="1"/>
  <c r="Q116" i="5"/>
  <c r="P126" i="5"/>
  <c r="Q143" i="5"/>
  <c r="N146" i="5"/>
  <c r="J97" i="5"/>
  <c r="O100" i="5"/>
  <c r="I155" i="5"/>
  <c r="N157" i="5"/>
  <c r="I159" i="5"/>
  <c r="G109" i="5"/>
  <c r="L111" i="5"/>
  <c r="N167" i="5"/>
  <c r="G119" i="5"/>
  <c r="N172" i="5"/>
  <c r="L122" i="5"/>
  <c r="N177" i="5"/>
  <c r="D177" i="5" s="1"/>
  <c r="J127" i="5"/>
  <c r="I127" i="5" s="1"/>
  <c r="G128" i="5"/>
  <c r="N181" i="5"/>
  <c r="E184" i="5"/>
  <c r="J135" i="5"/>
  <c r="G136" i="5"/>
  <c r="Q136" i="5"/>
  <c r="O138" i="5"/>
  <c r="K204" i="5"/>
  <c r="D12" i="4"/>
  <c r="I40" i="7"/>
  <c r="N42" i="7"/>
  <c r="L43" i="7"/>
  <c r="I45" i="7"/>
  <c r="G43" i="7"/>
  <c r="Q43" i="7"/>
  <c r="G50" i="7"/>
  <c r="Q50" i="7"/>
  <c r="L53" i="7"/>
  <c r="I55" i="7"/>
  <c r="N57" i="7"/>
  <c r="I58" i="7"/>
  <c r="E61" i="7"/>
  <c r="O62" i="7"/>
  <c r="Q85" i="7"/>
  <c r="M68" i="7"/>
  <c r="K69" i="7"/>
  <c r="H70" i="7"/>
  <c r="E98" i="7"/>
  <c r="E101" i="7"/>
  <c r="E102" i="7"/>
  <c r="K79" i="7"/>
  <c r="E110" i="7"/>
  <c r="M88" i="7"/>
  <c r="N114" i="7"/>
  <c r="L123" i="7"/>
  <c r="P133" i="7"/>
  <c r="K141" i="7"/>
  <c r="L118" i="7"/>
  <c r="E146" i="7"/>
  <c r="N147" i="7"/>
  <c r="I149" i="7"/>
  <c r="G125" i="7"/>
  <c r="O126" i="7"/>
  <c r="E154" i="7"/>
  <c r="N155" i="7"/>
  <c r="J134" i="7"/>
  <c r="E158" i="7"/>
  <c r="D158" i="7" s="1"/>
  <c r="L138" i="7"/>
  <c r="I138" i="7" s="1"/>
  <c r="O142" i="7"/>
  <c r="F14" i="9"/>
  <c r="E77" i="10"/>
  <c r="E42" i="10"/>
  <c r="E90" i="10"/>
  <c r="E42" i="11"/>
  <c r="M43" i="11"/>
  <c r="I45" i="11"/>
  <c r="N47" i="11"/>
  <c r="H50" i="11"/>
  <c r="F50" i="11"/>
  <c r="M53" i="11"/>
  <c r="E56" i="11"/>
  <c r="E57" i="11"/>
  <c r="N57" i="11"/>
  <c r="E61" i="11"/>
  <c r="E63" i="11"/>
  <c r="P62" i="11"/>
  <c r="H76" i="11"/>
  <c r="J86" i="11"/>
  <c r="P93" i="11"/>
  <c r="O68" i="11"/>
  <c r="I96" i="11"/>
  <c r="G72" i="11"/>
  <c r="Q72" i="11"/>
  <c r="N99" i="11"/>
  <c r="O77" i="11"/>
  <c r="J80" i="11"/>
  <c r="E106" i="11"/>
  <c r="Q82" i="11"/>
  <c r="N107" i="11"/>
  <c r="D107" i="11" s="1"/>
  <c r="I109" i="11"/>
  <c r="D109" i="11" s="1"/>
  <c r="O88" i="11"/>
  <c r="L89" i="11"/>
  <c r="I89" i="11" s="1"/>
  <c r="J91" i="11"/>
  <c r="E114" i="11"/>
  <c r="N115" i="11"/>
  <c r="O124" i="11"/>
  <c r="L134" i="11"/>
  <c r="N147" i="11"/>
  <c r="I149" i="11"/>
  <c r="E151" i="11"/>
  <c r="P126" i="11"/>
  <c r="K129" i="11"/>
  <c r="E154" i="11"/>
  <c r="E155" i="11"/>
  <c r="P132" i="11"/>
  <c r="H135" i="11"/>
  <c r="H30" i="11" s="1"/>
  <c r="E159" i="11"/>
  <c r="P137" i="11"/>
  <c r="M138" i="11"/>
  <c r="I161" i="11"/>
  <c r="E163" i="11"/>
  <c r="N163" i="11"/>
  <c r="E37" i="8"/>
  <c r="E48" i="8"/>
  <c r="E190" i="12"/>
  <c r="L15" i="5"/>
  <c r="F99" i="5"/>
  <c r="H12" i="5"/>
  <c r="J40" i="5"/>
  <c r="E32" i="9"/>
  <c r="Q24" i="11"/>
  <c r="J65" i="5"/>
  <c r="M99" i="5"/>
  <c r="L11" i="5"/>
  <c r="G99" i="5"/>
  <c r="M15" i="5"/>
  <c r="O12" i="5"/>
  <c r="H11" i="5"/>
  <c r="J34" i="5"/>
  <c r="N38" i="5"/>
  <c r="M43" i="5"/>
  <c r="I50" i="5"/>
  <c r="N77" i="5"/>
  <c r="E89" i="5"/>
  <c r="H100" i="5"/>
  <c r="O102" i="5"/>
  <c r="H110" i="5"/>
  <c r="L119" i="5"/>
  <c r="L118" i="5" s="1"/>
  <c r="Q120" i="5"/>
  <c r="F129" i="5"/>
  <c r="O130" i="5"/>
  <c r="F139" i="5"/>
  <c r="N183" i="5"/>
  <c r="O204" i="5"/>
  <c r="G34" i="5"/>
  <c r="Q65" i="5"/>
  <c r="I165" i="5"/>
  <c r="Q31" i="5"/>
  <c r="P65" i="5"/>
  <c r="P132" i="5"/>
  <c r="M110" i="5"/>
  <c r="Q135" i="5"/>
  <c r="I48" i="7"/>
  <c r="M11" i="5"/>
  <c r="I32" i="5"/>
  <c r="F31" i="5"/>
  <c r="M34" i="5"/>
  <c r="K34" i="5"/>
  <c r="E38" i="5"/>
  <c r="E39" i="5"/>
  <c r="P37" i="5"/>
  <c r="M40" i="5"/>
  <c r="K40" i="5"/>
  <c r="E44" i="5"/>
  <c r="F45" i="5"/>
  <c r="P45" i="5"/>
  <c r="M45" i="5"/>
  <c r="E49" i="5"/>
  <c r="E50" i="5"/>
  <c r="D50" i="5" s="1"/>
  <c r="N50" i="5"/>
  <c r="K52" i="5"/>
  <c r="H52" i="5"/>
  <c r="E55" i="5"/>
  <c r="P52" i="5"/>
  <c r="M52" i="5"/>
  <c r="E59" i="5"/>
  <c r="E60" i="5"/>
  <c r="N60" i="5"/>
  <c r="M58" i="5"/>
  <c r="K58" i="5"/>
  <c r="E64" i="5"/>
  <c r="N64" i="5"/>
  <c r="M65" i="5"/>
  <c r="K65" i="5"/>
  <c r="E69" i="5"/>
  <c r="D69" i="5" s="1"/>
  <c r="E70" i="5"/>
  <c r="D70" i="5" s="1"/>
  <c r="N70" i="5"/>
  <c r="M68" i="5"/>
  <c r="E74" i="5"/>
  <c r="N74" i="5"/>
  <c r="N78" i="5"/>
  <c r="E81" i="5"/>
  <c r="E82" i="5"/>
  <c r="N82" i="5"/>
  <c r="K84" i="5"/>
  <c r="N87" i="5"/>
  <c r="M84" i="5"/>
  <c r="E90" i="5"/>
  <c r="E91" i="5"/>
  <c r="N91" i="5"/>
  <c r="P103" i="5"/>
  <c r="N103" i="5" s="1"/>
  <c r="M112" i="5"/>
  <c r="L123" i="5"/>
  <c r="J131" i="5"/>
  <c r="P140" i="5"/>
  <c r="K94" i="5"/>
  <c r="H95" i="5"/>
  <c r="F97" i="5"/>
  <c r="N149" i="5"/>
  <c r="M98" i="5"/>
  <c r="K100" i="5"/>
  <c r="N155" i="5"/>
  <c r="I157" i="5"/>
  <c r="H106" i="5"/>
  <c r="F107" i="5"/>
  <c r="N159" i="5"/>
  <c r="M109" i="5"/>
  <c r="H111" i="5"/>
  <c r="E164" i="5"/>
  <c r="N164" i="5"/>
  <c r="I167" i="5"/>
  <c r="F117" i="5"/>
  <c r="N169" i="5"/>
  <c r="M119" i="5"/>
  <c r="K120" i="5"/>
  <c r="H122" i="5"/>
  <c r="E175" i="5"/>
  <c r="I177" i="5"/>
  <c r="H126" i="5"/>
  <c r="F127" i="5"/>
  <c r="N179" i="5"/>
  <c r="M128" i="5"/>
  <c r="K129" i="5"/>
  <c r="I129" i="5" s="1"/>
  <c r="E182" i="5"/>
  <c r="I185" i="5"/>
  <c r="E186" i="5"/>
  <c r="E187" i="5"/>
  <c r="N187" i="5"/>
  <c r="M136" i="5"/>
  <c r="K143" i="5"/>
  <c r="D193" i="5"/>
  <c r="D205" i="5"/>
  <c r="D215" i="5"/>
  <c r="G204" i="5"/>
  <c r="P204" i="5"/>
  <c r="D20" i="4"/>
  <c r="D31" i="4"/>
  <c r="D40" i="4"/>
  <c r="D92" i="4"/>
  <c r="E40" i="7"/>
  <c r="D40" i="7" s="1"/>
  <c r="P39" i="7"/>
  <c r="M39" i="7"/>
  <c r="K39" i="7"/>
  <c r="F43" i="7"/>
  <c r="N45" i="7"/>
  <c r="E48" i="7"/>
  <c r="N49" i="7"/>
  <c r="M50" i="7"/>
  <c r="E54" i="7"/>
  <c r="E55" i="7"/>
  <c r="N55" i="7"/>
  <c r="E58" i="7"/>
  <c r="P59" i="7"/>
  <c r="M59" i="7"/>
  <c r="F62" i="7"/>
  <c r="N65" i="7"/>
  <c r="D65" i="7" s="1"/>
  <c r="K72" i="7"/>
  <c r="M82" i="7"/>
  <c r="O91" i="7"/>
  <c r="J68" i="7"/>
  <c r="G69" i="7"/>
  <c r="Q69" i="7"/>
  <c r="O70" i="7"/>
  <c r="I98" i="7"/>
  <c r="I99" i="7"/>
  <c r="N101" i="7"/>
  <c r="L76" i="7"/>
  <c r="J77" i="7"/>
  <c r="G79" i="7"/>
  <c r="Q79" i="7"/>
  <c r="O80" i="7"/>
  <c r="I106" i="7"/>
  <c r="I107" i="7"/>
  <c r="E108" i="7"/>
  <c r="O85" i="7"/>
  <c r="L86" i="7"/>
  <c r="J88" i="7"/>
  <c r="G89" i="7"/>
  <c r="Q89" i="7"/>
  <c r="N113" i="7"/>
  <c r="I114" i="7"/>
  <c r="I115" i="7"/>
  <c r="D117" i="7"/>
  <c r="O129" i="7"/>
  <c r="H118" i="7"/>
  <c r="N145" i="7"/>
  <c r="I147" i="7"/>
  <c r="H123" i="7"/>
  <c r="F124" i="7"/>
  <c r="N149" i="7"/>
  <c r="M125" i="7"/>
  <c r="K126" i="7"/>
  <c r="H127" i="7"/>
  <c r="E153" i="7"/>
  <c r="I155" i="7"/>
  <c r="H133" i="7"/>
  <c r="N157" i="7"/>
  <c r="M135" i="7"/>
  <c r="K137" i="7"/>
  <c r="H138" i="7"/>
  <c r="N161" i="7"/>
  <c r="M141" i="7"/>
  <c r="K142" i="7"/>
  <c r="E11" i="8"/>
  <c r="E20" i="8"/>
  <c r="E28" i="10"/>
  <c r="E18" i="10"/>
  <c r="E51" i="8"/>
  <c r="E94" i="10"/>
  <c r="E40" i="11"/>
  <c r="Q39" i="11"/>
  <c r="N41" i="11"/>
  <c r="I42" i="11"/>
  <c r="G43" i="11"/>
  <c r="N46" i="11"/>
  <c r="L43" i="11"/>
  <c r="I48" i="11"/>
  <c r="E49" i="11"/>
  <c r="I52" i="11"/>
  <c r="D52" i="11" s="1"/>
  <c r="I54" i="11"/>
  <c r="G53" i="11"/>
  <c r="I57" i="11"/>
  <c r="I58" i="11"/>
  <c r="G59" i="11"/>
  <c r="Q59" i="11"/>
  <c r="O59" i="11"/>
  <c r="L62" i="11"/>
  <c r="Q62" i="11"/>
  <c r="Q73" i="11"/>
  <c r="G83" i="11"/>
  <c r="I95" i="11"/>
  <c r="E96" i="11"/>
  <c r="E97" i="11"/>
  <c r="N97" i="11"/>
  <c r="M72" i="11"/>
  <c r="E100" i="11"/>
  <c r="E101" i="11"/>
  <c r="N101" i="11"/>
  <c r="K77" i="11"/>
  <c r="H79" i="11"/>
  <c r="F80" i="11"/>
  <c r="I107" i="11"/>
  <c r="E108" i="11"/>
  <c r="E109" i="11"/>
  <c r="N109" i="11"/>
  <c r="M86" i="11"/>
  <c r="K88" i="11"/>
  <c r="E112" i="11"/>
  <c r="F91" i="11"/>
  <c r="N113" i="11"/>
  <c r="K93" i="11"/>
  <c r="K37" i="11" s="1"/>
  <c r="L120" i="11"/>
  <c r="I120" i="11" s="1"/>
  <c r="M131" i="11"/>
  <c r="M130" i="11" s="1"/>
  <c r="P140" i="11"/>
  <c r="G119" i="11"/>
  <c r="Q119" i="11"/>
  <c r="N146" i="11"/>
  <c r="I147" i="11"/>
  <c r="J123" i="11"/>
  <c r="E149" i="11"/>
  <c r="Q124" i="11"/>
  <c r="O125" i="11"/>
  <c r="L126" i="11"/>
  <c r="I152" i="11"/>
  <c r="G129" i="11"/>
  <c r="Q129" i="11"/>
  <c r="N154" i="11"/>
  <c r="D154" i="11" s="1"/>
  <c r="I155" i="11"/>
  <c r="J133" i="11"/>
  <c r="G134" i="11"/>
  <c r="O135" i="11"/>
  <c r="L137" i="11"/>
  <c r="I160" i="11"/>
  <c r="O141" i="11"/>
  <c r="L142" i="11"/>
  <c r="E38" i="8"/>
  <c r="N43" i="5"/>
  <c r="K95" i="5"/>
  <c r="O105" i="5"/>
  <c r="Q106" i="5"/>
  <c r="H125" i="5"/>
  <c r="H130" i="5"/>
  <c r="F143" i="5"/>
  <c r="F28" i="5" s="1"/>
  <c r="H85" i="7"/>
  <c r="E85" i="7" s="1"/>
  <c r="Q123" i="7"/>
  <c r="Q141" i="7"/>
  <c r="E43" i="10"/>
  <c r="E41" i="10" s="1"/>
  <c r="L50" i="11"/>
  <c r="K76" i="11"/>
  <c r="J85" i="11"/>
  <c r="L86" i="11"/>
  <c r="N89" i="11"/>
  <c r="F93" i="11"/>
  <c r="O134" i="11"/>
  <c r="O34" i="5"/>
  <c r="O39" i="7"/>
  <c r="E112" i="7"/>
  <c r="K133" i="7"/>
  <c r="O95" i="5"/>
  <c r="G106" i="5"/>
  <c r="P117" i="5"/>
  <c r="N117" i="5" s="1"/>
  <c r="L126" i="5"/>
  <c r="J143" i="5"/>
  <c r="Q20" i="7"/>
  <c r="L85" i="7"/>
  <c r="P119" i="7"/>
  <c r="M133" i="7"/>
  <c r="G141" i="7"/>
  <c r="H69" i="11"/>
  <c r="P76" i="11"/>
  <c r="F86" i="11"/>
  <c r="J93" i="11"/>
  <c r="I113" i="11"/>
  <c r="M120" i="11"/>
  <c r="J124" i="11"/>
  <c r="N151" i="7"/>
  <c r="I163" i="5"/>
  <c r="F85" i="7"/>
  <c r="N53" i="5"/>
  <c r="Q95" i="5"/>
  <c r="L106" i="5"/>
  <c r="M126" i="5"/>
  <c r="O139" i="5"/>
  <c r="O143" i="5"/>
  <c r="N40" i="7"/>
  <c r="M85" i="7"/>
  <c r="O133" i="7"/>
  <c r="H141" i="7"/>
  <c r="F76" i="11"/>
  <c r="G86" i="11"/>
  <c r="M93" i="11"/>
  <c r="M37" i="11" s="1"/>
  <c r="L124" i="11"/>
  <c r="F134" i="11"/>
  <c r="Q133" i="7"/>
  <c r="Q76" i="11"/>
  <c r="Q94" i="5"/>
  <c r="G85" i="7"/>
  <c r="K43" i="5"/>
  <c r="N46" i="5"/>
  <c r="M106" i="5"/>
  <c r="O112" i="5"/>
  <c r="O126" i="5"/>
  <c r="P143" i="5"/>
  <c r="L72" i="7"/>
  <c r="F86" i="7"/>
  <c r="F123" i="7"/>
  <c r="J141" i="7"/>
  <c r="E152" i="7"/>
  <c r="L69" i="11"/>
  <c r="G76" i="11"/>
  <c r="Q83" i="11"/>
  <c r="H86" i="11"/>
  <c r="O93" i="11"/>
  <c r="M124" i="11"/>
  <c r="O131" i="11"/>
  <c r="J134" i="11"/>
  <c r="P142" i="11"/>
  <c r="P116" i="5"/>
  <c r="K134" i="11"/>
  <c r="O58" i="5"/>
  <c r="K106" i="5"/>
  <c r="K123" i="5"/>
  <c r="K131" i="5"/>
  <c r="I131" i="5" s="1"/>
  <c r="N69" i="7"/>
  <c r="F76" i="7"/>
  <c r="F20" i="7" s="1"/>
  <c r="F82" i="7"/>
  <c r="G30" i="7"/>
  <c r="H130" i="7"/>
  <c r="J103" i="5"/>
  <c r="P107" i="5"/>
  <c r="P112" i="5"/>
  <c r="M123" i="5"/>
  <c r="M131" i="5"/>
  <c r="F140" i="5"/>
  <c r="P62" i="7"/>
  <c r="P72" i="7"/>
  <c r="G82" i="7"/>
  <c r="H91" i="7"/>
  <c r="E41" i="8"/>
  <c r="E40" i="8" s="1"/>
  <c r="I63" i="11"/>
  <c r="D63" i="11" s="1"/>
  <c r="K68" i="11"/>
  <c r="K12" i="11" s="1"/>
  <c r="H73" i="11"/>
  <c r="O23" i="11"/>
  <c r="O120" i="11"/>
  <c r="D130" i="11"/>
  <c r="Q131" i="11"/>
  <c r="F140" i="11"/>
  <c r="L131" i="5"/>
  <c r="O123" i="5"/>
  <c r="H58" i="5"/>
  <c r="I146" i="5"/>
  <c r="I152" i="5"/>
  <c r="E159" i="5"/>
  <c r="E179" i="5"/>
  <c r="J36" i="11"/>
  <c r="H37" i="5"/>
  <c r="K103" i="5"/>
  <c r="P123" i="5"/>
  <c r="O131" i="5"/>
  <c r="P135" i="5"/>
  <c r="G140" i="5"/>
  <c r="E158" i="5"/>
  <c r="Q72" i="7"/>
  <c r="K82" i="7"/>
  <c r="J91" i="7"/>
  <c r="I47" i="11"/>
  <c r="J73" i="11"/>
  <c r="H89" i="11"/>
  <c r="Q120" i="11"/>
  <c r="G131" i="11"/>
  <c r="G140" i="11"/>
  <c r="I163" i="11"/>
  <c r="N55" i="5"/>
  <c r="Q140" i="11"/>
  <c r="H112" i="5"/>
  <c r="G119" i="7"/>
  <c r="E129" i="12"/>
  <c r="L53" i="11"/>
  <c r="L122" i="11"/>
  <c r="E153" i="11"/>
  <c r="N39" i="5"/>
  <c r="E54" i="5"/>
  <c r="P97" i="5"/>
  <c r="L103" i="5"/>
  <c r="F112" i="5"/>
  <c r="P131" i="5"/>
  <c r="H140" i="5"/>
  <c r="E140" i="5" s="1"/>
  <c r="E178" i="5"/>
  <c r="D178" i="5" s="1"/>
  <c r="L82" i="7"/>
  <c r="K91" i="7"/>
  <c r="F119" i="7"/>
  <c r="E45" i="8"/>
  <c r="K73" i="11"/>
  <c r="G120" i="11"/>
  <c r="G124" i="11"/>
  <c r="H131" i="11"/>
  <c r="J140" i="11"/>
  <c r="E149" i="5"/>
  <c r="Q112" i="5"/>
  <c r="Q131" i="5"/>
  <c r="P43" i="7"/>
  <c r="G91" i="7"/>
  <c r="G35" i="7" s="1"/>
  <c r="H119" i="7"/>
  <c r="N61" i="11"/>
  <c r="J31" i="5"/>
  <c r="M103" i="5"/>
  <c r="J112" i="5"/>
  <c r="J140" i="5"/>
  <c r="P82" i="7"/>
  <c r="L91" i="7"/>
  <c r="J119" i="7"/>
  <c r="P124" i="7"/>
  <c r="E156" i="7"/>
  <c r="L39" i="11"/>
  <c r="M73" i="11"/>
  <c r="E104" i="11"/>
  <c r="H120" i="11"/>
  <c r="J131" i="11"/>
  <c r="J138" i="11"/>
  <c r="J136" i="11" s="1"/>
  <c r="L140" i="11"/>
  <c r="L35" i="11" s="1"/>
  <c r="I151" i="11"/>
  <c r="Q91" i="7"/>
  <c r="G103" i="5"/>
  <c r="M72" i="7"/>
  <c r="Q119" i="7"/>
  <c r="I151" i="7"/>
  <c r="I163" i="7"/>
  <c r="O103" i="5"/>
  <c r="K112" i="5"/>
  <c r="F135" i="5"/>
  <c r="K138" i="5"/>
  <c r="K139" i="5"/>
  <c r="K140" i="5"/>
  <c r="N60" i="7"/>
  <c r="F72" i="7"/>
  <c r="H20" i="7"/>
  <c r="Q82" i="7"/>
  <c r="M91" i="7"/>
  <c r="K119" i="7"/>
  <c r="O73" i="11"/>
  <c r="D117" i="11"/>
  <c r="J120" i="11"/>
  <c r="K131" i="11"/>
  <c r="M140" i="11"/>
  <c r="M35" i="11" s="1"/>
  <c r="I159" i="11"/>
  <c r="H103" i="5"/>
  <c r="O72" i="7"/>
  <c r="E45" i="11"/>
  <c r="L112" i="5"/>
  <c r="F123" i="5"/>
  <c r="F131" i="5"/>
  <c r="O140" i="5"/>
  <c r="N140" i="5" s="1"/>
  <c r="G72" i="7"/>
  <c r="M119" i="7"/>
  <c r="P134" i="7"/>
  <c r="F32" i="7"/>
  <c r="P73" i="11"/>
  <c r="F83" i="11"/>
  <c r="K120" i="11"/>
  <c r="L131" i="11"/>
  <c r="O140" i="11"/>
  <c r="Q123" i="5"/>
  <c r="M30" i="7"/>
  <c r="J123" i="5"/>
  <c r="D81" i="7"/>
  <c r="O119" i="7"/>
  <c r="O13" i="7" s="1"/>
  <c r="F73" i="11"/>
  <c r="E73" i="11" s="1"/>
  <c r="L122" i="7"/>
  <c r="L16" i="7" s="1"/>
  <c r="M93" i="5"/>
  <c r="H84" i="7"/>
  <c r="K92" i="11"/>
  <c r="J37" i="5"/>
  <c r="N66" i="5"/>
  <c r="P104" i="5"/>
  <c r="E104" i="7"/>
  <c r="Q14" i="5"/>
  <c r="L105" i="5"/>
  <c r="H123" i="5"/>
  <c r="H127" i="5"/>
  <c r="M129" i="5"/>
  <c r="H131" i="5"/>
  <c r="H135" i="5"/>
  <c r="F136" i="5"/>
  <c r="P136" i="5"/>
  <c r="N136" i="5" s="1"/>
  <c r="L21" i="7"/>
  <c r="K138" i="7"/>
  <c r="K136" i="7" s="1"/>
  <c r="P141" i="7"/>
  <c r="M142" i="7"/>
  <c r="L30" i="11"/>
  <c r="Q104" i="5"/>
  <c r="L126" i="7"/>
  <c r="O40" i="5"/>
  <c r="J43" i="5"/>
  <c r="L94" i="5"/>
  <c r="L93" i="5" s="1"/>
  <c r="F141" i="5"/>
  <c r="N98" i="11"/>
  <c r="H129" i="11"/>
  <c r="E129" i="11" s="1"/>
  <c r="O109" i="5"/>
  <c r="N161" i="5"/>
  <c r="N188" i="5"/>
  <c r="O136" i="5"/>
  <c r="O53" i="7"/>
  <c r="N56" i="7"/>
  <c r="E60" i="7"/>
  <c r="G59" i="7"/>
  <c r="E105" i="7"/>
  <c r="F80" i="7"/>
  <c r="J120" i="7"/>
  <c r="H120" i="7"/>
  <c r="G120" i="7"/>
  <c r="Q120" i="7"/>
  <c r="F120" i="7"/>
  <c r="P120" i="7"/>
  <c r="O120" i="7"/>
  <c r="K120" i="7"/>
  <c r="K14" i="7" s="1"/>
  <c r="K84" i="11"/>
  <c r="J84" i="11"/>
  <c r="G84" i="11"/>
  <c r="F84" i="11"/>
  <c r="L84" i="11"/>
  <c r="I111" i="11"/>
  <c r="L88" i="11"/>
  <c r="H119" i="11"/>
  <c r="E145" i="11"/>
  <c r="E158" i="11"/>
  <c r="F135" i="11"/>
  <c r="N162" i="11"/>
  <c r="P141" i="11"/>
  <c r="Q133" i="5"/>
  <c r="O133" i="5"/>
  <c r="M133" i="5"/>
  <c r="L133" i="5"/>
  <c r="K133" i="5"/>
  <c r="J133" i="5"/>
  <c r="P133" i="5"/>
  <c r="F133" i="5"/>
  <c r="E41" i="7"/>
  <c r="F39" i="7"/>
  <c r="P74" i="7"/>
  <c r="O74" i="7"/>
  <c r="M74" i="7"/>
  <c r="L74" i="7"/>
  <c r="K74" i="7"/>
  <c r="F74" i="7"/>
  <c r="Q74" i="7"/>
  <c r="Q18" i="7" s="1"/>
  <c r="N110" i="7"/>
  <c r="O86" i="7"/>
  <c r="J122" i="7"/>
  <c r="G122" i="7"/>
  <c r="Q122" i="7"/>
  <c r="Q121" i="7" s="1"/>
  <c r="D121" i="7"/>
  <c r="P122" i="7"/>
  <c r="O122" i="7"/>
  <c r="K122" i="7"/>
  <c r="K31" i="5"/>
  <c r="D93" i="5"/>
  <c r="O94" i="5"/>
  <c r="J104" i="5"/>
  <c r="G105" i="5"/>
  <c r="Q105" i="5"/>
  <c r="G112" i="5"/>
  <c r="L115" i="5"/>
  <c r="M24" i="7"/>
  <c r="O82" i="7"/>
  <c r="O81" i="7" s="1"/>
  <c r="I115" i="11"/>
  <c r="F120" i="11"/>
  <c r="F117" i="11" s="1"/>
  <c r="P120" i="11"/>
  <c r="L141" i="5"/>
  <c r="K141" i="5"/>
  <c r="J141" i="5"/>
  <c r="H141" i="5"/>
  <c r="Q141" i="5"/>
  <c r="G141" i="5"/>
  <c r="D137" i="5"/>
  <c r="M141" i="5"/>
  <c r="L120" i="5"/>
  <c r="I172" i="5"/>
  <c r="E243" i="5"/>
  <c r="H204" i="5"/>
  <c r="E204" i="5" s="1"/>
  <c r="O50" i="7"/>
  <c r="N50" i="7" s="1"/>
  <c r="N51" i="7"/>
  <c r="I64" i="7"/>
  <c r="J62" i="7"/>
  <c r="H69" i="7"/>
  <c r="E96" i="7"/>
  <c r="K77" i="7"/>
  <c r="I103" i="7"/>
  <c r="P85" i="7"/>
  <c r="N109" i="7"/>
  <c r="L140" i="7"/>
  <c r="J140" i="7"/>
  <c r="H140" i="7"/>
  <c r="H139" i="7" s="1"/>
  <c r="G140" i="7"/>
  <c r="Q140" i="7"/>
  <c r="F140" i="7"/>
  <c r="E140" i="7" s="1"/>
  <c r="P140" i="7"/>
  <c r="P139" i="7" s="1"/>
  <c r="D139" i="7"/>
  <c r="K140" i="7"/>
  <c r="O125" i="7"/>
  <c r="N150" i="7"/>
  <c r="H74" i="11"/>
  <c r="G74" i="11"/>
  <c r="Q74" i="11"/>
  <c r="F74" i="11"/>
  <c r="F18" i="11" s="1"/>
  <c r="P74" i="11"/>
  <c r="M74" i="11"/>
  <c r="J74" i="11"/>
  <c r="O76" i="11"/>
  <c r="N102" i="11"/>
  <c r="H134" i="11"/>
  <c r="E157" i="11"/>
  <c r="E161" i="11"/>
  <c r="D161" i="11" s="1"/>
  <c r="H140" i="11"/>
  <c r="D101" i="5"/>
  <c r="G104" i="5"/>
  <c r="E105" i="11"/>
  <c r="P125" i="5"/>
  <c r="F125" i="5"/>
  <c r="O125" i="5"/>
  <c r="M125" i="5"/>
  <c r="L125" i="5"/>
  <c r="K125" i="5"/>
  <c r="Q125" i="5"/>
  <c r="G125" i="5"/>
  <c r="E56" i="7"/>
  <c r="F53" i="7"/>
  <c r="J62" i="11"/>
  <c r="I65" i="11"/>
  <c r="N35" i="5"/>
  <c r="F94" i="5"/>
  <c r="P94" i="5"/>
  <c r="O98" i="5"/>
  <c r="O96" i="5" s="1"/>
  <c r="K104" i="5"/>
  <c r="H105" i="5"/>
  <c r="J111" i="5"/>
  <c r="L142" i="5"/>
  <c r="N171" i="5"/>
  <c r="G39" i="7"/>
  <c r="N97" i="7"/>
  <c r="G131" i="7"/>
  <c r="G130" i="7" s="1"/>
  <c r="L142" i="7"/>
  <c r="E60" i="11"/>
  <c r="D71" i="11"/>
  <c r="J30" i="7"/>
  <c r="I159" i="7"/>
  <c r="L137" i="7"/>
  <c r="E46" i="11"/>
  <c r="F43" i="11"/>
  <c r="P50" i="11"/>
  <c r="N51" i="11"/>
  <c r="P53" i="11"/>
  <c r="N56" i="11"/>
  <c r="K62" i="11"/>
  <c r="I64" i="11"/>
  <c r="I99" i="11"/>
  <c r="D99" i="11" s="1"/>
  <c r="L73" i="11"/>
  <c r="O86" i="11"/>
  <c r="N110" i="11"/>
  <c r="L132" i="11"/>
  <c r="K132" i="11"/>
  <c r="J132" i="11"/>
  <c r="H132" i="11"/>
  <c r="G132" i="11"/>
  <c r="M132" i="11"/>
  <c r="P125" i="11"/>
  <c r="N150" i="11"/>
  <c r="P84" i="11"/>
  <c r="J115" i="5"/>
  <c r="H115" i="5"/>
  <c r="G115" i="5"/>
  <c r="P115" i="5"/>
  <c r="D114" i="5"/>
  <c r="O115" i="5"/>
  <c r="K115" i="5"/>
  <c r="E180" i="5"/>
  <c r="F128" i="5"/>
  <c r="E128" i="5" s="1"/>
  <c r="M140" i="5"/>
  <c r="M143" i="5"/>
  <c r="M139" i="5"/>
  <c r="O92" i="7"/>
  <c r="M92" i="7"/>
  <c r="H92" i="7"/>
  <c r="L92" i="7"/>
  <c r="K92" i="7"/>
  <c r="G92" i="7"/>
  <c r="P92" i="7"/>
  <c r="M132" i="7"/>
  <c r="L132" i="7"/>
  <c r="K132" i="7"/>
  <c r="K27" i="7" s="1"/>
  <c r="J132" i="7"/>
  <c r="H132" i="7"/>
  <c r="G132" i="7"/>
  <c r="O132" i="7"/>
  <c r="O50" i="11"/>
  <c r="N52" i="11"/>
  <c r="G75" i="11"/>
  <c r="G19" i="11" s="1"/>
  <c r="O68" i="5"/>
  <c r="G94" i="5"/>
  <c r="L100" i="5"/>
  <c r="L104" i="5"/>
  <c r="J105" i="5"/>
  <c r="G133" i="5"/>
  <c r="M138" i="5"/>
  <c r="E188" i="5"/>
  <c r="E46" i="7"/>
  <c r="F91" i="7"/>
  <c r="P91" i="7"/>
  <c r="N98" i="7"/>
  <c r="D98" i="7" s="1"/>
  <c r="P43" i="11"/>
  <c r="L68" i="11"/>
  <c r="J69" i="11"/>
  <c r="Q115" i="5"/>
  <c r="J124" i="5"/>
  <c r="Q124" i="5"/>
  <c r="P124" i="5"/>
  <c r="O124" i="5"/>
  <c r="M124" i="5"/>
  <c r="F124" i="5"/>
  <c r="G124" i="5"/>
  <c r="O128" i="5"/>
  <c r="N180" i="5"/>
  <c r="E183" i="5"/>
  <c r="G131" i="5"/>
  <c r="I52" i="7"/>
  <c r="L50" i="7"/>
  <c r="L62" i="7"/>
  <c r="I63" i="7"/>
  <c r="D63" i="7" s="1"/>
  <c r="G62" i="7"/>
  <c r="E65" i="7"/>
  <c r="J73" i="7"/>
  <c r="O73" i="7"/>
  <c r="P73" i="7"/>
  <c r="H83" i="7"/>
  <c r="Q83" i="7"/>
  <c r="G83" i="7"/>
  <c r="P83" i="7"/>
  <c r="F83" i="7"/>
  <c r="O83" i="7"/>
  <c r="M83" i="7"/>
  <c r="J83" i="7"/>
  <c r="I95" i="7"/>
  <c r="K68" i="7"/>
  <c r="E97" i="7"/>
  <c r="F70" i="7"/>
  <c r="K88" i="7"/>
  <c r="K32" i="7" s="1"/>
  <c r="I111" i="7"/>
  <c r="O131" i="7"/>
  <c r="D130" i="7"/>
  <c r="M131" i="7"/>
  <c r="M26" i="7" s="1"/>
  <c r="L131" i="7"/>
  <c r="L130" i="7" s="1"/>
  <c r="K131" i="7"/>
  <c r="K26" i="7" s="1"/>
  <c r="J131" i="7"/>
  <c r="P131" i="7"/>
  <c r="F131" i="7"/>
  <c r="E149" i="7"/>
  <c r="G124" i="7"/>
  <c r="Q92" i="11"/>
  <c r="Q90" i="11" s="1"/>
  <c r="F92" i="11"/>
  <c r="P92" i="11"/>
  <c r="D90" i="11"/>
  <c r="O92" i="11"/>
  <c r="M92" i="11"/>
  <c r="L92" i="11"/>
  <c r="H92" i="11"/>
  <c r="I103" i="11"/>
  <c r="L77" i="11"/>
  <c r="L21" i="11" s="1"/>
  <c r="O82" i="11"/>
  <c r="N106" i="11"/>
  <c r="E113" i="11"/>
  <c r="G91" i="11"/>
  <c r="J122" i="11"/>
  <c r="H122" i="11"/>
  <c r="H16" i="11" s="1"/>
  <c r="Q122" i="11"/>
  <c r="Q16" i="11" s="1"/>
  <c r="G122" i="11"/>
  <c r="P122" i="11"/>
  <c r="F122" i="11"/>
  <c r="O122" i="11"/>
  <c r="K122" i="11"/>
  <c r="N158" i="11"/>
  <c r="P135" i="11"/>
  <c r="F141" i="11"/>
  <c r="E162" i="11"/>
  <c r="G123" i="5"/>
  <c r="O141" i="5"/>
  <c r="J142" i="5"/>
  <c r="H142" i="5"/>
  <c r="Q142" i="5"/>
  <c r="G142" i="5"/>
  <c r="G137" i="5" s="1"/>
  <c r="P142" i="5"/>
  <c r="F142" i="5"/>
  <c r="O142" i="5"/>
  <c r="K142" i="5"/>
  <c r="K137" i="5" s="1"/>
  <c r="E171" i="5"/>
  <c r="F119" i="5"/>
  <c r="I243" i="5"/>
  <c r="J204" i="5"/>
  <c r="O39" i="11"/>
  <c r="N42" i="11"/>
  <c r="N30" i="5"/>
  <c r="H94" i="5"/>
  <c r="F98" i="5"/>
  <c r="F96" i="5" s="1"/>
  <c r="M104" i="5"/>
  <c r="K105" i="5"/>
  <c r="G107" i="5"/>
  <c r="H133" i="5"/>
  <c r="K83" i="7"/>
  <c r="H89" i="7"/>
  <c r="H87" i="7" s="1"/>
  <c r="F92" i="7"/>
  <c r="L120" i="7"/>
  <c r="Q131" i="7"/>
  <c r="O135" i="7"/>
  <c r="M140" i="7"/>
  <c r="H39" i="11"/>
  <c r="E65" i="11"/>
  <c r="K74" i="11"/>
  <c r="I112" i="11"/>
  <c r="M122" i="11"/>
  <c r="K113" i="5"/>
  <c r="J113" i="5"/>
  <c r="I189" i="5"/>
  <c r="D189" i="5" s="1"/>
  <c r="L140" i="5"/>
  <c r="L143" i="5"/>
  <c r="L139" i="5"/>
  <c r="I139" i="5" s="1"/>
  <c r="J79" i="11"/>
  <c r="I104" i="11"/>
  <c r="E150" i="11"/>
  <c r="F125" i="11"/>
  <c r="Q37" i="11"/>
  <c r="Q132" i="11"/>
  <c r="M62" i="7"/>
  <c r="F84" i="7"/>
  <c r="Q84" i="7"/>
  <c r="O84" i="7"/>
  <c r="M84" i="7"/>
  <c r="L84" i="7"/>
  <c r="L28" i="7" s="1"/>
  <c r="P84" i="7"/>
  <c r="G84" i="7"/>
  <c r="J94" i="5"/>
  <c r="J95" i="5"/>
  <c r="O104" i="5"/>
  <c r="I181" i="5"/>
  <c r="G74" i="7"/>
  <c r="L83" i="7"/>
  <c r="Q92" i="7"/>
  <c r="M120" i="7"/>
  <c r="M14" i="7" s="1"/>
  <c r="F132" i="7"/>
  <c r="F135" i="7"/>
  <c r="O140" i="7"/>
  <c r="L74" i="11"/>
  <c r="F131" i="11"/>
  <c r="P131" i="11"/>
  <c r="Q37" i="5"/>
  <c r="L40" i="5"/>
  <c r="O45" i="5"/>
  <c r="L45" i="5"/>
  <c r="L24" i="7"/>
  <c r="Q32" i="7"/>
  <c r="H75" i="11"/>
  <c r="H19" i="11" s="1"/>
  <c r="H17" i="11"/>
  <c r="K118" i="5"/>
  <c r="L75" i="11"/>
  <c r="H12" i="7"/>
  <c r="H21" i="7"/>
  <c r="O75" i="11"/>
  <c r="O19" i="11" s="1"/>
  <c r="J130" i="11"/>
  <c r="G37" i="7"/>
  <c r="M75" i="11"/>
  <c r="E105" i="5"/>
  <c r="P75" i="11"/>
  <c r="M32" i="7"/>
  <c r="L16" i="11"/>
  <c r="F75" i="11"/>
  <c r="Q75" i="11"/>
  <c r="D111" i="11"/>
  <c r="O14" i="11"/>
  <c r="L113" i="5"/>
  <c r="F132" i="5"/>
  <c r="N175" i="5"/>
  <c r="Q73" i="7"/>
  <c r="Q17" i="7" s="1"/>
  <c r="P32" i="7"/>
  <c r="J93" i="7"/>
  <c r="J90" i="7" s="1"/>
  <c r="N108" i="7"/>
  <c r="H87" i="11"/>
  <c r="P84" i="5"/>
  <c r="M113" i="5"/>
  <c r="G132" i="5"/>
  <c r="K93" i="7"/>
  <c r="I161" i="7"/>
  <c r="D96" i="11"/>
  <c r="D35" i="4"/>
  <c r="D56" i="4"/>
  <c r="E51" i="5"/>
  <c r="D51" i="5" s="1"/>
  <c r="E71" i="5"/>
  <c r="E77" i="5"/>
  <c r="D77" i="5" s="1"/>
  <c r="E88" i="5"/>
  <c r="I53" i="5"/>
  <c r="I57" i="5"/>
  <c r="I67" i="5"/>
  <c r="D67" i="5" s="1"/>
  <c r="I85" i="5"/>
  <c r="I89" i="5"/>
  <c r="D89" i="5" s="1"/>
  <c r="Q45" i="5"/>
  <c r="P58" i="5"/>
  <c r="N58" i="5" s="1"/>
  <c r="L134" i="5"/>
  <c r="E156" i="5"/>
  <c r="E104" i="5" s="1"/>
  <c r="E163" i="5"/>
  <c r="E176" i="5"/>
  <c r="D176" i="5" s="1"/>
  <c r="F130" i="5"/>
  <c r="I180" i="5"/>
  <c r="J132" i="5"/>
  <c r="I188" i="5"/>
  <c r="I169" i="5"/>
  <c r="I162" i="5"/>
  <c r="J102" i="5"/>
  <c r="I102" i="5" s="1"/>
  <c r="J106" i="5"/>
  <c r="I106" i="5" s="1"/>
  <c r="I150" i="5"/>
  <c r="D150" i="5" s="1"/>
  <c r="Q103" i="5"/>
  <c r="O110" i="5"/>
  <c r="D198" i="5"/>
  <c r="D235" i="5"/>
  <c r="E44" i="7"/>
  <c r="E51" i="7"/>
  <c r="G53" i="7"/>
  <c r="H62" i="7"/>
  <c r="K43" i="7"/>
  <c r="K29" i="7"/>
  <c r="K62" i="7"/>
  <c r="Q39" i="7"/>
  <c r="O43" i="7"/>
  <c r="Q59" i="7"/>
  <c r="Q75" i="7"/>
  <c r="G110" i="5"/>
  <c r="E110" i="5" s="1"/>
  <c r="O113" i="5"/>
  <c r="K132" i="5"/>
  <c r="I183" i="5"/>
  <c r="N61" i="7"/>
  <c r="L93" i="7"/>
  <c r="P20" i="11"/>
  <c r="H12" i="11"/>
  <c r="E53" i="5"/>
  <c r="E45" i="7"/>
  <c r="D45" i="7" s="1"/>
  <c r="E151" i="7"/>
  <c r="P113" i="5"/>
  <c r="L132" i="5"/>
  <c r="N47" i="7"/>
  <c r="M93" i="7"/>
  <c r="P70" i="11"/>
  <c r="P67" i="11" s="1"/>
  <c r="I157" i="11"/>
  <c r="Q113" i="5"/>
  <c r="P128" i="5"/>
  <c r="M132" i="5"/>
  <c r="E147" i="5"/>
  <c r="D147" i="5" s="1"/>
  <c r="N41" i="7"/>
  <c r="O93" i="7"/>
  <c r="O37" i="7" s="1"/>
  <c r="M12" i="7"/>
  <c r="J14" i="7"/>
  <c r="G17" i="11"/>
  <c r="I49" i="5"/>
  <c r="O132" i="5"/>
  <c r="P93" i="7"/>
  <c r="E98" i="11"/>
  <c r="M127" i="11"/>
  <c r="G80" i="7"/>
  <c r="Q135" i="7"/>
  <c r="L135" i="5"/>
  <c r="I149" i="5"/>
  <c r="D149" i="5" s="1"/>
  <c r="E49" i="7"/>
  <c r="D49" i="7" s="1"/>
  <c r="H53" i="7"/>
  <c r="J92" i="7"/>
  <c r="Q93" i="7"/>
  <c r="P136" i="7"/>
  <c r="Q78" i="11"/>
  <c r="N105" i="7"/>
  <c r="O137" i="7"/>
  <c r="G129" i="5"/>
  <c r="E129" i="5" s="1"/>
  <c r="F73" i="7"/>
  <c r="E106" i="7"/>
  <c r="J69" i="7"/>
  <c r="J67" i="7" s="1"/>
  <c r="J74" i="7"/>
  <c r="H43" i="5"/>
  <c r="D108" i="5"/>
  <c r="E36" i="5"/>
  <c r="G73" i="7"/>
  <c r="P33" i="7"/>
  <c r="O141" i="7"/>
  <c r="E63" i="5"/>
  <c r="I161" i="5"/>
  <c r="H73" i="7"/>
  <c r="L37" i="11"/>
  <c r="Q17" i="11"/>
  <c r="F122" i="5"/>
  <c r="G127" i="5"/>
  <c r="J122" i="5"/>
  <c r="I178" i="5"/>
  <c r="J130" i="5"/>
  <c r="I186" i="5"/>
  <c r="K83" i="11"/>
  <c r="F115" i="5"/>
  <c r="J59" i="11"/>
  <c r="H84" i="11"/>
  <c r="D90" i="7"/>
  <c r="F113" i="5"/>
  <c r="K73" i="7"/>
  <c r="M29" i="7"/>
  <c r="O37" i="11"/>
  <c r="J58" i="5"/>
  <c r="J84" i="5"/>
  <c r="K133" i="11"/>
  <c r="G113" i="5"/>
  <c r="L73" i="7"/>
  <c r="F79" i="7"/>
  <c r="N134" i="7"/>
  <c r="H124" i="11"/>
  <c r="E124" i="11" s="1"/>
  <c r="F103" i="5"/>
  <c r="F101" i="5" s="1"/>
  <c r="Q132" i="5"/>
  <c r="H113" i="5"/>
  <c r="M73" i="7"/>
  <c r="L20" i="7"/>
  <c r="F93" i="7"/>
  <c r="P29" i="7"/>
  <c r="N185" i="5"/>
  <c r="E44" i="8"/>
  <c r="Q139" i="11"/>
  <c r="Q35" i="11"/>
  <c r="O134" i="5"/>
  <c r="F50" i="7"/>
  <c r="E57" i="7"/>
  <c r="I102" i="7"/>
  <c r="E109" i="7"/>
  <c r="N146" i="7"/>
  <c r="D146" i="7" s="1"/>
  <c r="K39" i="11"/>
  <c r="F53" i="11"/>
  <c r="G62" i="11"/>
  <c r="Q70" i="11"/>
  <c r="O84" i="11"/>
  <c r="O28" i="11" s="1"/>
  <c r="P91" i="11"/>
  <c r="O127" i="11"/>
  <c r="I145" i="11"/>
  <c r="H45" i="5"/>
  <c r="K110" i="5"/>
  <c r="I36" i="5"/>
  <c r="J136" i="5"/>
  <c r="I136" i="5" s="1"/>
  <c r="E30" i="5"/>
  <c r="N33" i="5"/>
  <c r="P134" i="5"/>
  <c r="E64" i="7"/>
  <c r="F75" i="7"/>
  <c r="O20" i="7"/>
  <c r="L119" i="7"/>
  <c r="E47" i="8"/>
  <c r="E82" i="10"/>
  <c r="H78" i="11"/>
  <c r="G118" i="11"/>
  <c r="K124" i="11"/>
  <c r="P127" i="11"/>
  <c r="G52" i="5"/>
  <c r="J52" i="5"/>
  <c r="E145" i="7"/>
  <c r="D145" i="7" s="1"/>
  <c r="E161" i="7"/>
  <c r="I106" i="11"/>
  <c r="I110" i="11"/>
  <c r="D121" i="5"/>
  <c r="H75" i="7"/>
  <c r="L29" i="7"/>
  <c r="O21" i="7"/>
  <c r="E155" i="7"/>
  <c r="D67" i="11"/>
  <c r="Q127" i="11"/>
  <c r="N151" i="11"/>
  <c r="Q84" i="5"/>
  <c r="G133" i="7"/>
  <c r="P95" i="5"/>
  <c r="I30" i="5"/>
  <c r="K53" i="7"/>
  <c r="J75" i="7"/>
  <c r="J19" i="7" s="1"/>
  <c r="J82" i="7"/>
  <c r="J81" i="7" s="1"/>
  <c r="I110" i="7"/>
  <c r="F12" i="7"/>
  <c r="M136" i="7"/>
  <c r="G92" i="11"/>
  <c r="K140" i="11"/>
  <c r="K35" i="11" s="1"/>
  <c r="E47" i="5"/>
  <c r="L52" i="5"/>
  <c r="F141" i="7"/>
  <c r="H43" i="11"/>
  <c r="F111" i="5"/>
  <c r="H124" i="5"/>
  <c r="E124" i="5" s="1"/>
  <c r="I154" i="5"/>
  <c r="N61" i="5"/>
  <c r="J117" i="5"/>
  <c r="F58" i="5"/>
  <c r="G97" i="5"/>
  <c r="O129" i="5"/>
  <c r="G135" i="5"/>
  <c r="I184" i="5"/>
  <c r="D184" i="5" s="1"/>
  <c r="K50" i="7"/>
  <c r="D71" i="7"/>
  <c r="K75" i="7"/>
  <c r="F21" i="7"/>
  <c r="N103" i="7"/>
  <c r="P13" i="7"/>
  <c r="L124" i="7"/>
  <c r="I124" i="7" s="1"/>
  <c r="Q21" i="7"/>
  <c r="P39" i="11"/>
  <c r="O53" i="11"/>
  <c r="L23" i="11"/>
  <c r="E73" i="5"/>
  <c r="E78" i="5"/>
  <c r="E152" i="5"/>
  <c r="D152" i="5" s="1"/>
  <c r="F59" i="7"/>
  <c r="E59" i="7" s="1"/>
  <c r="E157" i="7"/>
  <c r="E34" i="10"/>
  <c r="J98" i="5"/>
  <c r="F37" i="5"/>
  <c r="L65" i="5"/>
  <c r="Q134" i="5"/>
  <c r="G58" i="5"/>
  <c r="I62" i="5"/>
  <c r="H96" i="5"/>
  <c r="N162" i="5"/>
  <c r="L75" i="7"/>
  <c r="J20" i="7"/>
  <c r="D128" i="7"/>
  <c r="K50" i="11"/>
  <c r="H77" i="11"/>
  <c r="H68" i="5"/>
  <c r="F68" i="5"/>
  <c r="M53" i="7"/>
  <c r="N148" i="7"/>
  <c r="P129" i="7"/>
  <c r="P128" i="7" s="1"/>
  <c r="I42" i="5"/>
  <c r="D42" i="5" s="1"/>
  <c r="H104" i="5"/>
  <c r="J128" i="5"/>
  <c r="P53" i="7"/>
  <c r="M75" i="7"/>
  <c r="F129" i="7"/>
  <c r="Q13" i="11"/>
  <c r="I153" i="11"/>
  <c r="E185" i="12"/>
  <c r="N100" i="7"/>
  <c r="Q86" i="7"/>
  <c r="F122" i="7"/>
  <c r="F121" i="7" s="1"/>
  <c r="P123" i="7"/>
  <c r="Q129" i="7"/>
  <c r="J43" i="11"/>
  <c r="O123" i="11"/>
  <c r="O17" i="11" s="1"/>
  <c r="P129" i="11"/>
  <c r="Q135" i="11"/>
  <c r="H72" i="7"/>
  <c r="O75" i="7"/>
  <c r="G129" i="7"/>
  <c r="K30" i="7"/>
  <c r="E150" i="7"/>
  <c r="I157" i="7"/>
  <c r="F70" i="11"/>
  <c r="P133" i="11"/>
  <c r="E160" i="11"/>
  <c r="J84" i="7"/>
  <c r="Q80" i="7"/>
  <c r="O88" i="7"/>
  <c r="K43" i="11"/>
  <c r="O74" i="11"/>
  <c r="P80" i="11"/>
  <c r="Q86" i="11"/>
  <c r="L84" i="5"/>
  <c r="I42" i="7"/>
  <c r="I47" i="7"/>
  <c r="J72" i="7"/>
  <c r="P75" i="7"/>
  <c r="J129" i="7"/>
  <c r="J128" i="7" s="1"/>
  <c r="K13" i="11"/>
  <c r="G70" i="11"/>
  <c r="F132" i="11"/>
  <c r="K122" i="5"/>
  <c r="K126" i="5"/>
  <c r="K130" i="5"/>
  <c r="K134" i="5"/>
  <c r="H122" i="7"/>
  <c r="J116" i="5"/>
  <c r="K129" i="7"/>
  <c r="E17" i="10"/>
  <c r="E27" i="10" s="1"/>
  <c r="E41" i="11"/>
  <c r="P59" i="11"/>
  <c r="H70" i="11"/>
  <c r="Q20" i="11"/>
  <c r="H84" i="5"/>
  <c r="E154" i="5"/>
  <c r="F109" i="5"/>
  <c r="I144" i="7"/>
  <c r="J123" i="7"/>
  <c r="I152" i="7"/>
  <c r="J133" i="7"/>
  <c r="J138" i="7"/>
  <c r="Q43" i="11"/>
  <c r="K116" i="5"/>
  <c r="P12" i="7"/>
  <c r="P126" i="7"/>
  <c r="L129" i="7"/>
  <c r="L23" i="7" s="1"/>
  <c r="J70" i="11"/>
  <c r="M17" i="11"/>
  <c r="F127" i="11"/>
  <c r="E87" i="5"/>
  <c r="Q58" i="5"/>
  <c r="O122" i="5"/>
  <c r="N122" i="5" s="1"/>
  <c r="P127" i="5"/>
  <c r="J43" i="7"/>
  <c r="J53" i="7"/>
  <c r="E148" i="7"/>
  <c r="H129" i="7"/>
  <c r="I55" i="11"/>
  <c r="L116" i="5"/>
  <c r="F134" i="5"/>
  <c r="K24" i="7"/>
  <c r="Q12" i="7"/>
  <c r="M129" i="7"/>
  <c r="K70" i="11"/>
  <c r="D121" i="11"/>
  <c r="G127" i="11"/>
  <c r="G21" i="11" s="1"/>
  <c r="G84" i="5"/>
  <c r="Q52" i="5"/>
  <c r="F116" i="5"/>
  <c r="P122" i="5"/>
  <c r="Q127" i="5"/>
  <c r="K53" i="11"/>
  <c r="K59" i="11"/>
  <c r="F85" i="11"/>
  <c r="K123" i="11"/>
  <c r="Q18" i="11"/>
  <c r="P138" i="11"/>
  <c r="P136" i="11" s="1"/>
  <c r="E18" i="9"/>
  <c r="P40" i="5"/>
  <c r="E114" i="7"/>
  <c r="L70" i="11"/>
  <c r="H127" i="11"/>
  <c r="O52" i="5"/>
  <c r="G116" i="5"/>
  <c r="G114" i="5" s="1"/>
  <c r="Q102" i="5"/>
  <c r="L118" i="11"/>
  <c r="L123" i="11"/>
  <c r="L133" i="11"/>
  <c r="L138" i="11"/>
  <c r="M116" i="5"/>
  <c r="O116" i="5"/>
  <c r="H134" i="5"/>
  <c r="I158" i="5"/>
  <c r="H32" i="7"/>
  <c r="G13" i="7"/>
  <c r="Q33" i="7"/>
  <c r="F13" i="11"/>
  <c r="M70" i="11"/>
  <c r="J127" i="11"/>
  <c r="I127" i="11" s="1"/>
  <c r="J45" i="5"/>
  <c r="I72" i="5"/>
  <c r="I76" i="5"/>
  <c r="I80" i="5"/>
  <c r="P68" i="5"/>
  <c r="N68" i="5" s="1"/>
  <c r="Q68" i="5"/>
  <c r="H116" i="5"/>
  <c r="E144" i="7"/>
  <c r="F138" i="7"/>
  <c r="I97" i="11"/>
  <c r="I101" i="11"/>
  <c r="I105" i="11"/>
  <c r="O84" i="5"/>
  <c r="I48" i="5"/>
  <c r="G134" i="5"/>
  <c r="N48" i="7"/>
  <c r="K20" i="7"/>
  <c r="I20" i="7" s="1"/>
  <c r="O33" i="7"/>
  <c r="K45" i="5"/>
  <c r="K68" i="5"/>
  <c r="E169" i="5"/>
  <c r="D218" i="5"/>
  <c r="H53" i="11"/>
  <c r="I61" i="11"/>
  <c r="F12" i="9"/>
  <c r="F13" i="9"/>
  <c r="N160" i="11"/>
  <c r="D155" i="11"/>
  <c r="O132" i="11"/>
  <c r="Q23" i="11"/>
  <c r="O12" i="11"/>
  <c r="P12" i="11"/>
  <c r="P13" i="11"/>
  <c r="Q136" i="11"/>
  <c r="D147" i="11"/>
  <c r="N140" i="11"/>
  <c r="N153" i="11"/>
  <c r="N119" i="11"/>
  <c r="K127" i="11"/>
  <c r="D146" i="11"/>
  <c r="I156" i="11"/>
  <c r="D152" i="11"/>
  <c r="M12" i="11"/>
  <c r="D163" i="11"/>
  <c r="K138" i="11"/>
  <c r="I148" i="11"/>
  <c r="D159" i="11"/>
  <c r="L20" i="11"/>
  <c r="I129" i="11"/>
  <c r="I144" i="11"/>
  <c r="K23" i="11"/>
  <c r="J139" i="11"/>
  <c r="F37" i="11"/>
  <c r="H23" i="11"/>
  <c r="G23" i="11"/>
  <c r="D149" i="11"/>
  <c r="H136" i="11"/>
  <c r="M28" i="11"/>
  <c r="O30" i="11"/>
  <c r="P36" i="11"/>
  <c r="J30" i="11"/>
  <c r="F136" i="11"/>
  <c r="M136" i="11"/>
  <c r="L130" i="11"/>
  <c r="O136" i="11"/>
  <c r="G33" i="11"/>
  <c r="H33" i="11"/>
  <c r="L29" i="11"/>
  <c r="Q29" i="11"/>
  <c r="E138" i="11"/>
  <c r="G130" i="11"/>
  <c r="J29" i="11"/>
  <c r="Q26" i="11"/>
  <c r="G27" i="11"/>
  <c r="G30" i="11"/>
  <c r="E123" i="11"/>
  <c r="J19" i="11"/>
  <c r="F20" i="11"/>
  <c r="K20" i="11"/>
  <c r="F12" i="11"/>
  <c r="M13" i="11"/>
  <c r="G13" i="11"/>
  <c r="N118" i="11"/>
  <c r="H117" i="11"/>
  <c r="Q87" i="11"/>
  <c r="N105" i="11"/>
  <c r="D95" i="11"/>
  <c r="N100" i="11"/>
  <c r="D108" i="11"/>
  <c r="D102" i="11"/>
  <c r="Q12" i="11"/>
  <c r="M82" i="11"/>
  <c r="D98" i="11"/>
  <c r="M87" i="11"/>
  <c r="D114" i="11"/>
  <c r="M78" i="11"/>
  <c r="H32" i="11"/>
  <c r="H37" i="11"/>
  <c r="D103" i="11"/>
  <c r="H90" i="11"/>
  <c r="J37" i="11"/>
  <c r="O87" i="11"/>
  <c r="F90" i="11"/>
  <c r="Q33" i="11"/>
  <c r="O81" i="11"/>
  <c r="P32" i="11"/>
  <c r="G37" i="11"/>
  <c r="E86" i="11"/>
  <c r="M33" i="11"/>
  <c r="M32" i="11"/>
  <c r="K87" i="11"/>
  <c r="H83" i="11"/>
  <c r="F28" i="11"/>
  <c r="M29" i="11"/>
  <c r="J83" i="11"/>
  <c r="Q84" i="11"/>
  <c r="D81" i="11"/>
  <c r="L83" i="11"/>
  <c r="G85" i="11"/>
  <c r="F82" i="11"/>
  <c r="M83" i="11"/>
  <c r="G82" i="11"/>
  <c r="O83" i="11"/>
  <c r="H82" i="11"/>
  <c r="H26" i="11" s="1"/>
  <c r="P83" i="11"/>
  <c r="K85" i="11"/>
  <c r="O26" i="11"/>
  <c r="L82" i="11"/>
  <c r="P85" i="11"/>
  <c r="M24" i="11"/>
  <c r="N76" i="11"/>
  <c r="G16" i="11"/>
  <c r="N72" i="11"/>
  <c r="Q19" i="11"/>
  <c r="L13" i="11"/>
  <c r="N68" i="11"/>
  <c r="Q53" i="11"/>
  <c r="O43" i="11"/>
  <c r="N45" i="11"/>
  <c r="D45" i="11" s="1"/>
  <c r="D64" i="11"/>
  <c r="J32" i="11"/>
  <c r="I60" i="11"/>
  <c r="K32" i="11"/>
  <c r="J53" i="11"/>
  <c r="I44" i="11"/>
  <c r="M38" i="11"/>
  <c r="J20" i="11"/>
  <c r="I46" i="11"/>
  <c r="D42" i="11"/>
  <c r="E55" i="11"/>
  <c r="D54" i="11"/>
  <c r="E51" i="11"/>
  <c r="F23" i="11"/>
  <c r="E44" i="11"/>
  <c r="D40" i="11"/>
  <c r="N159" i="7"/>
  <c r="N153" i="7"/>
  <c r="O18" i="7"/>
  <c r="O123" i="7"/>
  <c r="P18" i="7"/>
  <c r="J127" i="7"/>
  <c r="I127" i="7" s="1"/>
  <c r="K13" i="7"/>
  <c r="I148" i="7"/>
  <c r="I160" i="7"/>
  <c r="J118" i="7"/>
  <c r="I118" i="7" s="1"/>
  <c r="I156" i="7"/>
  <c r="L12" i="7"/>
  <c r="E160" i="7"/>
  <c r="G14" i="7"/>
  <c r="G20" i="7"/>
  <c r="E162" i="7"/>
  <c r="G123" i="7"/>
  <c r="F134" i="7"/>
  <c r="H35" i="7"/>
  <c r="K35" i="7"/>
  <c r="L136" i="7"/>
  <c r="J32" i="7"/>
  <c r="H136" i="7"/>
  <c r="N133" i="7"/>
  <c r="O29" i="7"/>
  <c r="H18" i="7"/>
  <c r="O12" i="7"/>
  <c r="P117" i="7"/>
  <c r="N68" i="7"/>
  <c r="P80" i="7"/>
  <c r="Q67" i="7"/>
  <c r="N79" i="7"/>
  <c r="D111" i="7"/>
  <c r="Q13" i="7"/>
  <c r="I96" i="7"/>
  <c r="D96" i="7" s="1"/>
  <c r="F89" i="7"/>
  <c r="E89" i="7" s="1"/>
  <c r="I108" i="7"/>
  <c r="G75" i="7"/>
  <c r="H78" i="7"/>
  <c r="J79" i="7"/>
  <c r="J89" i="7"/>
  <c r="F81" i="7"/>
  <c r="H82" i="7"/>
  <c r="I100" i="7"/>
  <c r="I80" i="7"/>
  <c r="E100" i="7"/>
  <c r="H86" i="7"/>
  <c r="E86" i="7" s="1"/>
  <c r="H67" i="7"/>
  <c r="M87" i="7"/>
  <c r="H29" i="7"/>
  <c r="Q29" i="7"/>
  <c r="J24" i="7"/>
  <c r="L78" i="7"/>
  <c r="O16" i="7"/>
  <c r="P67" i="7"/>
  <c r="G67" i="7"/>
  <c r="L67" i="7"/>
  <c r="E69" i="7"/>
  <c r="I57" i="7"/>
  <c r="D58" i="7"/>
  <c r="D55" i="7"/>
  <c r="D56" i="7"/>
  <c r="M43" i="7"/>
  <c r="I41" i="7"/>
  <c r="I46" i="7"/>
  <c r="H43" i="7"/>
  <c r="F17" i="7"/>
  <c r="N130" i="5"/>
  <c r="N174" i="5"/>
  <c r="Q118" i="5"/>
  <c r="D165" i="5"/>
  <c r="P96" i="5"/>
  <c r="K96" i="5"/>
  <c r="J110" i="5"/>
  <c r="D164" i="5"/>
  <c r="J134" i="5"/>
  <c r="I174" i="5"/>
  <c r="J126" i="5"/>
  <c r="I182" i="5"/>
  <c r="E174" i="5"/>
  <c r="D179" i="5"/>
  <c r="H132" i="5"/>
  <c r="G118" i="5"/>
  <c r="E168" i="5"/>
  <c r="E167" i="5"/>
  <c r="E161" i="5"/>
  <c r="E155" i="5"/>
  <c r="H102" i="5"/>
  <c r="D146" i="5"/>
  <c r="N125" i="5"/>
  <c r="M118" i="5"/>
  <c r="O118" i="5"/>
  <c r="I120" i="5"/>
  <c r="H118" i="5"/>
  <c r="N120" i="5"/>
  <c r="N112" i="5"/>
  <c r="D79" i="5"/>
  <c r="N73" i="5"/>
  <c r="D64" i="5"/>
  <c r="N54" i="5"/>
  <c r="I88" i="5"/>
  <c r="D90" i="5"/>
  <c r="D74" i="5"/>
  <c r="D75" i="5"/>
  <c r="J68" i="5"/>
  <c r="I61" i="5"/>
  <c r="D59" i="5"/>
  <c r="I54" i="5"/>
  <c r="D55" i="5"/>
  <c r="D39" i="5"/>
  <c r="L96" i="5"/>
  <c r="Q96" i="5"/>
  <c r="Q93" i="5"/>
  <c r="J28" i="5"/>
  <c r="E95" i="5"/>
  <c r="E86" i="5"/>
  <c r="D86" i="5" s="1"/>
  <c r="F84" i="5"/>
  <c r="G68" i="5"/>
  <c r="F52" i="5"/>
  <c r="E46" i="5"/>
  <c r="E40" i="5"/>
  <c r="D34" i="4"/>
  <c r="D15" i="4"/>
  <c r="N65" i="5"/>
  <c r="E141" i="5"/>
  <c r="J87" i="11"/>
  <c r="M28" i="5"/>
  <c r="N37" i="5"/>
  <c r="D66" i="5"/>
  <c r="K78" i="7"/>
  <c r="L87" i="7"/>
  <c r="L32" i="7"/>
  <c r="I88" i="7"/>
  <c r="L12" i="5"/>
  <c r="M29" i="5"/>
  <c r="K28" i="5"/>
  <c r="D38" i="5"/>
  <c r="M96" i="5"/>
  <c r="M16" i="7"/>
  <c r="M13" i="5"/>
  <c r="D56" i="5"/>
  <c r="D81" i="5"/>
  <c r="N100" i="5"/>
  <c r="P140" i="13"/>
  <c r="Q28" i="5"/>
  <c r="E65" i="5"/>
  <c r="K93" i="5"/>
  <c r="N123" i="5"/>
  <c r="P16" i="7"/>
  <c r="P174" i="14"/>
  <c r="I143" i="5"/>
  <c r="Q23" i="7"/>
  <c r="M121" i="7"/>
  <c r="M21" i="7"/>
  <c r="L24" i="11"/>
  <c r="L78" i="11"/>
  <c r="K130" i="11"/>
  <c r="K26" i="11"/>
  <c r="M14" i="5"/>
  <c r="G106" i="13"/>
  <c r="H24" i="14"/>
  <c r="H10" i="14" s="1"/>
  <c r="D83" i="5"/>
  <c r="L30" i="7"/>
  <c r="J24" i="13"/>
  <c r="D78" i="5"/>
  <c r="N107" i="5"/>
  <c r="E88" i="7"/>
  <c r="G32" i="7"/>
  <c r="M67" i="7"/>
  <c r="D82" i="5"/>
  <c r="D85" i="5"/>
  <c r="E139" i="5"/>
  <c r="M33" i="7"/>
  <c r="M78" i="7"/>
  <c r="P81" i="7"/>
  <c r="D107" i="7"/>
  <c r="O128" i="7"/>
  <c r="I11" i="13"/>
  <c r="G79" i="13"/>
  <c r="P93" i="13"/>
  <c r="N106" i="13"/>
  <c r="L188" i="13"/>
  <c r="G11" i="14"/>
  <c r="L140" i="14"/>
  <c r="M213" i="14"/>
  <c r="O222" i="14"/>
  <c r="K243" i="14"/>
  <c r="K174" i="13"/>
  <c r="P92" i="14"/>
  <c r="H175" i="14"/>
  <c r="H174" i="14" s="1"/>
  <c r="N59" i="7"/>
  <c r="D58" i="11"/>
  <c r="N69" i="11"/>
  <c r="E80" i="11"/>
  <c r="N135" i="11"/>
  <c r="I79" i="13"/>
  <c r="P106" i="13"/>
  <c r="P92" i="13" s="1"/>
  <c r="N188" i="13"/>
  <c r="N70" i="7"/>
  <c r="G139" i="7"/>
  <c r="N24" i="13"/>
  <c r="K140" i="13"/>
  <c r="O188" i="13"/>
  <c r="L58" i="14"/>
  <c r="F24" i="7"/>
  <c r="O32" i="11"/>
  <c r="N141" i="11"/>
  <c r="K24" i="13"/>
  <c r="L140" i="13"/>
  <c r="J11" i="14"/>
  <c r="J140" i="14"/>
  <c r="O175" i="14"/>
  <c r="L188" i="14"/>
  <c r="N77" i="7"/>
  <c r="D147" i="7"/>
  <c r="D163" i="7"/>
  <c r="O35" i="11"/>
  <c r="E72" i="11"/>
  <c r="I134" i="11"/>
  <c r="H222" i="13"/>
  <c r="K11" i="14"/>
  <c r="M188" i="14"/>
  <c r="Q87" i="7"/>
  <c r="K130" i="7"/>
  <c r="Q136" i="7"/>
  <c r="F33" i="11"/>
  <c r="D48" i="11"/>
  <c r="K58" i="13"/>
  <c r="H93" i="13"/>
  <c r="N140" i="13"/>
  <c r="H49" i="14"/>
  <c r="G92" i="14"/>
  <c r="P21" i="7"/>
  <c r="I43" i="7"/>
  <c r="D99" i="7"/>
  <c r="D115" i="7"/>
  <c r="E126" i="7"/>
  <c r="O13" i="11"/>
  <c r="O24" i="11"/>
  <c r="M117" i="11"/>
  <c r="H174" i="13"/>
  <c r="H106" i="14"/>
  <c r="I174" i="14"/>
  <c r="O213" i="14"/>
  <c r="G81" i="7"/>
  <c r="N58" i="13"/>
  <c r="N10" i="13" s="1"/>
  <c r="L24" i="14"/>
  <c r="N106" i="14"/>
  <c r="O140" i="14"/>
  <c r="G188" i="14"/>
  <c r="N93" i="7"/>
  <c r="J29" i="7"/>
  <c r="J12" i="11"/>
  <c r="E79" i="11"/>
  <c r="P81" i="11"/>
  <c r="F87" i="11"/>
  <c r="M20" i="11"/>
  <c r="G136" i="11"/>
  <c r="O58" i="13"/>
  <c r="K93" i="13"/>
  <c r="L222" i="13"/>
  <c r="P11" i="14"/>
  <c r="N79" i="14"/>
  <c r="K93" i="14"/>
  <c r="I131" i="14"/>
  <c r="I92" i="14" s="1"/>
  <c r="D54" i="7"/>
  <c r="N76" i="7"/>
  <c r="Q117" i="11"/>
  <c r="N126" i="11"/>
  <c r="P58" i="13"/>
  <c r="L79" i="13"/>
  <c r="L10" i="13" s="1"/>
  <c r="I131" i="13"/>
  <c r="O175" i="13"/>
  <c r="O174" i="13" s="1"/>
  <c r="H188" i="13"/>
  <c r="L213" i="13"/>
  <c r="J58" i="14"/>
  <c r="K106" i="14"/>
  <c r="J222" i="14"/>
  <c r="K81" i="7"/>
  <c r="E76" i="11"/>
  <c r="M139" i="11"/>
  <c r="O11" i="13"/>
  <c r="M93" i="13"/>
  <c r="J106" i="13"/>
  <c r="L175" i="13"/>
  <c r="H213" i="13"/>
  <c r="O24" i="14"/>
  <c r="N49" i="14"/>
  <c r="M93" i="14"/>
  <c r="M92" i="14" s="1"/>
  <c r="K131" i="14"/>
  <c r="J161" i="14"/>
  <c r="K222" i="14"/>
  <c r="K174" i="14" s="1"/>
  <c r="I140" i="5"/>
  <c r="L81" i="7"/>
  <c r="D155" i="7"/>
  <c r="J11" i="13"/>
  <c r="H49" i="13"/>
  <c r="N79" i="13"/>
  <c r="I93" i="13"/>
  <c r="K131" i="13"/>
  <c r="N58" i="14"/>
  <c r="N93" i="14"/>
  <c r="L131" i="14"/>
  <c r="I140" i="14"/>
  <c r="N175" i="14"/>
  <c r="G87" i="7"/>
  <c r="E118" i="7"/>
  <c r="E125" i="7"/>
  <c r="G136" i="7"/>
  <c r="O24" i="13"/>
  <c r="I49" i="13"/>
  <c r="O49" i="13"/>
  <c r="I58" i="13"/>
  <c r="L106" i="13"/>
  <c r="M140" i="13"/>
  <c r="N161" i="13"/>
  <c r="J213" i="13"/>
  <c r="L243" i="13"/>
  <c r="G58" i="14"/>
  <c r="O93" i="14"/>
  <c r="G213" i="14"/>
  <c r="G174" i="14" s="1"/>
  <c r="M222" i="14"/>
  <c r="D159" i="5"/>
  <c r="P16" i="11"/>
  <c r="F32" i="11"/>
  <c r="F35" i="11"/>
  <c r="O117" i="11"/>
  <c r="J58" i="13"/>
  <c r="P79" i="13"/>
  <c r="G140" i="13"/>
  <c r="O161" i="13"/>
  <c r="O92" i="13" s="1"/>
  <c r="I175" i="13"/>
  <c r="I174" i="13" s="1"/>
  <c r="H58" i="14"/>
  <c r="N222" i="14"/>
  <c r="J118" i="5"/>
  <c r="I138" i="5"/>
  <c r="L28" i="5"/>
  <c r="J12" i="5"/>
  <c r="G15" i="5"/>
  <c r="G28" i="5"/>
  <c r="N31" i="5"/>
  <c r="N34" i="5"/>
  <c r="G93" i="5"/>
  <c r="E97" i="5"/>
  <c r="E107" i="5"/>
  <c r="I123" i="5"/>
  <c r="D187" i="5"/>
  <c r="H37" i="7"/>
  <c r="Q12" i="5"/>
  <c r="O15" i="5"/>
  <c r="F14" i="5"/>
  <c r="K14" i="5"/>
  <c r="P14" i="5"/>
  <c r="P28" i="5"/>
  <c r="I37" i="5"/>
  <c r="D91" i="5"/>
  <c r="N102" i="5"/>
  <c r="N115" i="5"/>
  <c r="N143" i="5"/>
  <c r="D157" i="5"/>
  <c r="D172" i="5"/>
  <c r="D186" i="5"/>
  <c r="N39" i="7"/>
  <c r="K67" i="7"/>
  <c r="K12" i="7"/>
  <c r="N74" i="7"/>
  <c r="E77" i="7"/>
  <c r="G21" i="7"/>
  <c r="O78" i="7"/>
  <c r="O23" i="7"/>
  <c r="I119" i="7"/>
  <c r="G12" i="7"/>
  <c r="K87" i="7"/>
  <c r="I91" i="7"/>
  <c r="D97" i="7"/>
  <c r="D101" i="7"/>
  <c r="D113" i="7"/>
  <c r="I137" i="7"/>
  <c r="D154" i="7"/>
  <c r="O32" i="7"/>
  <c r="G33" i="7"/>
  <c r="K33" i="7"/>
  <c r="Q36" i="7"/>
  <c r="O67" i="7"/>
  <c r="I82" i="7"/>
  <c r="P87" i="7"/>
  <c r="H90" i="7"/>
  <c r="D104" i="7"/>
  <c r="D112" i="7"/>
  <c r="N118" i="7"/>
  <c r="N122" i="7"/>
  <c r="K19" i="11"/>
  <c r="K78" i="11"/>
  <c r="K24" i="11"/>
  <c r="J81" i="11"/>
  <c r="J26" i="11"/>
  <c r="N138" i="11"/>
  <c r="O33" i="11"/>
  <c r="G139" i="11"/>
  <c r="G36" i="11"/>
  <c r="M23" i="11"/>
  <c r="O29" i="11"/>
  <c r="M30" i="11"/>
  <c r="G32" i="11"/>
  <c r="Q32" i="11"/>
  <c r="D49" i="11"/>
  <c r="K71" i="11"/>
  <c r="I76" i="11"/>
  <c r="N79" i="11"/>
  <c r="G78" i="11"/>
  <c r="G24" i="11"/>
  <c r="K30" i="11"/>
  <c r="K81" i="11"/>
  <c r="P87" i="11"/>
  <c r="N88" i="11"/>
  <c r="I91" i="11"/>
  <c r="J35" i="11"/>
  <c r="J90" i="11"/>
  <c r="N125" i="11"/>
  <c r="P139" i="11"/>
  <c r="I72" i="11"/>
  <c r="H20" i="11"/>
  <c r="K11" i="13"/>
  <c r="D47" i="11"/>
  <c r="N50" i="11"/>
  <c r="D57" i="11"/>
  <c r="I80" i="11"/>
  <c r="J117" i="11"/>
  <c r="K117" i="11"/>
  <c r="O128" i="11"/>
  <c r="G11" i="13"/>
  <c r="G10" i="13" s="1"/>
  <c r="N92" i="13"/>
  <c r="K10" i="14"/>
  <c r="O10" i="14"/>
  <c r="F78" i="11"/>
  <c r="O78" i="11"/>
  <c r="E88" i="11"/>
  <c r="P90" i="11"/>
  <c r="I125" i="11"/>
  <c r="I141" i="11"/>
  <c r="H92" i="13"/>
  <c r="K92" i="13"/>
  <c r="O92" i="14"/>
  <c r="M174" i="14"/>
  <c r="O130" i="11"/>
  <c r="N134" i="11"/>
  <c r="L92" i="13"/>
  <c r="I140" i="13"/>
  <c r="I92" i="13" s="1"/>
  <c r="N222" i="13"/>
  <c r="N174" i="13" s="1"/>
  <c r="N10" i="14"/>
  <c r="H92" i="14"/>
  <c r="L92" i="14"/>
  <c r="L174" i="14"/>
  <c r="I24" i="13"/>
  <c r="I10" i="13" s="1"/>
  <c r="M24" i="13"/>
  <c r="M10" i="13" s="1"/>
  <c r="P49" i="13"/>
  <c r="I161" i="13"/>
  <c r="M161" i="13"/>
  <c r="M92" i="13" s="1"/>
  <c r="G175" i="13"/>
  <c r="G174" i="13" s="1"/>
  <c r="M213" i="13"/>
  <c r="M174" i="13" s="1"/>
  <c r="H10" i="13"/>
  <c r="J92" i="13"/>
  <c r="H106" i="13"/>
  <c r="J188" i="13"/>
  <c r="J174" i="13" s="1"/>
  <c r="I24" i="14"/>
  <c r="I10" i="14" s="1"/>
  <c r="M24" i="14"/>
  <c r="M10" i="14" s="1"/>
  <c r="G79" i="14"/>
  <c r="G10" i="14" s="1"/>
  <c r="J174" i="14"/>
  <c r="K49" i="13"/>
  <c r="O79" i="13"/>
  <c r="G93" i="13"/>
  <c r="P188" i="13"/>
  <c r="P174" i="13" s="1"/>
  <c r="L10" i="14"/>
  <c r="P10" i="14"/>
  <c r="J106" i="14"/>
  <c r="J92" i="14" s="1"/>
  <c r="N138" i="5"/>
  <c r="I39" i="7"/>
  <c r="N142" i="7"/>
  <c r="I69" i="11"/>
  <c r="N93" i="11"/>
  <c r="I126" i="11"/>
  <c r="E133" i="11"/>
  <c r="N109" i="5"/>
  <c r="I68" i="7"/>
  <c r="I68" i="11"/>
  <c r="E92" i="11"/>
  <c r="E119" i="11"/>
  <c r="I94" i="5"/>
  <c r="N124" i="7"/>
  <c r="E93" i="11"/>
  <c r="E137" i="11"/>
  <c r="N137" i="11"/>
  <c r="I59" i="7"/>
  <c r="E69" i="11"/>
  <c r="E89" i="11"/>
  <c r="N142" i="11"/>
  <c r="N98" i="5"/>
  <c r="N85" i="7"/>
  <c r="N119" i="7"/>
  <c r="I135" i="7"/>
  <c r="N82" i="11"/>
  <c r="I97" i="5"/>
  <c r="N104" i="5"/>
  <c r="E127" i="7"/>
  <c r="N77" i="11"/>
  <c r="I137" i="11"/>
  <c r="E142" i="11"/>
  <c r="I40" i="5"/>
  <c r="N45" i="5"/>
  <c r="E117" i="5"/>
  <c r="I141" i="7"/>
  <c r="I135" i="11"/>
  <c r="E120" i="5"/>
  <c r="E138" i="5"/>
  <c r="N204" i="5"/>
  <c r="I85" i="7"/>
  <c r="I86" i="7"/>
  <c r="I126" i="7"/>
  <c r="I134" i="7"/>
  <c r="E141" i="7"/>
  <c r="N141" i="7"/>
  <c r="N86" i="11"/>
  <c r="N139" i="5"/>
  <c r="E68" i="11"/>
  <c r="I119" i="11"/>
  <c r="I142" i="11"/>
  <c r="I109" i="5"/>
  <c r="E130" i="5"/>
  <c r="I107" i="5"/>
  <c r="N135" i="5"/>
  <c r="E68" i="7"/>
  <c r="E59" i="11"/>
  <c r="I86" i="11"/>
  <c r="F128" i="11"/>
  <c r="O139" i="11"/>
  <c r="O67" i="11"/>
  <c r="G87" i="11"/>
  <c r="I131" i="11"/>
  <c r="E126" i="5"/>
  <c r="N126" i="5"/>
  <c r="I135" i="5"/>
  <c r="N89" i="7"/>
  <c r="E91" i="7"/>
  <c r="I125" i="7"/>
  <c r="N138" i="7"/>
  <c r="E50" i="11"/>
  <c r="N62" i="11"/>
  <c r="N124" i="11"/>
  <c r="I34" i="5"/>
  <c r="N105" i="5"/>
  <c r="I204" i="5"/>
  <c r="I70" i="7"/>
  <c r="E76" i="7"/>
  <c r="I76" i="7"/>
  <c r="N127" i="7"/>
  <c r="E137" i="7"/>
  <c r="E142" i="7"/>
  <c r="E126" i="11"/>
  <c r="E29" i="9"/>
  <c r="E65" i="10"/>
  <c r="F35" i="7" l="1"/>
  <c r="N119" i="5"/>
  <c r="I124" i="11"/>
  <c r="F71" i="11"/>
  <c r="G26" i="7"/>
  <c r="N129" i="7"/>
  <c r="J33" i="11"/>
  <c r="I140" i="11"/>
  <c r="H130" i="11"/>
  <c r="Q121" i="11"/>
  <c r="I93" i="11"/>
  <c r="D53" i="5"/>
  <c r="K117" i="7"/>
  <c r="P130" i="11"/>
  <c r="F137" i="5"/>
  <c r="P101" i="5"/>
  <c r="L121" i="11"/>
  <c r="I50" i="7"/>
  <c r="E143" i="5"/>
  <c r="K90" i="11"/>
  <c r="N70" i="11"/>
  <c r="I84" i="7"/>
  <c r="E142" i="5"/>
  <c r="N82" i="7"/>
  <c r="F17" i="11"/>
  <c r="E17" i="11" s="1"/>
  <c r="E70" i="11"/>
  <c r="M108" i="5"/>
  <c r="I119" i="5"/>
  <c r="E135" i="11"/>
  <c r="N142" i="5"/>
  <c r="H16" i="7"/>
  <c r="E35" i="7"/>
  <c r="F27" i="7"/>
  <c r="P30" i="11"/>
  <c r="I65" i="5"/>
  <c r="E113" i="5"/>
  <c r="J101" i="5"/>
  <c r="D54" i="5"/>
  <c r="E133" i="5"/>
  <c r="I31" i="5"/>
  <c r="E10" i="8"/>
  <c r="P23" i="7"/>
  <c r="I130" i="5"/>
  <c r="L38" i="7"/>
  <c r="K28" i="11"/>
  <c r="I28" i="11" s="1"/>
  <c r="L121" i="7"/>
  <c r="L26" i="7"/>
  <c r="I103" i="5"/>
  <c r="E134" i="11"/>
  <c r="F18" i="7"/>
  <c r="G117" i="7"/>
  <c r="F36" i="11"/>
  <c r="E83" i="7"/>
  <c r="G90" i="7"/>
  <c r="H13" i="11"/>
  <c r="L139" i="11"/>
  <c r="F139" i="11"/>
  <c r="P114" i="5"/>
  <c r="E141" i="11"/>
  <c r="F87" i="7"/>
  <c r="K22" i="11"/>
  <c r="N13" i="11"/>
  <c r="F29" i="7"/>
  <c r="D153" i="7"/>
  <c r="D51" i="11"/>
  <c r="P27" i="11"/>
  <c r="K136" i="11"/>
  <c r="K21" i="11"/>
  <c r="F11" i="9"/>
  <c r="F136" i="7"/>
  <c r="D158" i="5"/>
  <c r="J14" i="11"/>
  <c r="D152" i="7"/>
  <c r="H14" i="11"/>
  <c r="N123" i="11"/>
  <c r="E100" i="5"/>
  <c r="I11" i="5"/>
  <c r="E127" i="5"/>
  <c r="D106" i="7"/>
  <c r="J36" i="7"/>
  <c r="M37" i="7"/>
  <c r="D163" i="5"/>
  <c r="D57" i="5"/>
  <c r="M19" i="11"/>
  <c r="Q15" i="5"/>
  <c r="P28" i="7"/>
  <c r="M139" i="7"/>
  <c r="H36" i="11"/>
  <c r="E124" i="7"/>
  <c r="D52" i="7"/>
  <c r="L101" i="5"/>
  <c r="G27" i="7"/>
  <c r="K36" i="7"/>
  <c r="D56" i="11"/>
  <c r="D35" i="5"/>
  <c r="M18" i="11"/>
  <c r="K139" i="7"/>
  <c r="L35" i="7"/>
  <c r="E120" i="11"/>
  <c r="G28" i="11"/>
  <c r="L14" i="5"/>
  <c r="H28" i="7"/>
  <c r="M13" i="7"/>
  <c r="L38" i="11"/>
  <c r="I112" i="5"/>
  <c r="F13" i="7"/>
  <c r="N97" i="5"/>
  <c r="J17" i="11"/>
  <c r="N62" i="7"/>
  <c r="H99" i="5"/>
  <c r="O99" i="5"/>
  <c r="E28" i="9"/>
  <c r="I14" i="5"/>
  <c r="N83" i="11"/>
  <c r="I15" i="5"/>
  <c r="Q31" i="7"/>
  <c r="I29" i="7"/>
  <c r="E29" i="8"/>
  <c r="L13" i="5"/>
  <c r="M25" i="5"/>
  <c r="D155" i="5"/>
  <c r="F26" i="7"/>
  <c r="G19" i="7"/>
  <c r="P24" i="7"/>
  <c r="P22" i="7" s="1"/>
  <c r="E123" i="7"/>
  <c r="D156" i="7"/>
  <c r="H81" i="11"/>
  <c r="Q28" i="11"/>
  <c r="K18" i="11"/>
  <c r="D151" i="11"/>
  <c r="D61" i="11"/>
  <c r="D48" i="7"/>
  <c r="J21" i="11"/>
  <c r="L128" i="7"/>
  <c r="I123" i="7"/>
  <c r="N59" i="11"/>
  <c r="P19" i="7"/>
  <c r="D150" i="7"/>
  <c r="I77" i="11"/>
  <c r="N129" i="5"/>
  <c r="E111" i="5"/>
  <c r="N95" i="5"/>
  <c r="Q27" i="7"/>
  <c r="E11" i="5"/>
  <c r="P35" i="11"/>
  <c r="D185" i="5"/>
  <c r="H18" i="11"/>
  <c r="P37" i="7"/>
  <c r="D44" i="7"/>
  <c r="D156" i="5"/>
  <c r="E31" i="9"/>
  <c r="J37" i="7"/>
  <c r="N131" i="11"/>
  <c r="F19" i="11"/>
  <c r="N135" i="7"/>
  <c r="Q137" i="5"/>
  <c r="I122" i="11"/>
  <c r="L36" i="11"/>
  <c r="D149" i="7"/>
  <c r="O26" i="7"/>
  <c r="M27" i="7"/>
  <c r="E131" i="5"/>
  <c r="N124" i="5"/>
  <c r="P35" i="7"/>
  <c r="L99" i="5"/>
  <c r="L36" i="7"/>
  <c r="D65" i="11"/>
  <c r="E140" i="11"/>
  <c r="P18" i="11"/>
  <c r="D115" i="11"/>
  <c r="O14" i="5"/>
  <c r="G16" i="7"/>
  <c r="E16" i="7" s="1"/>
  <c r="M18" i="7"/>
  <c r="I133" i="5"/>
  <c r="J28" i="11"/>
  <c r="H117" i="7"/>
  <c r="I43" i="5"/>
  <c r="G20" i="11"/>
  <c r="E20" i="11" s="1"/>
  <c r="Q128" i="11"/>
  <c r="E68" i="10"/>
  <c r="M81" i="7"/>
  <c r="F12" i="5"/>
  <c r="Q13" i="5"/>
  <c r="D100" i="11"/>
  <c r="D144" i="11"/>
  <c r="Q22" i="11"/>
  <c r="E53" i="11"/>
  <c r="M67" i="11"/>
  <c r="N116" i="5"/>
  <c r="N52" i="5"/>
  <c r="K17" i="11"/>
  <c r="N127" i="5"/>
  <c r="P20" i="7"/>
  <c r="D41" i="11"/>
  <c r="I122" i="5"/>
  <c r="J16" i="7"/>
  <c r="O87" i="7"/>
  <c r="Q128" i="7"/>
  <c r="D103" i="7"/>
  <c r="G28" i="7"/>
  <c r="L13" i="7"/>
  <c r="D102" i="7"/>
  <c r="I58" i="5"/>
  <c r="F114" i="5"/>
  <c r="N132" i="5"/>
  <c r="D61" i="7"/>
  <c r="E131" i="11"/>
  <c r="M28" i="7"/>
  <c r="D150" i="11"/>
  <c r="M101" i="5"/>
  <c r="F118" i="5"/>
  <c r="H137" i="5"/>
  <c r="K16" i="11"/>
  <c r="E91" i="11"/>
  <c r="M36" i="11"/>
  <c r="G14" i="5"/>
  <c r="H36" i="7"/>
  <c r="P37" i="11"/>
  <c r="I111" i="5"/>
  <c r="K128" i="11"/>
  <c r="K116" i="11" s="1"/>
  <c r="J24" i="11"/>
  <c r="E34" i="9"/>
  <c r="E14" i="10"/>
  <c r="G12" i="5"/>
  <c r="I12" i="5"/>
  <c r="D108" i="7"/>
  <c r="L22" i="7"/>
  <c r="D162" i="7"/>
  <c r="E78" i="10"/>
  <c r="N123" i="7"/>
  <c r="K11" i="7"/>
  <c r="N88" i="7"/>
  <c r="M31" i="7"/>
  <c r="D46" i="5"/>
  <c r="D161" i="5"/>
  <c r="D182" i="5"/>
  <c r="J12" i="7"/>
  <c r="D60" i="11"/>
  <c r="J67" i="11"/>
  <c r="G26" i="11"/>
  <c r="Q71" i="11"/>
  <c r="P33" i="11"/>
  <c r="P31" i="11" s="1"/>
  <c r="D157" i="11"/>
  <c r="N132" i="11"/>
  <c r="D48" i="5"/>
  <c r="M114" i="5"/>
  <c r="F29" i="11"/>
  <c r="D162" i="11"/>
  <c r="F108" i="5"/>
  <c r="E132" i="11"/>
  <c r="Q24" i="7"/>
  <c r="Q22" i="7" s="1"/>
  <c r="G128" i="7"/>
  <c r="P121" i="7"/>
  <c r="F128" i="7"/>
  <c r="L19" i="7"/>
  <c r="F15" i="5"/>
  <c r="G96" i="5"/>
  <c r="E96" i="5" s="1"/>
  <c r="F139" i="7"/>
  <c r="E139" i="7" s="1"/>
  <c r="D110" i="7"/>
  <c r="H19" i="7"/>
  <c r="P121" i="11"/>
  <c r="D36" i="5"/>
  <c r="O20" i="11"/>
  <c r="F37" i="7"/>
  <c r="E34" i="5"/>
  <c r="N137" i="7"/>
  <c r="M121" i="5"/>
  <c r="P108" i="5"/>
  <c r="K37" i="7"/>
  <c r="D181" i="5"/>
  <c r="O28" i="7"/>
  <c r="E98" i="5"/>
  <c r="O16" i="11"/>
  <c r="D113" i="11"/>
  <c r="O36" i="11"/>
  <c r="N36" i="11" s="1"/>
  <c r="P130" i="7"/>
  <c r="I124" i="5"/>
  <c r="M36" i="7"/>
  <c r="G29" i="7"/>
  <c r="K12" i="5"/>
  <c r="N86" i="7"/>
  <c r="E136" i="5"/>
  <c r="H15" i="5"/>
  <c r="G128" i="11"/>
  <c r="F24" i="11"/>
  <c r="F22" i="11" s="1"/>
  <c r="K99" i="5"/>
  <c r="D32" i="5"/>
  <c r="D57" i="7"/>
  <c r="H26" i="7"/>
  <c r="L33" i="11"/>
  <c r="L14" i="11"/>
  <c r="G121" i="11"/>
  <c r="K114" i="5"/>
  <c r="E102" i="5"/>
  <c r="K128" i="7"/>
  <c r="D42" i="7"/>
  <c r="F16" i="7"/>
  <c r="M19" i="7"/>
  <c r="J96" i="5"/>
  <c r="E50" i="7"/>
  <c r="D50" i="7" s="1"/>
  <c r="D49" i="5"/>
  <c r="D151" i="7"/>
  <c r="N110" i="5"/>
  <c r="D71" i="5"/>
  <c r="D175" i="5"/>
  <c r="O101" i="5"/>
  <c r="N101" i="5" s="1"/>
  <c r="Q28" i="7"/>
  <c r="J23" i="11"/>
  <c r="D112" i="11"/>
  <c r="H28" i="5"/>
  <c r="E28" i="5" s="1"/>
  <c r="N141" i="5"/>
  <c r="F14" i="7"/>
  <c r="E14" i="7" s="1"/>
  <c r="P27" i="7"/>
  <c r="Q114" i="5"/>
  <c r="I132" i="7"/>
  <c r="I142" i="7"/>
  <c r="H29" i="11"/>
  <c r="I77" i="7"/>
  <c r="K16" i="7"/>
  <c r="L87" i="11"/>
  <c r="O14" i="7"/>
  <c r="D33" i="5"/>
  <c r="N85" i="11"/>
  <c r="O114" i="5"/>
  <c r="D154" i="5"/>
  <c r="D41" i="7"/>
  <c r="Q67" i="11"/>
  <c r="D21" i="5"/>
  <c r="N15" i="5"/>
  <c r="D73" i="5"/>
  <c r="D168" i="5"/>
  <c r="O108" i="5"/>
  <c r="N108" i="5" s="1"/>
  <c r="D46" i="7"/>
  <c r="I72" i="7"/>
  <c r="D46" i="11"/>
  <c r="L26" i="11"/>
  <c r="H27" i="11"/>
  <c r="M81" i="11"/>
  <c r="I68" i="5"/>
  <c r="D80" i="5"/>
  <c r="L28" i="11"/>
  <c r="D114" i="7"/>
  <c r="D116" i="11"/>
  <c r="D87" i="5"/>
  <c r="G14" i="11"/>
  <c r="I84" i="5"/>
  <c r="E72" i="7"/>
  <c r="Q81" i="7"/>
  <c r="P38" i="7"/>
  <c r="E49" i="8"/>
  <c r="N53" i="11"/>
  <c r="D66" i="7"/>
  <c r="I117" i="5"/>
  <c r="D47" i="5"/>
  <c r="Q21" i="11"/>
  <c r="D110" i="11"/>
  <c r="E118" i="11"/>
  <c r="D64" i="7"/>
  <c r="E45" i="5"/>
  <c r="G38" i="11"/>
  <c r="M17" i="7"/>
  <c r="L17" i="7"/>
  <c r="K17" i="7"/>
  <c r="E43" i="5"/>
  <c r="Q108" i="5"/>
  <c r="F30" i="7"/>
  <c r="F28" i="7"/>
  <c r="H33" i="7"/>
  <c r="N11" i="5"/>
  <c r="J13" i="11"/>
  <c r="J11" i="11" s="1"/>
  <c r="P14" i="7"/>
  <c r="H128" i="11"/>
  <c r="P17" i="11"/>
  <c r="E106" i="5"/>
  <c r="L33" i="7"/>
  <c r="L31" i="7" s="1"/>
  <c r="E43" i="7"/>
  <c r="D43" i="7" s="1"/>
  <c r="N12" i="5"/>
  <c r="G29" i="11"/>
  <c r="E29" i="11" s="1"/>
  <c r="H22" i="11"/>
  <c r="D156" i="11"/>
  <c r="E36" i="8"/>
  <c r="D101" i="11"/>
  <c r="D76" i="5"/>
  <c r="N40" i="5"/>
  <c r="K14" i="11"/>
  <c r="H23" i="7"/>
  <c r="F21" i="11"/>
  <c r="J136" i="7"/>
  <c r="H121" i="7"/>
  <c r="Q81" i="11"/>
  <c r="N133" i="11"/>
  <c r="Q130" i="11"/>
  <c r="Q116" i="11" s="1"/>
  <c r="I128" i="5"/>
  <c r="D145" i="11"/>
  <c r="I74" i="7"/>
  <c r="G24" i="7"/>
  <c r="L108" i="5"/>
  <c r="P19" i="11"/>
  <c r="L19" i="11"/>
  <c r="J14" i="5"/>
  <c r="H13" i="7"/>
  <c r="J15" i="5"/>
  <c r="N73" i="11"/>
  <c r="E53" i="8"/>
  <c r="K28" i="7"/>
  <c r="K15" i="5"/>
  <c r="D167" i="5"/>
  <c r="O22" i="7"/>
  <c r="E67" i="10"/>
  <c r="N136" i="11"/>
  <c r="O29" i="5"/>
  <c r="N29" i="5" s="1"/>
  <c r="L67" i="11"/>
  <c r="K13" i="5"/>
  <c r="D11" i="4"/>
  <c r="H30" i="7"/>
  <c r="I79" i="7"/>
  <c r="J21" i="7"/>
  <c r="I85" i="11"/>
  <c r="K139" i="11"/>
  <c r="D148" i="11"/>
  <c r="N33" i="7"/>
  <c r="D97" i="11"/>
  <c r="D72" i="5"/>
  <c r="L12" i="11"/>
  <c r="M128" i="7"/>
  <c r="I133" i="7"/>
  <c r="P24" i="11"/>
  <c r="N24" i="11" s="1"/>
  <c r="F14" i="11"/>
  <c r="P128" i="11"/>
  <c r="I50" i="11"/>
  <c r="D62" i="5"/>
  <c r="G108" i="5"/>
  <c r="O21" i="11"/>
  <c r="D63" i="5"/>
  <c r="J13" i="7"/>
  <c r="Q37" i="7"/>
  <c r="M21" i="11"/>
  <c r="Q27" i="11"/>
  <c r="E39" i="11"/>
  <c r="P137" i="5"/>
  <c r="Q36" i="11"/>
  <c r="M130" i="7"/>
  <c r="D95" i="7"/>
  <c r="N132" i="7"/>
  <c r="G36" i="7"/>
  <c r="M137" i="5"/>
  <c r="I62" i="11"/>
  <c r="F93" i="5"/>
  <c r="G101" i="5"/>
  <c r="N125" i="7"/>
  <c r="J35" i="7"/>
  <c r="P117" i="11"/>
  <c r="Q14" i="7"/>
  <c r="Q11" i="7" s="1"/>
  <c r="K36" i="11"/>
  <c r="I36" i="11" s="1"/>
  <c r="N72" i="7"/>
  <c r="O24" i="7"/>
  <c r="P15" i="5"/>
  <c r="N12" i="7"/>
  <c r="P36" i="7"/>
  <c r="P34" i="7" s="1"/>
  <c r="P26" i="7"/>
  <c r="I30" i="11"/>
  <c r="G17" i="7"/>
  <c r="D148" i="7"/>
  <c r="N13" i="7"/>
  <c r="P28" i="11"/>
  <c r="E123" i="5"/>
  <c r="M11" i="7"/>
  <c r="M35" i="7"/>
  <c r="E135" i="5"/>
  <c r="Q90" i="7"/>
  <c r="H108" i="5"/>
  <c r="N131" i="5"/>
  <c r="N37" i="11"/>
  <c r="P31" i="7"/>
  <c r="G71" i="7"/>
  <c r="I75" i="7"/>
  <c r="E58" i="5"/>
  <c r="D58" i="5" s="1"/>
  <c r="E73" i="7"/>
  <c r="D161" i="7"/>
  <c r="M117" i="7"/>
  <c r="Q78" i="7"/>
  <c r="E132" i="5"/>
  <c r="D55" i="11"/>
  <c r="E37" i="11"/>
  <c r="P26" i="11"/>
  <c r="I53" i="7"/>
  <c r="H71" i="11"/>
  <c r="N39" i="11"/>
  <c r="Q14" i="11"/>
  <c r="Q11" i="11" s="1"/>
  <c r="K27" i="11"/>
  <c r="K25" i="11" s="1"/>
  <c r="E131" i="7"/>
  <c r="O27" i="7"/>
  <c r="N80" i="7"/>
  <c r="E74" i="7"/>
  <c r="O130" i="7"/>
  <c r="E119" i="7"/>
  <c r="H121" i="5"/>
  <c r="F117" i="7"/>
  <c r="M23" i="7"/>
  <c r="K19" i="7"/>
  <c r="H31" i="11"/>
  <c r="P29" i="5"/>
  <c r="H14" i="7"/>
  <c r="O139" i="7"/>
  <c r="D104" i="11"/>
  <c r="M121" i="11"/>
  <c r="M90" i="7"/>
  <c r="P78" i="7"/>
  <c r="M26" i="11"/>
  <c r="E37" i="5"/>
  <c r="D37" i="5" s="1"/>
  <c r="G29" i="5"/>
  <c r="N74" i="11"/>
  <c r="Q71" i="7"/>
  <c r="L29" i="5"/>
  <c r="J93" i="5"/>
  <c r="I93" i="5" s="1"/>
  <c r="F36" i="7"/>
  <c r="E122" i="11"/>
  <c r="I131" i="7"/>
  <c r="E62" i="7"/>
  <c r="D188" i="5"/>
  <c r="E75" i="11"/>
  <c r="O90" i="7"/>
  <c r="D92" i="5"/>
  <c r="I73" i="11"/>
  <c r="K101" i="5"/>
  <c r="E53" i="7"/>
  <c r="E125" i="5"/>
  <c r="G18" i="11"/>
  <c r="Q35" i="7"/>
  <c r="I141" i="5"/>
  <c r="E112" i="5"/>
  <c r="P71" i="11"/>
  <c r="J117" i="7"/>
  <c r="J108" i="5"/>
  <c r="E13" i="11"/>
  <c r="H121" i="11"/>
  <c r="I39" i="11"/>
  <c r="E125" i="11"/>
  <c r="O30" i="7"/>
  <c r="O22" i="11"/>
  <c r="N30" i="11"/>
  <c r="M71" i="7"/>
  <c r="J33" i="7"/>
  <c r="D47" i="7"/>
  <c r="I93" i="7"/>
  <c r="N43" i="7"/>
  <c r="D60" i="7"/>
  <c r="P21" i="11"/>
  <c r="Q30" i="7"/>
  <c r="I132" i="5"/>
  <c r="I132" i="11"/>
  <c r="F26" i="11"/>
  <c r="F121" i="5"/>
  <c r="Q16" i="7"/>
  <c r="N120" i="7"/>
  <c r="K31" i="7"/>
  <c r="F16" i="11"/>
  <c r="F15" i="11" s="1"/>
  <c r="E134" i="5"/>
  <c r="K21" i="7"/>
  <c r="D157" i="7"/>
  <c r="M16" i="11"/>
  <c r="M15" i="11" s="1"/>
  <c r="O36" i="7"/>
  <c r="Q38" i="7"/>
  <c r="E92" i="7"/>
  <c r="O117" i="7"/>
  <c r="I122" i="7"/>
  <c r="E103" i="5"/>
  <c r="K121" i="11"/>
  <c r="H38" i="7"/>
  <c r="L114" i="5"/>
  <c r="D153" i="11"/>
  <c r="J26" i="7"/>
  <c r="I26" i="7" s="1"/>
  <c r="N134" i="5"/>
  <c r="F23" i="7"/>
  <c r="K38" i="7"/>
  <c r="I134" i="5"/>
  <c r="D88" i="5"/>
  <c r="N83" i="7"/>
  <c r="G71" i="11"/>
  <c r="K121" i="7"/>
  <c r="K116" i="7" s="1"/>
  <c r="H67" i="11"/>
  <c r="H66" i="11" s="1"/>
  <c r="E52" i="5"/>
  <c r="I95" i="5"/>
  <c r="D174" i="5"/>
  <c r="E77" i="11"/>
  <c r="L17" i="11"/>
  <c r="Q38" i="11"/>
  <c r="E84" i="5"/>
  <c r="D106" i="11"/>
  <c r="F38" i="11"/>
  <c r="N43" i="11"/>
  <c r="I105" i="5"/>
  <c r="H114" i="5"/>
  <c r="G38" i="7"/>
  <c r="I74" i="11"/>
  <c r="I62" i="7"/>
  <c r="I38" i="7" s="1"/>
  <c r="D116" i="7"/>
  <c r="K71" i="7"/>
  <c r="N133" i="5"/>
  <c r="E70" i="7"/>
  <c r="E122" i="5"/>
  <c r="F67" i="7"/>
  <c r="N92" i="7"/>
  <c r="L27" i="7"/>
  <c r="L25" i="7" s="1"/>
  <c r="I83" i="7"/>
  <c r="P71" i="7"/>
  <c r="E132" i="7"/>
  <c r="I36" i="7"/>
  <c r="I115" i="5"/>
  <c r="D171" i="5"/>
  <c r="I125" i="5"/>
  <c r="I104" i="5"/>
  <c r="L71" i="7"/>
  <c r="F130" i="11"/>
  <c r="E120" i="7"/>
  <c r="N53" i="7"/>
  <c r="E135" i="7"/>
  <c r="E74" i="11"/>
  <c r="L32" i="11"/>
  <c r="L31" i="11" s="1"/>
  <c r="O137" i="5"/>
  <c r="J130" i="7"/>
  <c r="I130" i="7" s="1"/>
  <c r="E20" i="7"/>
  <c r="Q139" i="7"/>
  <c r="E115" i="5"/>
  <c r="I24" i="7"/>
  <c r="N126" i="7"/>
  <c r="Q101" i="5"/>
  <c r="M38" i="7"/>
  <c r="D243" i="5"/>
  <c r="O71" i="7"/>
  <c r="L90" i="7"/>
  <c r="D180" i="5"/>
  <c r="N84" i="11"/>
  <c r="L137" i="5"/>
  <c r="D109" i="7"/>
  <c r="D51" i="7"/>
  <c r="D158" i="11"/>
  <c r="I88" i="11"/>
  <c r="H93" i="5"/>
  <c r="M27" i="11"/>
  <c r="M25" i="11" s="1"/>
  <c r="D144" i="7"/>
  <c r="I23" i="11"/>
  <c r="N96" i="5"/>
  <c r="E43" i="11"/>
  <c r="I52" i="5"/>
  <c r="L71" i="11"/>
  <c r="I113" i="5"/>
  <c r="Q130" i="7"/>
  <c r="N27" i="7"/>
  <c r="I73" i="7"/>
  <c r="D183" i="5"/>
  <c r="N128" i="7"/>
  <c r="O38" i="7"/>
  <c r="D105" i="7"/>
  <c r="L117" i="7"/>
  <c r="I142" i="5"/>
  <c r="L34" i="11"/>
  <c r="N117" i="11"/>
  <c r="J27" i="7"/>
  <c r="D162" i="5"/>
  <c r="E39" i="7"/>
  <c r="D39" i="7" s="1"/>
  <c r="Q117" i="7"/>
  <c r="L139" i="7"/>
  <c r="J16" i="11"/>
  <c r="O11" i="11"/>
  <c r="E133" i="7"/>
  <c r="I100" i="5"/>
  <c r="I120" i="7"/>
  <c r="E79" i="7"/>
  <c r="J121" i="11"/>
  <c r="J34" i="11"/>
  <c r="M90" i="11"/>
  <c r="K29" i="11"/>
  <c r="E122" i="7"/>
  <c r="N75" i="7"/>
  <c r="G18" i="7"/>
  <c r="P90" i="7"/>
  <c r="J139" i="7"/>
  <c r="P38" i="11"/>
  <c r="N91" i="7"/>
  <c r="G35" i="11"/>
  <c r="G121" i="5"/>
  <c r="E121" i="5" s="1"/>
  <c r="F90" i="7"/>
  <c r="L18" i="7"/>
  <c r="L15" i="7" s="1"/>
  <c r="O35" i="7"/>
  <c r="L27" i="11"/>
  <c r="M71" i="11"/>
  <c r="I123" i="11"/>
  <c r="L18" i="11"/>
  <c r="H35" i="11"/>
  <c r="I45" i="5"/>
  <c r="H31" i="7"/>
  <c r="Q121" i="5"/>
  <c r="Q26" i="7"/>
  <c r="P93" i="5"/>
  <c r="E62" i="11"/>
  <c r="I75" i="11"/>
  <c r="P121" i="5"/>
  <c r="I140" i="7"/>
  <c r="N75" i="11"/>
  <c r="L136" i="11"/>
  <c r="F67" i="11"/>
  <c r="I92" i="11"/>
  <c r="H139" i="11"/>
  <c r="G121" i="7"/>
  <c r="E121" i="7" s="1"/>
  <c r="J114" i="5"/>
  <c r="D31" i="5"/>
  <c r="E93" i="7"/>
  <c r="K121" i="5"/>
  <c r="F78" i="7"/>
  <c r="E119" i="5"/>
  <c r="O90" i="11"/>
  <c r="I30" i="7"/>
  <c r="K18" i="7"/>
  <c r="H14" i="5"/>
  <c r="J137" i="5"/>
  <c r="I126" i="5"/>
  <c r="O93" i="5"/>
  <c r="D160" i="7"/>
  <c r="O17" i="7"/>
  <c r="D159" i="7"/>
  <c r="D44" i="11"/>
  <c r="D66" i="11"/>
  <c r="M31" i="11"/>
  <c r="L90" i="11"/>
  <c r="Q30" i="11"/>
  <c r="Q25" i="11" s="1"/>
  <c r="Q34" i="11"/>
  <c r="D190" i="5"/>
  <c r="E30" i="9"/>
  <c r="I116" i="5"/>
  <c r="E14" i="11"/>
  <c r="E94" i="5"/>
  <c r="N19" i="11"/>
  <c r="P78" i="11"/>
  <c r="O18" i="11"/>
  <c r="O15" i="11" s="1"/>
  <c r="I69" i="7"/>
  <c r="K38" i="11"/>
  <c r="E53" i="10"/>
  <c r="J71" i="7"/>
  <c r="I92" i="7"/>
  <c r="N120" i="11"/>
  <c r="J71" i="11"/>
  <c r="N73" i="7"/>
  <c r="F130" i="7"/>
  <c r="J78" i="7"/>
  <c r="I78" i="7" s="1"/>
  <c r="E109" i="5"/>
  <c r="N92" i="11"/>
  <c r="L37" i="7"/>
  <c r="J18" i="7"/>
  <c r="E84" i="7"/>
  <c r="J18" i="11"/>
  <c r="I18" i="11" s="1"/>
  <c r="O38" i="11"/>
  <c r="G90" i="11"/>
  <c r="E90" i="11" s="1"/>
  <c r="N122" i="11"/>
  <c r="D169" i="5"/>
  <c r="E116" i="5"/>
  <c r="O19" i="7"/>
  <c r="N19" i="7" s="1"/>
  <c r="N140" i="7"/>
  <c r="P14" i="11"/>
  <c r="E28" i="7"/>
  <c r="O121" i="5"/>
  <c r="D100" i="7"/>
  <c r="F29" i="5"/>
  <c r="O31" i="7"/>
  <c r="L121" i="5"/>
  <c r="L14" i="7"/>
  <c r="N131" i="7"/>
  <c r="E87" i="11"/>
  <c r="N113" i="5"/>
  <c r="P17" i="7"/>
  <c r="O28" i="5"/>
  <c r="I79" i="11"/>
  <c r="N127" i="11"/>
  <c r="E13" i="7"/>
  <c r="N18" i="7"/>
  <c r="I53" i="11"/>
  <c r="J27" i="11"/>
  <c r="I27" i="11" s="1"/>
  <c r="F11" i="11"/>
  <c r="N84" i="5"/>
  <c r="Q29" i="5"/>
  <c r="J38" i="7"/>
  <c r="J17" i="7"/>
  <c r="E84" i="11"/>
  <c r="D105" i="11"/>
  <c r="I84" i="11"/>
  <c r="E82" i="11"/>
  <c r="N94" i="5"/>
  <c r="I139" i="11"/>
  <c r="J78" i="11"/>
  <c r="N84" i="7"/>
  <c r="K90" i="7"/>
  <c r="F30" i="11"/>
  <c r="N80" i="11"/>
  <c r="K29" i="5"/>
  <c r="E75" i="7"/>
  <c r="I110" i="5"/>
  <c r="I59" i="11"/>
  <c r="H27" i="7"/>
  <c r="J29" i="5"/>
  <c r="H29" i="5"/>
  <c r="H71" i="7"/>
  <c r="N37" i="7"/>
  <c r="E138" i="7"/>
  <c r="O71" i="11"/>
  <c r="N67" i="7"/>
  <c r="E118" i="5"/>
  <c r="N21" i="7"/>
  <c r="E68" i="5"/>
  <c r="E80" i="7"/>
  <c r="G67" i="11"/>
  <c r="K108" i="5"/>
  <c r="I70" i="11"/>
  <c r="H28" i="11"/>
  <c r="E28" i="11" s="1"/>
  <c r="M14" i="11"/>
  <c r="E127" i="11"/>
  <c r="F38" i="7"/>
  <c r="J121" i="5"/>
  <c r="K25" i="7"/>
  <c r="D30" i="5"/>
  <c r="O136" i="7"/>
  <c r="H101" i="5"/>
  <c r="F71" i="7"/>
  <c r="F27" i="11"/>
  <c r="D50" i="11"/>
  <c r="I82" i="11"/>
  <c r="K67" i="11"/>
  <c r="K66" i="11" s="1"/>
  <c r="Q19" i="7"/>
  <c r="N128" i="5"/>
  <c r="F19" i="7"/>
  <c r="F15" i="7" s="1"/>
  <c r="K33" i="11"/>
  <c r="G117" i="11"/>
  <c r="N128" i="11"/>
  <c r="I138" i="11"/>
  <c r="I43" i="11"/>
  <c r="G12" i="11"/>
  <c r="H17" i="7"/>
  <c r="E17" i="7" s="1"/>
  <c r="I21" i="11"/>
  <c r="N12" i="11"/>
  <c r="I14" i="11"/>
  <c r="E13" i="9"/>
  <c r="H38" i="11"/>
  <c r="I128" i="7"/>
  <c r="N129" i="11"/>
  <c r="M34" i="11"/>
  <c r="E136" i="7"/>
  <c r="J87" i="7"/>
  <c r="E129" i="7"/>
  <c r="I118" i="11"/>
  <c r="J28" i="7"/>
  <c r="E21" i="7"/>
  <c r="J23" i="7"/>
  <c r="J38" i="11"/>
  <c r="H128" i="7"/>
  <c r="D160" i="11"/>
  <c r="L117" i="11"/>
  <c r="P23" i="11"/>
  <c r="N23" i="11" s="1"/>
  <c r="E32" i="7"/>
  <c r="J121" i="7"/>
  <c r="O121" i="11"/>
  <c r="N121" i="11" s="1"/>
  <c r="I98" i="5"/>
  <c r="N29" i="7"/>
  <c r="G22" i="11"/>
  <c r="I118" i="5"/>
  <c r="F34" i="11"/>
  <c r="E33" i="11"/>
  <c r="G78" i="7"/>
  <c r="O11" i="7"/>
  <c r="K23" i="7"/>
  <c r="M25" i="7"/>
  <c r="H21" i="11"/>
  <c r="E108" i="5"/>
  <c r="I87" i="11"/>
  <c r="F33" i="7"/>
  <c r="I20" i="11"/>
  <c r="E12" i="9"/>
  <c r="I130" i="11"/>
  <c r="L11" i="11"/>
  <c r="O27" i="11"/>
  <c r="D61" i="5"/>
  <c r="F121" i="11"/>
  <c r="N81" i="11"/>
  <c r="I96" i="5"/>
  <c r="I89" i="7"/>
  <c r="E82" i="7"/>
  <c r="I133" i="11"/>
  <c r="G23" i="7"/>
  <c r="E78" i="11"/>
  <c r="I117" i="7"/>
  <c r="E136" i="11"/>
  <c r="I129" i="7"/>
  <c r="N91" i="11"/>
  <c r="D65" i="5"/>
  <c r="I37" i="11"/>
  <c r="I35" i="11"/>
  <c r="K11" i="11"/>
  <c r="J31" i="11"/>
  <c r="N130" i="11"/>
  <c r="P116" i="11"/>
  <c r="M116" i="11"/>
  <c r="N32" i="11"/>
  <c r="Q31" i="11"/>
  <c r="Q15" i="11"/>
  <c r="M22" i="11"/>
  <c r="I24" i="11"/>
  <c r="L81" i="11"/>
  <c r="K34" i="11"/>
  <c r="G25" i="11"/>
  <c r="E23" i="11"/>
  <c r="G81" i="11"/>
  <c r="F31" i="11"/>
  <c r="F81" i="11"/>
  <c r="E85" i="11"/>
  <c r="I83" i="11"/>
  <c r="E83" i="11"/>
  <c r="N28" i="11"/>
  <c r="P29" i="11"/>
  <c r="L22" i="11"/>
  <c r="E19" i="11"/>
  <c r="N16" i="11"/>
  <c r="I12" i="11"/>
  <c r="O121" i="7"/>
  <c r="P116" i="7"/>
  <c r="K34" i="7"/>
  <c r="E134" i="7"/>
  <c r="I33" i="7"/>
  <c r="E29" i="7"/>
  <c r="N23" i="7"/>
  <c r="N16" i="7"/>
  <c r="E87" i="7"/>
  <c r="I67" i="7"/>
  <c r="M15" i="7"/>
  <c r="I81" i="7"/>
  <c r="H81" i="7"/>
  <c r="G34" i="7"/>
  <c r="Q34" i="7"/>
  <c r="E37" i="7"/>
  <c r="N32" i="7"/>
  <c r="N81" i="7"/>
  <c r="E67" i="7"/>
  <c r="I32" i="7"/>
  <c r="D59" i="7"/>
  <c r="F25" i="7"/>
  <c r="N118" i="5"/>
  <c r="N28" i="5"/>
  <c r="D40" i="5"/>
  <c r="D45" i="5"/>
  <c r="I28" i="5"/>
  <c r="O174" i="14"/>
  <c r="Q66" i="11"/>
  <c r="J10" i="13"/>
  <c r="J10" i="14"/>
  <c r="K92" i="14"/>
  <c r="L174" i="13"/>
  <c r="N174" i="14"/>
  <c r="P10" i="13"/>
  <c r="E137" i="5"/>
  <c r="E36" i="11"/>
  <c r="G92" i="13"/>
  <c r="O10" i="13"/>
  <c r="N92" i="14"/>
  <c r="N71" i="11"/>
  <c r="N87" i="11"/>
  <c r="E32" i="11"/>
  <c r="G31" i="11"/>
  <c r="K10" i="13"/>
  <c r="E139" i="11"/>
  <c r="E12" i="7"/>
  <c r="G11" i="7"/>
  <c r="I12" i="7"/>
  <c r="G13" i="5"/>
  <c r="G31" i="7"/>
  <c r="O31" i="11"/>
  <c r="I26" i="11"/>
  <c r="I19" i="11"/>
  <c r="K15" i="11"/>
  <c r="I16" i="7"/>
  <c r="N26" i="7"/>
  <c r="N139" i="11"/>
  <c r="N67" i="11"/>
  <c r="D34" i="5"/>
  <c r="E22" i="11" l="1"/>
  <c r="H116" i="11"/>
  <c r="Q66" i="7"/>
  <c r="F11" i="7"/>
  <c r="E11" i="7" s="1"/>
  <c r="I19" i="7"/>
  <c r="Q15" i="7"/>
  <c r="N14" i="7"/>
  <c r="N130" i="7"/>
  <c r="J15" i="11"/>
  <c r="G116" i="7"/>
  <c r="F116" i="7"/>
  <c r="E26" i="7"/>
  <c r="D26" i="7" s="1"/>
  <c r="I18" i="7"/>
  <c r="D18" i="7" s="1"/>
  <c r="K15" i="7"/>
  <c r="D22" i="5"/>
  <c r="I35" i="7"/>
  <c r="D35" i="7" s="1"/>
  <c r="Q116" i="7"/>
  <c r="E16" i="11"/>
  <c r="K92" i="5"/>
  <c r="P66" i="11"/>
  <c r="N33" i="11"/>
  <c r="L15" i="11"/>
  <c r="E38" i="7"/>
  <c r="I99" i="5"/>
  <c r="E38" i="11"/>
  <c r="G164" i="7"/>
  <c r="N117" i="7"/>
  <c r="E71" i="7"/>
  <c r="N121" i="7"/>
  <c r="D62" i="11"/>
  <c r="I16" i="11"/>
  <c r="D16" i="11" s="1"/>
  <c r="D84" i="5"/>
  <c r="N90" i="11"/>
  <c r="E11" i="9"/>
  <c r="K22" i="7"/>
  <c r="I117" i="11"/>
  <c r="I67" i="11"/>
  <c r="D11" i="5"/>
  <c r="I108" i="5"/>
  <c r="E18" i="7"/>
  <c r="E27" i="7"/>
  <c r="F25" i="5"/>
  <c r="E14" i="5"/>
  <c r="I137" i="5"/>
  <c r="N90" i="7"/>
  <c r="N137" i="5"/>
  <c r="D52" i="5"/>
  <c r="I13" i="7"/>
  <c r="D13" i="7" s="1"/>
  <c r="P15" i="11"/>
  <c r="I13" i="11"/>
  <c r="D62" i="7"/>
  <c r="G25" i="5"/>
  <c r="H11" i="7"/>
  <c r="H34" i="7"/>
  <c r="E24" i="7"/>
  <c r="E34" i="8"/>
  <c r="E99" i="5"/>
  <c r="H11" i="11"/>
  <c r="N31" i="7"/>
  <c r="I90" i="11"/>
  <c r="Q92" i="5"/>
  <c r="N35" i="7"/>
  <c r="M34" i="7"/>
  <c r="E52" i="8"/>
  <c r="P66" i="7"/>
  <c r="G15" i="7"/>
  <c r="D53" i="7"/>
  <c r="N35" i="11"/>
  <c r="D59" i="11"/>
  <c r="K66" i="7"/>
  <c r="P15" i="7"/>
  <c r="E37" i="9"/>
  <c r="E74" i="10"/>
  <c r="D12" i="5"/>
  <c r="D15" i="5"/>
  <c r="I32" i="11"/>
  <c r="D32" i="11" s="1"/>
  <c r="N36" i="7"/>
  <c r="E15" i="5"/>
  <c r="P25" i="5"/>
  <c r="O25" i="5"/>
  <c r="I128" i="11"/>
  <c r="E30" i="11"/>
  <c r="N38" i="11"/>
  <c r="E41" i="9"/>
  <c r="D13" i="5"/>
  <c r="J116" i="11"/>
  <c r="L92" i="5"/>
  <c r="M92" i="5"/>
  <c r="I136" i="7"/>
  <c r="E121" i="11"/>
  <c r="F31" i="7"/>
  <c r="E31" i="7" s="1"/>
  <c r="D39" i="11"/>
  <c r="O66" i="11"/>
  <c r="P25" i="7"/>
  <c r="D53" i="11"/>
  <c r="N121" i="5"/>
  <c r="I114" i="5"/>
  <c r="H34" i="11"/>
  <c r="E90" i="7"/>
  <c r="J34" i="7"/>
  <c r="I34" i="7" s="1"/>
  <c r="F22" i="7"/>
  <c r="N30" i="7"/>
  <c r="I101" i="5"/>
  <c r="N26" i="11"/>
  <c r="P34" i="11"/>
  <c r="N20" i="7"/>
  <c r="E128" i="11"/>
  <c r="N17" i="11"/>
  <c r="F164" i="7"/>
  <c r="Q164" i="11"/>
  <c r="P22" i="11"/>
  <c r="N136" i="7"/>
  <c r="J25" i="5"/>
  <c r="L34" i="7"/>
  <c r="D17" i="5"/>
  <c r="N38" i="7"/>
  <c r="E18" i="11"/>
  <c r="I121" i="11"/>
  <c r="N22" i="7"/>
  <c r="J25" i="11"/>
  <c r="O25" i="7"/>
  <c r="K164" i="11"/>
  <c r="I13" i="5"/>
  <c r="E114" i="5"/>
  <c r="E81" i="7"/>
  <c r="M116" i="7"/>
  <c r="E26" i="11"/>
  <c r="G15" i="11"/>
  <c r="O34" i="11"/>
  <c r="G66" i="7"/>
  <c r="O116" i="11"/>
  <c r="E128" i="7"/>
  <c r="E117" i="11"/>
  <c r="F25" i="11"/>
  <c r="E25" i="11" s="1"/>
  <c r="I78" i="11"/>
  <c r="E130" i="7"/>
  <c r="G92" i="5"/>
  <c r="E71" i="11"/>
  <c r="F92" i="5"/>
  <c r="E117" i="7"/>
  <c r="F34" i="7"/>
  <c r="E34" i="7" s="1"/>
  <c r="N78" i="7"/>
  <c r="H22" i="7"/>
  <c r="E31" i="10"/>
  <c r="E30" i="10"/>
  <c r="E71" i="10"/>
  <c r="D36" i="11"/>
  <c r="H164" i="11"/>
  <c r="K31" i="11"/>
  <c r="P11" i="11"/>
  <c r="N18" i="11"/>
  <c r="G34" i="11"/>
  <c r="I29" i="11"/>
  <c r="N28" i="7"/>
  <c r="H13" i="5"/>
  <c r="E30" i="7"/>
  <c r="D30" i="7" s="1"/>
  <c r="I17" i="11"/>
  <c r="I21" i="7"/>
  <c r="J13" i="5"/>
  <c r="M22" i="7"/>
  <c r="D19" i="5"/>
  <c r="N114" i="5"/>
  <c r="D18" i="5"/>
  <c r="N29" i="11"/>
  <c r="D43" i="11"/>
  <c r="K26" i="5"/>
  <c r="Q164" i="7"/>
  <c r="P164" i="7"/>
  <c r="P164" i="11"/>
  <c r="I136" i="11"/>
  <c r="I116" i="11" s="1"/>
  <c r="J11" i="7"/>
  <c r="J22" i="7"/>
  <c r="N14" i="5"/>
  <c r="F13" i="5"/>
  <c r="G25" i="7"/>
  <c r="N24" i="7"/>
  <c r="I28" i="7"/>
  <c r="M164" i="11"/>
  <c r="E130" i="11"/>
  <c r="N27" i="11"/>
  <c r="N71" i="7"/>
  <c r="D29" i="7"/>
  <c r="J116" i="7"/>
  <c r="H15" i="7"/>
  <c r="E19" i="7"/>
  <c r="M11" i="11"/>
  <c r="M10" i="11" s="1"/>
  <c r="D68" i="5"/>
  <c r="K25" i="5"/>
  <c r="L11" i="7"/>
  <c r="L10" i="7" s="1"/>
  <c r="I71" i="11"/>
  <c r="N78" i="11"/>
  <c r="N66" i="11" s="1"/>
  <c r="P13" i="5"/>
  <c r="D43" i="5"/>
  <c r="L25" i="5"/>
  <c r="O66" i="7"/>
  <c r="K164" i="7"/>
  <c r="D16" i="5"/>
  <c r="F66" i="7"/>
  <c r="M66" i="7"/>
  <c r="N139" i="7"/>
  <c r="D37" i="11"/>
  <c r="E21" i="11"/>
  <c r="G11" i="11"/>
  <c r="H25" i="11"/>
  <c r="H25" i="5"/>
  <c r="Q25" i="5"/>
  <c r="Q25" i="7"/>
  <c r="Q10" i="7" s="1"/>
  <c r="L25" i="11"/>
  <c r="I25" i="11" s="1"/>
  <c r="L116" i="7"/>
  <c r="J31" i="7"/>
  <c r="E24" i="11"/>
  <c r="J22" i="11"/>
  <c r="N20" i="11"/>
  <c r="P11" i="7"/>
  <c r="N99" i="5"/>
  <c r="D14" i="5"/>
  <c r="N87" i="7"/>
  <c r="I90" i="7"/>
  <c r="O15" i="7"/>
  <c r="E27" i="11"/>
  <c r="I71" i="7"/>
  <c r="N17" i="7"/>
  <c r="H25" i="7"/>
  <c r="I37" i="7"/>
  <c r="H92" i="5"/>
  <c r="E36" i="7"/>
  <c r="D23" i="11"/>
  <c r="E78" i="7"/>
  <c r="N21" i="11"/>
  <c r="M66" i="11"/>
  <c r="J66" i="11"/>
  <c r="L66" i="7"/>
  <c r="I23" i="7"/>
  <c r="I139" i="7"/>
  <c r="O34" i="7"/>
  <c r="J15" i="7"/>
  <c r="D21" i="7"/>
  <c r="I34" i="11"/>
  <c r="E12" i="11"/>
  <c r="E33" i="7"/>
  <c r="F116" i="11"/>
  <c r="E93" i="5"/>
  <c r="J25" i="7"/>
  <c r="I25" i="7" s="1"/>
  <c r="N11" i="11"/>
  <c r="L66" i="11"/>
  <c r="E35" i="11"/>
  <c r="G116" i="11"/>
  <c r="I17" i="7"/>
  <c r="I121" i="5"/>
  <c r="P92" i="5"/>
  <c r="I27" i="7"/>
  <c r="N14" i="11"/>
  <c r="I29" i="5"/>
  <c r="J92" i="5"/>
  <c r="I14" i="7"/>
  <c r="I11" i="11"/>
  <c r="O92" i="5"/>
  <c r="E81" i="11"/>
  <c r="G66" i="11"/>
  <c r="O116" i="7"/>
  <c r="E29" i="5"/>
  <c r="J66" i="7"/>
  <c r="O13" i="5"/>
  <c r="N93" i="5"/>
  <c r="L116" i="11"/>
  <c r="E101" i="5"/>
  <c r="I33" i="11"/>
  <c r="E67" i="11"/>
  <c r="I38" i="11"/>
  <c r="I87" i="7"/>
  <c r="I121" i="7"/>
  <c r="N31" i="11"/>
  <c r="H15" i="11"/>
  <c r="H116" i="7"/>
  <c r="O25" i="11"/>
  <c r="E23" i="7"/>
  <c r="G22" i="7"/>
  <c r="I81" i="11"/>
  <c r="I31" i="11"/>
  <c r="F10" i="11"/>
  <c r="N116" i="11"/>
  <c r="D28" i="11"/>
  <c r="Q10" i="11"/>
  <c r="F66" i="11"/>
  <c r="E31" i="11"/>
  <c r="D19" i="11"/>
  <c r="P25" i="11"/>
  <c r="D16" i="7"/>
  <c r="D32" i="7"/>
  <c r="H66" i="7"/>
  <c r="D28" i="5"/>
  <c r="D12" i="7"/>
  <c r="K10" i="11"/>
  <c r="I15" i="11"/>
  <c r="N15" i="11"/>
  <c r="D26" i="11" l="1"/>
  <c r="F10" i="7"/>
  <c r="D38" i="7"/>
  <c r="D28" i="7"/>
  <c r="D29" i="11"/>
  <c r="L10" i="11"/>
  <c r="O10" i="7"/>
  <c r="E34" i="11"/>
  <c r="J10" i="11"/>
  <c r="D15" i="6" s="1"/>
  <c r="E25" i="5"/>
  <c r="D56" i="6"/>
  <c r="I22" i="7"/>
  <c r="D40" i="6"/>
  <c r="K10" i="7"/>
  <c r="G164" i="11"/>
  <c r="H26" i="5"/>
  <c r="D19" i="7"/>
  <c r="I11" i="7"/>
  <c r="E55" i="10"/>
  <c r="G26" i="5"/>
  <c r="Q26" i="5"/>
  <c r="D20" i="5"/>
  <c r="N34" i="11"/>
  <c r="D34" i="11" s="1"/>
  <c r="N116" i="7"/>
  <c r="F164" i="11"/>
  <c r="P10" i="7"/>
  <c r="E92" i="5"/>
  <c r="E116" i="11"/>
  <c r="E22" i="7"/>
  <c r="D33" i="11"/>
  <c r="O164" i="7"/>
  <c r="J26" i="5"/>
  <c r="D35" i="11"/>
  <c r="D21" i="11"/>
  <c r="I15" i="7"/>
  <c r="E11" i="11"/>
  <c r="D11" i="11" s="1"/>
  <c r="L164" i="7"/>
  <c r="I31" i="7"/>
  <c r="E72" i="10"/>
  <c r="E70" i="10"/>
  <c r="D20" i="7"/>
  <c r="M26" i="5"/>
  <c r="H10" i="11"/>
  <c r="D14" i="7"/>
  <c r="D54" i="6"/>
  <c r="N34" i="7"/>
  <c r="D34" i="7" s="1"/>
  <c r="M164" i="7"/>
  <c r="D30" i="11"/>
  <c r="E29" i="10"/>
  <c r="N11" i="7"/>
  <c r="J164" i="11"/>
  <c r="D24" i="7"/>
  <c r="D13" i="11"/>
  <c r="E13" i="5"/>
  <c r="P10" i="11"/>
  <c r="D33" i="6"/>
  <c r="D18" i="11"/>
  <c r="D14" i="11"/>
  <c r="D17" i="6"/>
  <c r="D18" i="6"/>
  <c r="N66" i="7"/>
  <c r="E116" i="7"/>
  <c r="N15" i="7"/>
  <c r="O26" i="5"/>
  <c r="D27" i="7"/>
  <c r="D12" i="11"/>
  <c r="D37" i="7"/>
  <c r="J164" i="7"/>
  <c r="F26" i="5"/>
  <c r="O164" i="11"/>
  <c r="L26" i="5"/>
  <c r="I92" i="5"/>
  <c r="L164" i="11"/>
  <c r="D16" i="6"/>
  <c r="D27" i="11"/>
  <c r="I66" i="11"/>
  <c r="O10" i="11"/>
  <c r="M10" i="7"/>
  <c r="N13" i="5"/>
  <c r="P26" i="5"/>
  <c r="D24" i="11"/>
  <c r="N25" i="7"/>
  <c r="H10" i="7"/>
  <c r="I22" i="11"/>
  <c r="I10" i="11" s="1"/>
  <c r="D20" i="11"/>
  <c r="D17" i="11"/>
  <c r="D38" i="11"/>
  <c r="N22" i="11"/>
  <c r="I116" i="7"/>
  <c r="D33" i="7"/>
  <c r="E66" i="7"/>
  <c r="G10" i="11"/>
  <c r="E15" i="7"/>
  <c r="H164" i="7"/>
  <c r="I66" i="7"/>
  <c r="I25" i="5"/>
  <c r="D36" i="7"/>
  <c r="N25" i="5"/>
  <c r="E36" i="9"/>
  <c r="D17" i="7"/>
  <c r="D23" i="7"/>
  <c r="E66" i="11"/>
  <c r="N92" i="5"/>
  <c r="E25" i="7"/>
  <c r="D31" i="11"/>
  <c r="J10" i="7"/>
  <c r="D29" i="5"/>
  <c r="E15" i="11"/>
  <c r="G10" i="7"/>
  <c r="N25" i="11"/>
  <c r="D11" i="7" l="1"/>
  <c r="D14" i="6"/>
  <c r="D38" i="6"/>
  <c r="I26" i="5"/>
  <c r="E76" i="10"/>
  <c r="E54" i="10"/>
  <c r="E164" i="11"/>
  <c r="D31" i="6"/>
  <c r="I164" i="7"/>
  <c r="N26" i="5"/>
  <c r="E55" i="8"/>
  <c r="E69" i="10"/>
  <c r="D55" i="6"/>
  <c r="D39" i="6"/>
  <c r="E10" i="11"/>
  <c r="I164" i="11"/>
  <c r="D25" i="5"/>
  <c r="N10" i="7"/>
  <c r="N164" i="7"/>
  <c r="N10" i="11"/>
  <c r="D15" i="7"/>
  <c r="E10" i="7"/>
  <c r="N164" i="11"/>
  <c r="E164" i="7"/>
  <c r="D22" i="11"/>
  <c r="D31" i="7"/>
  <c r="D22" i="7"/>
  <c r="I10" i="7"/>
  <c r="D23" i="5"/>
  <c r="D41" i="6"/>
  <c r="E26" i="5"/>
  <c r="D32" i="6"/>
  <c r="D25" i="7"/>
  <c r="D15" i="11"/>
  <c r="D25" i="11"/>
  <c r="D10" i="11" l="1"/>
  <c r="D36" i="6"/>
  <c r="D53" i="6"/>
  <c r="D26" i="5"/>
  <c r="D30" i="6"/>
  <c r="D10" i="7"/>
  <c r="D37" i="6"/>
  <c r="D164" i="7"/>
  <c r="D13" i="6"/>
  <c r="E54" i="8"/>
  <c r="D164" i="11"/>
  <c r="E75" i="10"/>
  <c r="D35" i="6" l="1"/>
  <c r="D12" i="6"/>
  <c r="J242" i="5"/>
  <c r="P242" i="5"/>
  <c r="Q242" i="5"/>
  <c r="L242" i="5"/>
  <c r="F242" i="5"/>
  <c r="G242" i="5"/>
  <c r="K242" i="5"/>
  <c r="H242" i="5"/>
  <c r="O242" i="5"/>
  <c r="M242" i="5"/>
  <c r="N242" i="5"/>
  <c r="Q238" i="5" l="1"/>
  <c r="Q237" i="5"/>
  <c r="Q209" i="5"/>
  <c r="Q236" i="5"/>
  <c r="Q232" i="5"/>
  <c r="Q227" i="5"/>
  <c r="Q200" i="5"/>
  <c r="Q231" i="5"/>
  <c r="Q212" i="5"/>
  <c r="Q194" i="5"/>
  <c r="Q207" i="5"/>
  <c r="Q228" i="5"/>
  <c r="Q221" i="5"/>
  <c r="Q223" i="5"/>
  <c r="Q195" i="5"/>
  <c r="Q201" i="5"/>
  <c r="Q213" i="5"/>
  <c r="Q208" i="5"/>
  <c r="Q234" i="5"/>
  <c r="Q239" i="5"/>
  <c r="Q226" i="5"/>
  <c r="Q216" i="5"/>
  <c r="Q225" i="5"/>
  <c r="Q206" i="5"/>
  <c r="Q203" i="5"/>
  <c r="Q224" i="5"/>
  <c r="Q233" i="5"/>
  <c r="Q192" i="5"/>
  <c r="Q214" i="5"/>
  <c r="Q202" i="5"/>
  <c r="Q219" i="5"/>
  <c r="Q230" i="5"/>
  <c r="Q240" i="5"/>
  <c r="Q197" i="5"/>
  <c r="Q199" i="5"/>
  <c r="Q220" i="5"/>
  <c r="Q222" i="5"/>
  <c r="Q229" i="5"/>
  <c r="Q210" i="5"/>
  <c r="Q217" i="5"/>
  <c r="M225" i="5"/>
  <c r="M212" i="5"/>
  <c r="M194" i="5"/>
  <c r="M208" i="5"/>
  <c r="M207" i="5"/>
  <c r="M237" i="5"/>
  <c r="M227" i="5"/>
  <c r="M233" i="5"/>
  <c r="M221" i="5"/>
  <c r="M226" i="5"/>
  <c r="M234" i="5"/>
  <c r="M192" i="5"/>
  <c r="M240" i="5"/>
  <c r="M220" i="5"/>
  <c r="M224" i="5"/>
  <c r="M239" i="5"/>
  <c r="M230" i="5"/>
  <c r="M213" i="5"/>
  <c r="M199" i="5"/>
  <c r="M229" i="5"/>
  <c r="M223" i="5"/>
  <c r="M214" i="5"/>
  <c r="M217" i="5"/>
  <c r="M201" i="5"/>
  <c r="M228" i="5"/>
  <c r="M222" i="5"/>
  <c r="M206" i="5"/>
  <c r="M232" i="5"/>
  <c r="M202" i="5"/>
  <c r="M210" i="5"/>
  <c r="M203" i="5"/>
  <c r="M209" i="5"/>
  <c r="M238" i="5"/>
  <c r="M195" i="5"/>
  <c r="M197" i="5"/>
  <c r="M236" i="5"/>
  <c r="M231" i="5"/>
  <c r="M200" i="5"/>
  <c r="M219" i="5"/>
  <c r="M216" i="5"/>
  <c r="P240" i="5"/>
  <c r="P192" i="5"/>
  <c r="P202" i="5"/>
  <c r="P233" i="5"/>
  <c r="P224" i="5"/>
  <c r="P234" i="5"/>
  <c r="P213" i="5"/>
  <c r="P223" i="5"/>
  <c r="P208" i="5"/>
  <c r="P228" i="5"/>
  <c r="P210" i="5"/>
  <c r="P222" i="5"/>
  <c r="P225" i="5"/>
  <c r="P201" i="5"/>
  <c r="P220" i="5"/>
  <c r="P217" i="5"/>
  <c r="P230" i="5"/>
  <c r="P206" i="5"/>
  <c r="P226" i="5"/>
  <c r="P232" i="5"/>
  <c r="P195" i="5"/>
  <c r="P194" i="5"/>
  <c r="P238" i="5"/>
  <c r="P203" i="5"/>
  <c r="P212" i="5"/>
  <c r="P214" i="5"/>
  <c r="P236" i="5"/>
  <c r="P199" i="5"/>
  <c r="P239" i="5"/>
  <c r="P216" i="5"/>
  <c r="P200" i="5"/>
  <c r="P229" i="5"/>
  <c r="P227" i="5"/>
  <c r="P219" i="5"/>
  <c r="P231" i="5"/>
  <c r="P207" i="5"/>
  <c r="P197" i="5"/>
  <c r="P209" i="5"/>
  <c r="P237" i="5"/>
  <c r="P221" i="5"/>
  <c r="O236" i="5"/>
  <c r="O202" i="5"/>
  <c r="O231" i="5"/>
  <c r="O199" i="5"/>
  <c r="O216" i="5"/>
  <c r="O203" i="5"/>
  <c r="O209" i="5"/>
  <c r="O195" i="5"/>
  <c r="O222" i="5"/>
  <c r="O232" i="5"/>
  <c r="O220" i="5"/>
  <c r="O225" i="5"/>
  <c r="O201" i="5"/>
  <c r="O210" i="5"/>
  <c r="O228" i="5"/>
  <c r="O192" i="5"/>
  <c r="O213" i="5"/>
  <c r="O237" i="5"/>
  <c r="O197" i="5"/>
  <c r="O223" i="5"/>
  <c r="O200" i="5"/>
  <c r="O214" i="5"/>
  <c r="O219" i="5"/>
  <c r="O229" i="5"/>
  <c r="O224" i="5"/>
  <c r="O227" i="5"/>
  <c r="O240" i="5"/>
  <c r="O238" i="5"/>
  <c r="O206" i="5"/>
  <c r="O217" i="5"/>
  <c r="O207" i="5"/>
  <c r="O212" i="5"/>
  <c r="O208" i="5"/>
  <c r="O233" i="5"/>
  <c r="O221" i="5"/>
  <c r="O239" i="5"/>
  <c r="O194" i="5"/>
  <c r="O230" i="5"/>
  <c r="O234" i="5"/>
  <c r="O226" i="5"/>
  <c r="H224" i="5"/>
  <c r="H206" i="5"/>
  <c r="H227" i="5"/>
  <c r="H207" i="5"/>
  <c r="H197" i="5"/>
  <c r="H239" i="5"/>
  <c r="H192" i="5"/>
  <c r="H200" i="5"/>
  <c r="H220" i="5"/>
  <c r="H234" i="5"/>
  <c r="H214" i="5"/>
  <c r="H231" i="5"/>
  <c r="H232" i="5"/>
  <c r="H219" i="5"/>
  <c r="H201" i="5"/>
  <c r="H203" i="5"/>
  <c r="H217" i="5"/>
  <c r="H216" i="5"/>
  <c r="H223" i="5"/>
  <c r="H221" i="5"/>
  <c r="H236" i="5"/>
  <c r="H202" i="5"/>
  <c r="H222" i="5"/>
  <c r="H195" i="5"/>
  <c r="H199" i="5"/>
  <c r="H225" i="5"/>
  <c r="H212" i="5"/>
  <c r="H238" i="5"/>
  <c r="H228" i="5"/>
  <c r="H233" i="5"/>
  <c r="H208" i="5"/>
  <c r="H194" i="5"/>
  <c r="H230" i="5"/>
  <c r="H229" i="5"/>
  <c r="H226" i="5"/>
  <c r="H240" i="5"/>
  <c r="H209" i="5"/>
  <c r="H237" i="5"/>
  <c r="H210" i="5"/>
  <c r="H213" i="5"/>
  <c r="J239" i="5"/>
  <c r="J217" i="5"/>
  <c r="J231" i="5"/>
  <c r="J197" i="5"/>
  <c r="J227" i="5"/>
  <c r="J222" i="5"/>
  <c r="J224" i="5"/>
  <c r="J199" i="5"/>
  <c r="J220" i="5"/>
  <c r="J207" i="5"/>
  <c r="J234" i="5"/>
  <c r="J214" i="5"/>
  <c r="J236" i="5"/>
  <c r="J202" i="5"/>
  <c r="J212" i="5"/>
  <c r="J208" i="5"/>
  <c r="J226" i="5"/>
  <c r="J219" i="5"/>
  <c r="J230" i="5"/>
  <c r="J194" i="5"/>
  <c r="J237" i="5"/>
  <c r="J206" i="5"/>
  <c r="J195" i="5"/>
  <c r="J228" i="5"/>
  <c r="J225" i="5"/>
  <c r="J213" i="5"/>
  <c r="J233" i="5"/>
  <c r="J210" i="5"/>
  <c r="J203" i="5"/>
  <c r="J229" i="5"/>
  <c r="J192" i="5"/>
  <c r="J216" i="5"/>
  <c r="J240" i="5"/>
  <c r="J201" i="5"/>
  <c r="J200" i="5"/>
  <c r="J232" i="5"/>
  <c r="J221" i="5"/>
  <c r="J223" i="5"/>
  <c r="J209" i="5"/>
  <c r="J238" i="5"/>
  <c r="I242" i="5"/>
  <c r="K227" i="5"/>
  <c r="K231" i="5"/>
  <c r="K230" i="5"/>
  <c r="K216" i="5"/>
  <c r="K229" i="5"/>
  <c r="K213" i="5"/>
  <c r="K234" i="5"/>
  <c r="K225" i="5"/>
  <c r="K219" i="5"/>
  <c r="K212" i="5"/>
  <c r="K239" i="5"/>
  <c r="K209" i="5"/>
  <c r="K199" i="5"/>
  <c r="K214" i="5"/>
  <c r="K192" i="5"/>
  <c r="K221" i="5"/>
  <c r="K203" i="5"/>
  <c r="K210" i="5"/>
  <c r="K208" i="5"/>
  <c r="K220" i="5"/>
  <c r="K194" i="5"/>
  <c r="K206" i="5"/>
  <c r="K240" i="5"/>
  <c r="K200" i="5"/>
  <c r="K197" i="5"/>
  <c r="K236" i="5"/>
  <c r="K237" i="5"/>
  <c r="K222" i="5"/>
  <c r="K223" i="5"/>
  <c r="K207" i="5"/>
  <c r="K201" i="5"/>
  <c r="K232" i="5"/>
  <c r="K226" i="5"/>
  <c r="K195" i="5"/>
  <c r="K238" i="5"/>
  <c r="K217" i="5"/>
  <c r="K233" i="5"/>
  <c r="K202" i="5"/>
  <c r="K228" i="5"/>
  <c r="K224" i="5"/>
  <c r="D29" i="6"/>
  <c r="G207" i="5"/>
  <c r="G213" i="5"/>
  <c r="G203" i="5"/>
  <c r="G237" i="5"/>
  <c r="G240" i="5"/>
  <c r="G220" i="5"/>
  <c r="G229" i="5"/>
  <c r="G225" i="5"/>
  <c r="G197" i="5"/>
  <c r="G232" i="5"/>
  <c r="G208" i="5"/>
  <c r="G222" i="5"/>
  <c r="G214" i="5"/>
  <c r="G239" i="5"/>
  <c r="G210" i="5"/>
  <c r="G221" i="5"/>
  <c r="G227" i="5"/>
  <c r="G206" i="5"/>
  <c r="G209" i="5"/>
  <c r="G202" i="5"/>
  <c r="G236" i="5"/>
  <c r="G233" i="5"/>
  <c r="G194" i="5"/>
  <c r="G200" i="5"/>
  <c r="G217" i="5"/>
  <c r="G195" i="5"/>
  <c r="G228" i="5"/>
  <c r="G192" i="5"/>
  <c r="G223" i="5"/>
  <c r="G201" i="5"/>
  <c r="G219" i="5"/>
  <c r="G238" i="5"/>
  <c r="G216" i="5"/>
  <c r="G230" i="5"/>
  <c r="G231" i="5"/>
  <c r="G226" i="5"/>
  <c r="G199" i="5"/>
  <c r="G212" i="5"/>
  <c r="G234" i="5"/>
  <c r="G224" i="5"/>
  <c r="F240" i="5"/>
  <c r="F228" i="5"/>
  <c r="F232" i="5"/>
  <c r="F210" i="5"/>
  <c r="F197" i="5"/>
  <c r="F227" i="5"/>
  <c r="F192" i="5"/>
  <c r="F237" i="5"/>
  <c r="F209" i="5"/>
  <c r="F220" i="5"/>
  <c r="F226" i="5"/>
  <c r="E242" i="5"/>
  <c r="F201" i="5"/>
  <c r="F224" i="5"/>
  <c r="F234" i="5"/>
  <c r="F233" i="5"/>
  <c r="F223" i="5"/>
  <c r="F236" i="5"/>
  <c r="F195" i="5"/>
  <c r="F202" i="5"/>
  <c r="F229" i="5"/>
  <c r="F225" i="5"/>
  <c r="F231" i="5"/>
  <c r="F208" i="5"/>
  <c r="F206" i="5"/>
  <c r="F217" i="5"/>
  <c r="F216" i="5"/>
  <c r="F203" i="5"/>
  <c r="F213" i="5"/>
  <c r="F212" i="5"/>
  <c r="F219" i="5"/>
  <c r="F194" i="5"/>
  <c r="F230" i="5"/>
  <c r="F214" i="5"/>
  <c r="F239" i="5"/>
  <c r="F222" i="5"/>
  <c r="F207" i="5"/>
  <c r="F199" i="5"/>
  <c r="F200" i="5"/>
  <c r="F221" i="5"/>
  <c r="F238" i="5"/>
  <c r="D52" i="6"/>
  <c r="L238" i="5"/>
  <c r="L236" i="5"/>
  <c r="L234" i="5"/>
  <c r="L214" i="5"/>
  <c r="L195" i="5"/>
  <c r="L222" i="5"/>
  <c r="L220" i="5"/>
  <c r="L192" i="5"/>
  <c r="L237" i="5"/>
  <c r="L201" i="5"/>
  <c r="L226" i="5"/>
  <c r="L209" i="5"/>
  <c r="L216" i="5"/>
  <c r="L219" i="5"/>
  <c r="L229" i="5"/>
  <c r="L221" i="5"/>
  <c r="L240" i="5"/>
  <c r="L210" i="5"/>
  <c r="L227" i="5"/>
  <c r="L199" i="5"/>
  <c r="L231" i="5"/>
  <c r="L197" i="5"/>
  <c r="L213" i="5"/>
  <c r="L202" i="5"/>
  <c r="L228" i="5"/>
  <c r="L233" i="5"/>
  <c r="L239" i="5"/>
  <c r="L223" i="5"/>
  <c r="L207" i="5"/>
  <c r="L230" i="5"/>
  <c r="L206" i="5"/>
  <c r="L200" i="5"/>
  <c r="L232" i="5"/>
  <c r="L225" i="5"/>
  <c r="L208" i="5"/>
  <c r="L224" i="5"/>
  <c r="L217" i="5"/>
  <c r="L212" i="5"/>
  <c r="L203" i="5"/>
  <c r="L194" i="5"/>
  <c r="L193" i="5" l="1"/>
  <c r="L19" i="5"/>
  <c r="L22" i="5"/>
  <c r="L191" i="5"/>
  <c r="E203" i="5"/>
  <c r="F18" i="5"/>
  <c r="E202" i="5"/>
  <c r="E210" i="5"/>
  <c r="N239" i="5"/>
  <c r="Q19" i="5"/>
  <c r="Q22" i="5"/>
  <c r="L21" i="5"/>
  <c r="L205" i="5"/>
  <c r="E239" i="5"/>
  <c r="F215" i="5"/>
  <c r="E216" i="5"/>
  <c r="E195" i="5"/>
  <c r="E226" i="5"/>
  <c r="E232" i="5"/>
  <c r="G191" i="5"/>
  <c r="G18" i="5"/>
  <c r="K191" i="5"/>
  <c r="I240" i="5"/>
  <c r="I225" i="5"/>
  <c r="I226" i="5"/>
  <c r="I220" i="5"/>
  <c r="I239" i="5"/>
  <c r="H215" i="5"/>
  <c r="H21" i="5"/>
  <c r="H205" i="5"/>
  <c r="N221" i="5"/>
  <c r="N240" i="5"/>
  <c r="O196" i="5"/>
  <c r="N197" i="5"/>
  <c r="N220" i="5"/>
  <c r="N231" i="5"/>
  <c r="P17" i="5"/>
  <c r="P198" i="5"/>
  <c r="M18" i="5"/>
  <c r="Q18" i="5"/>
  <c r="Q215" i="5"/>
  <c r="K18" i="5"/>
  <c r="K21" i="5"/>
  <c r="K205" i="5"/>
  <c r="J215" i="5"/>
  <c r="I216" i="5"/>
  <c r="I228" i="5"/>
  <c r="I208" i="5"/>
  <c r="J17" i="5"/>
  <c r="J198" i="5"/>
  <c r="I199" i="5"/>
  <c r="H198" i="5"/>
  <c r="H17" i="5"/>
  <c r="N233" i="5"/>
  <c r="N227" i="5"/>
  <c r="N237" i="5"/>
  <c r="N232" i="5"/>
  <c r="O18" i="5"/>
  <c r="N202" i="5"/>
  <c r="P235" i="5"/>
  <c r="P18" i="5"/>
  <c r="M235" i="5"/>
  <c r="M191" i="5"/>
  <c r="E222" i="5"/>
  <c r="L196" i="5"/>
  <c r="L218" i="5"/>
  <c r="E209" i="5"/>
  <c r="K193" i="5"/>
  <c r="K17" i="5"/>
  <c r="K198" i="5"/>
  <c r="I209" i="5"/>
  <c r="J191" i="5"/>
  <c r="I192" i="5"/>
  <c r="I195" i="5"/>
  <c r="J211" i="5"/>
  <c r="I212" i="5"/>
  <c r="I224" i="5"/>
  <c r="H193" i="5"/>
  <c r="H19" i="5"/>
  <c r="H22" i="5"/>
  <c r="N208" i="5"/>
  <c r="N224" i="5"/>
  <c r="N213" i="5"/>
  <c r="N222" i="5"/>
  <c r="P218" i="5"/>
  <c r="P21" i="5"/>
  <c r="P205" i="5"/>
  <c r="P191" i="5"/>
  <c r="M196" i="5"/>
  <c r="M21" i="5"/>
  <c r="M205" i="5"/>
  <c r="M17" i="5"/>
  <c r="M198" i="5"/>
  <c r="M193" i="5"/>
  <c r="Q191" i="5"/>
  <c r="Q235" i="5"/>
  <c r="L18" i="5"/>
  <c r="H211" i="5"/>
  <c r="N223" i="5"/>
  <c r="O17" i="5"/>
  <c r="N199" i="5"/>
  <c r="O198" i="5"/>
  <c r="P196" i="5"/>
  <c r="L211" i="5"/>
  <c r="E228" i="5"/>
  <c r="L215" i="5"/>
  <c r="E238" i="5"/>
  <c r="E230" i="5"/>
  <c r="F21" i="5"/>
  <c r="E206" i="5"/>
  <c r="F205" i="5"/>
  <c r="E223" i="5"/>
  <c r="G21" i="5"/>
  <c r="G205" i="5"/>
  <c r="L17" i="5"/>
  <c r="L198" i="5"/>
  <c r="E221" i="5"/>
  <c r="F193" i="5"/>
  <c r="E194" i="5"/>
  <c r="E208" i="5"/>
  <c r="E233" i="5"/>
  <c r="E237" i="5"/>
  <c r="E240" i="5"/>
  <c r="G215" i="5"/>
  <c r="G196" i="5"/>
  <c r="K215" i="5"/>
  <c r="I223" i="5"/>
  <c r="I229" i="5"/>
  <c r="J21" i="5"/>
  <c r="J205" i="5"/>
  <c r="I206" i="5"/>
  <c r="J18" i="5"/>
  <c r="I202" i="5"/>
  <c r="I222" i="5"/>
  <c r="H191" i="5"/>
  <c r="N226" i="5"/>
  <c r="N212" i="5"/>
  <c r="O211" i="5"/>
  <c r="N229" i="5"/>
  <c r="O191" i="5"/>
  <c r="N192" i="5"/>
  <c r="N195" i="5"/>
  <c r="N236" i="5"/>
  <c r="O235" i="5"/>
  <c r="P211" i="5"/>
  <c r="M211" i="5"/>
  <c r="Q17" i="5"/>
  <c r="Q198" i="5"/>
  <c r="G17" i="5"/>
  <c r="G198" i="5"/>
  <c r="J218" i="5"/>
  <c r="I219" i="5"/>
  <c r="N225" i="5"/>
  <c r="M19" i="5"/>
  <c r="M22" i="5"/>
  <c r="Q218" i="5"/>
  <c r="D42" i="6"/>
  <c r="E214" i="5"/>
  <c r="E217" i="5"/>
  <c r="E236" i="5"/>
  <c r="F235" i="5"/>
  <c r="E220" i="5"/>
  <c r="I227" i="5"/>
  <c r="F19" i="5"/>
  <c r="F22" i="5"/>
  <c r="E200" i="5"/>
  <c r="F218" i="5"/>
  <c r="E219" i="5"/>
  <c r="E231" i="5"/>
  <c r="E234" i="5"/>
  <c r="F191" i="5"/>
  <c r="E192" i="5"/>
  <c r="G19" i="5"/>
  <c r="G22" i="5"/>
  <c r="I238" i="5"/>
  <c r="I221" i="5"/>
  <c r="I203" i="5"/>
  <c r="I237" i="5"/>
  <c r="J235" i="5"/>
  <c r="I236" i="5"/>
  <c r="H18" i="5"/>
  <c r="H218" i="5"/>
  <c r="N234" i="5"/>
  <c r="N207" i="5"/>
  <c r="N219" i="5"/>
  <c r="O218" i="5"/>
  <c r="N228" i="5"/>
  <c r="N209" i="5"/>
  <c r="Q196" i="5"/>
  <c r="Q193" i="5"/>
  <c r="D242" i="5"/>
  <c r="G235" i="5"/>
  <c r="K19" i="5"/>
  <c r="K22" i="5"/>
  <c r="I217" i="5"/>
  <c r="E212" i="5"/>
  <c r="F211" i="5"/>
  <c r="G218" i="5"/>
  <c r="K235" i="5"/>
  <c r="I232" i="5"/>
  <c r="I210" i="5"/>
  <c r="J193" i="5"/>
  <c r="I194" i="5"/>
  <c r="I214" i="5"/>
  <c r="J196" i="5"/>
  <c r="I197" i="5"/>
  <c r="H235" i="5"/>
  <c r="H196" i="5"/>
  <c r="N230" i="5"/>
  <c r="N217" i="5"/>
  <c r="N214" i="5"/>
  <c r="N210" i="5"/>
  <c r="N203" i="5"/>
  <c r="P19" i="5"/>
  <c r="P22" i="5"/>
  <c r="M215" i="5"/>
  <c r="Q211" i="5"/>
  <c r="I201" i="5"/>
  <c r="I213" i="5"/>
  <c r="I207" i="5"/>
  <c r="N238" i="5"/>
  <c r="L235" i="5"/>
  <c r="F17" i="5"/>
  <c r="F198" i="5"/>
  <c r="E199" i="5"/>
  <c r="E225" i="5"/>
  <c r="E224" i="5"/>
  <c r="E227" i="5"/>
  <c r="G193" i="5"/>
  <c r="K211" i="5"/>
  <c r="E207" i="5"/>
  <c r="E213" i="5"/>
  <c r="E229" i="5"/>
  <c r="E201" i="5"/>
  <c r="F196" i="5"/>
  <c r="E197" i="5"/>
  <c r="G211" i="5"/>
  <c r="D19" i="6"/>
  <c r="K196" i="5"/>
  <c r="K218" i="5"/>
  <c r="J19" i="5"/>
  <c r="J22" i="5"/>
  <c r="I200" i="5"/>
  <c r="I233" i="5"/>
  <c r="I230" i="5"/>
  <c r="I234" i="5"/>
  <c r="I231" i="5"/>
  <c r="N194" i="5"/>
  <c r="O193" i="5"/>
  <c r="O21" i="5"/>
  <c r="N206" i="5"/>
  <c r="O205" i="5"/>
  <c r="O19" i="5"/>
  <c r="O22" i="5"/>
  <c r="N200" i="5"/>
  <c r="N201" i="5"/>
  <c r="O215" i="5"/>
  <c r="N216" i="5"/>
  <c r="P215" i="5"/>
  <c r="P193" i="5"/>
  <c r="M218" i="5"/>
  <c r="Q21" i="5"/>
  <c r="Q205" i="5"/>
  <c r="N193" i="5" l="1"/>
  <c r="G16" i="5"/>
  <c r="I21" i="5"/>
  <c r="Q190" i="5"/>
  <c r="Q20" i="5"/>
  <c r="O190" i="5"/>
  <c r="J20" i="5"/>
  <c r="I205" i="5"/>
  <c r="M190" i="5"/>
  <c r="K20" i="5"/>
  <c r="J16" i="5"/>
  <c r="I198" i="5"/>
  <c r="E196" i="5"/>
  <c r="J190" i="5"/>
  <c r="N18" i="5"/>
  <c r="I19" i="5"/>
  <c r="I22" i="5"/>
  <c r="N218" i="5"/>
  <c r="N235" i="5"/>
  <c r="H190" i="5"/>
  <c r="I211" i="5"/>
  <c r="H20" i="5"/>
  <c r="K190" i="5"/>
  <c r="L20" i="5"/>
  <c r="L190" i="5"/>
  <c r="I215" i="5"/>
  <c r="O20" i="5"/>
  <c r="N205" i="5"/>
  <c r="E191" i="5"/>
  <c r="E218" i="5"/>
  <c r="Q16" i="5"/>
  <c r="L16" i="5"/>
  <c r="F20" i="5"/>
  <c r="E205" i="5"/>
  <c r="O16" i="5"/>
  <c r="N198" i="5"/>
  <c r="M16" i="5"/>
  <c r="K16" i="5"/>
  <c r="N19" i="5"/>
  <c r="N22" i="5"/>
  <c r="N191" i="5"/>
  <c r="I196" i="5"/>
  <c r="N215" i="5"/>
  <c r="E17" i="5"/>
  <c r="N21" i="5"/>
  <c r="F16" i="5"/>
  <c r="E198" i="5"/>
  <c r="I193" i="5"/>
  <c r="N211" i="5"/>
  <c r="E21" i="5"/>
  <c r="E39" i="9"/>
  <c r="N17" i="5"/>
  <c r="P190" i="5"/>
  <c r="H16" i="5"/>
  <c r="P16" i="5"/>
  <c r="E18" i="5"/>
  <c r="F190" i="5"/>
  <c r="E19" i="5"/>
  <c r="E22" i="5"/>
  <c r="E235" i="5"/>
  <c r="I18" i="5"/>
  <c r="P20" i="5"/>
  <c r="N196" i="5"/>
  <c r="I235" i="5"/>
  <c r="I218" i="5"/>
  <c r="E193" i="5"/>
  <c r="G20" i="5"/>
  <c r="M20" i="5"/>
  <c r="I191" i="5"/>
  <c r="I17" i="5"/>
  <c r="G190" i="5"/>
  <c r="E211" i="5"/>
  <c r="E215" i="5"/>
  <c r="E38" i="9" l="1"/>
  <c r="E40" i="9"/>
  <c r="L27" i="5"/>
  <c r="L23" i="5"/>
  <c r="I20" i="5"/>
  <c r="Q23" i="5"/>
  <c r="Q27" i="5"/>
  <c r="I190" i="5"/>
  <c r="E20" i="5"/>
  <c r="E16" i="5"/>
  <c r="I16" i="5"/>
  <c r="G27" i="5"/>
  <c r="G23" i="5"/>
  <c r="O27" i="5"/>
  <c r="O23" i="5"/>
  <c r="H27" i="5"/>
  <c r="H23" i="5"/>
  <c r="N20" i="5"/>
  <c r="K23" i="5"/>
  <c r="K27" i="5"/>
  <c r="N190" i="5"/>
  <c r="N16" i="5"/>
  <c r="J27" i="5"/>
  <c r="J23" i="5"/>
  <c r="E190" i="5"/>
  <c r="F27" i="5"/>
  <c r="F23" i="5"/>
  <c r="P23" i="5"/>
  <c r="P27" i="5"/>
  <c r="M23" i="5"/>
  <c r="M27" i="5"/>
  <c r="P24" i="5" l="1"/>
  <c r="D49" i="4"/>
  <c r="O24" i="5"/>
  <c r="N27" i="5"/>
  <c r="D50" i="4"/>
  <c r="D48" i="4"/>
  <c r="J24" i="5"/>
  <c r="I27" i="5"/>
  <c r="I23" i="5"/>
  <c r="G24" i="5"/>
  <c r="L24" i="5"/>
  <c r="D54" i="4"/>
  <c r="M24" i="5"/>
  <c r="F24" i="5"/>
  <c r="E27" i="5"/>
  <c r="N23" i="5"/>
  <c r="H24" i="5"/>
  <c r="Q24" i="5"/>
  <c r="E23" i="5"/>
  <c r="D51" i="4"/>
  <c r="K24" i="5"/>
  <c r="D53" i="4"/>
  <c r="D55" i="4"/>
  <c r="D47" i="4" l="1"/>
  <c r="N24" i="5"/>
  <c r="D84" i="4"/>
  <c r="I24" i="5"/>
  <c r="E24" i="5"/>
  <c r="D27" i="5"/>
  <c r="D83" i="4"/>
  <c r="D87" i="4"/>
  <c r="D52" i="4"/>
  <c r="D82" i="4"/>
  <c r="D88" i="4"/>
  <c r="D85" i="4"/>
  <c r="D89" i="4"/>
  <c r="D46" i="4"/>
  <c r="D97" i="4" l="1"/>
  <c r="D98" i="4"/>
  <c r="D86" i="4"/>
  <c r="D99" i="4"/>
  <c r="D80" i="4"/>
  <c r="D45" i="4"/>
  <c r="D96" i="4"/>
  <c r="D24" i="5"/>
  <c r="D247" i="5"/>
  <c r="D248" i="5"/>
  <c r="D81" i="4"/>
  <c r="D44" i="4" l="1"/>
  <c r="D79" i="4"/>
  <c r="D95" i="4"/>
  <c r="D94" i="4"/>
  <c r="D93" i="4" l="1"/>
</calcChain>
</file>

<file path=xl/sharedStrings.xml><?xml version="1.0" encoding="utf-8"?>
<sst xmlns="http://schemas.openxmlformats.org/spreadsheetml/2006/main" count="3363" uniqueCount="1370">
  <si>
    <t>Ūkio subjektas: UAB "AKMENĖS VANDENYS"</t>
  </si>
  <si>
    <t>Ataskaitinis laikotarpis: 2025-01-01 - 2026-01-01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</si>
  <si>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</si>
  <si>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</si>
  <si>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</si>
  <si>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</si>
  <si>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</si>
  <si>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</si>
  <si>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</si>
  <si>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</si>
  <si>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</si>
  <si>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</si>
  <si>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</si>
  <si>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</si>
  <si>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</si>
  <si>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</si>
  <si>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</si>
  <si>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</si>
  <si>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</si>
  <si>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</si>
  <si>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</si>
  <si>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</si>
  <si>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</si>
  <si>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</si>
  <si>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</si>
  <si>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</si>
  <si>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</si>
  <si>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</si>
  <si>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</si>
  <si>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</si>
  <si>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</si>
  <si>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</si>
  <si>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</si>
  <si>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</si>
  <si>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</si>
  <si>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</si>
  <si>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</si>
  <si>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</si>
  <si>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</si>
  <si>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</si>
  <si>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</si>
  <si>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</si>
  <si>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</si>
  <si>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</si>
  <si>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</si>
  <si>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</si>
  <si>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</si>
  <si>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</si>
  <si>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</si>
  <si>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</si>
  <si>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</si>
  <si>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</si>
  <si>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</si>
  <si>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</si>
  <si>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</si>
  <si>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</si>
  <si>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</si>
  <si>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</si>
  <si>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</si>
  <si>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</si>
  <si>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</si>
  <si>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</si>
  <si>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</si>
  <si>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</si>
  <si>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</si>
  <si>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</si>
  <si>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</si>
  <si>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</si>
  <si>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</si>
  <si>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</si>
  <si>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</si>
  <si>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</si>
  <si>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</si>
  <si>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</si>
  <si>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</si>
  <si>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</si>
  <si>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</si>
  <si>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</si>
  <si>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</si>
  <si>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</si>
  <si>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</si>
  <si>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</si>
  <si>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</si>
  <si>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</si>
  <si>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</si>
  <si>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</si>
  <si>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</si>
  <si>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</si>
  <si>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</si>
  <si>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</si>
  <si>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</si>
  <si>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</si>
  <si>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</si>
  <si>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</si>
  <si>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</si>
  <si>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</si>
  <si>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</si>
  <si>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</si>
  <si>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</si>
  <si>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</si>
  <si>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</si>
  <si>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</si>
  <si>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</si>
  <si>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</si>
  <si>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</si>
  <si>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</si>
  <si>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</si>
  <si>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</si>
  <si>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</si>
  <si>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</si>
  <si>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</si>
  <si>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</si>
  <si>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</si>
  <si>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</si>
  <si>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</si>
  <si>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</si>
  <si>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</si>
  <si>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</si>
  <si>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</si>
  <si>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</si>
  <si>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</si>
  <si>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</si>
  <si>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</si>
  <si>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</si>
  <si>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</si>
  <si>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</si>
  <si>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</si>
  <si>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</si>
  <si>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</si>
  <si>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</si>
  <si>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</si>
  <si>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</si>
  <si>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</si>
  <si>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</si>
  <si>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</si>
  <si>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</si>
  <si>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</si>
  <si>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</si>
  <si>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</si>
  <si>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</si>
  <si>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</si>
  <si>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</si>
  <si>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</si>
  <si>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</si>
  <si>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</si>
  <si>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</si>
  <si>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</si>
  <si>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</si>
  <si>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</si>
  <si>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</si>
  <si>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</si>
  <si>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</si>
  <si>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</si>
  <si>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</si>
  <si>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</si>
  <si>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</si>
  <si>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</si>
  <si>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</si>
  <si>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</si>
  <si>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</si>
  <si>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</si>
  <si>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</si>
  <si>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</si>
  <si>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</si>
  <si>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</si>
  <si>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</si>
  <si>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</si>
  <si>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</si>
  <si>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</si>
  <si>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</si>
  <si>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</si>
  <si>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</si>
  <si>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</si>
  <si>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</si>
  <si>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</si>
  <si>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</si>
  <si>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</si>
  <si>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</si>
  <si>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</si>
  <si>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</si>
  <si>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</si>
  <si>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</si>
  <si>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</si>
  <si>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</si>
  <si>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</si>
  <si>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</si>
  <si>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</si>
  <si>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</si>
  <si>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</si>
  <si>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</si>
  <si>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</si>
  <si>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</si>
  <si>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</si>
  <si>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</si>
  <si>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</si>
  <si>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</si>
  <si>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</si>
  <si>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</si>
  <si>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</si>
  <si>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</si>
  <si>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</si>
  <si>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</si>
  <si>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</si>
  <si>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</si>
  <si>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</si>
  <si>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</si>
  <si>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</si>
  <si>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</si>
  <si>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</si>
  <si>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</si>
  <si>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</si>
  <si>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</si>
  <si>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</si>
  <si>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</si>
  <si>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</si>
  <si>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</si>
  <si>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</si>
  <si>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</si>
  <si>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</si>
  <si>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</si>
  <si>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</si>
  <si>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</si>
  <si>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</si>
  <si>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</si>
  <si>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</si>
  <si>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</si>
  <si>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</si>
  <si>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</si>
  <si>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</si>
  <si>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</si>
  <si>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</si>
  <si>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</si>
  <si>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</si>
  <si>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</si>
  <si>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</si>
  <si>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</si>
  <si>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</si>
  <si>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</si>
  <si>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</si>
  <si>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</si>
  <si>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</si>
  <si>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</si>
  <si>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</si>
  <si>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</si>
  <si>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</si>
  <si>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</si>
  <si>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</si>
  <si>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</si>
  <si>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</si>
  <si>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</si>
  <si>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</si>
  <si>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</si>
  <si>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</si>
  <si>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</si>
  <si>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</si>
  <si>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</si>
  <si>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</si>
  <si>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</si>
  <si>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</si>
  <si>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</si>
  <si>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</si>
  <si>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</si>
  <si>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</si>
  <si>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</si>
  <si>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</si>
  <si>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</si>
  <si>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</si>
  <si>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</si>
  <si>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</si>
  <si>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</si>
  <si>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</si>
  <si>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</si>
  <si>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</si>
  <si>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</si>
  <si>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</si>
  <si>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</si>
  <si>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</si>
  <si>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</si>
  <si>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</si>
  <si>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</si>
  <si>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</si>
  <si>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</si>
  <si>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</si>
  <si>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</si>
  <si>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</si>
  <si>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</si>
  <si>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</si>
  <si>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</si>
  <si>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</si>
  <si>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</si>
  <si>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</si>
  <si>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</si>
  <si>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</si>
  <si>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</si>
  <si>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</si>
  <si>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</si>
  <si>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</si>
  <si>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</si>
  <si>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</si>
  <si>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</si>
  <si>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</si>
  <si>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</si>
  <si>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</si>
  <si>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</si>
  <si>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</si>
  <si>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</si>
  <si>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</si>
  <si>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</si>
  <si>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</si>
  <si>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</si>
  <si>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</si>
  <si>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</si>
  <si>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</si>
  <si>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</si>
  <si>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</si>
  <si>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</si>
  <si>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</si>
  <si>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</si>
  <si>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</si>
  <si>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</si>
  <si>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</si>
  <si>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</si>
  <si>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</si>
  <si>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</si>
  <si>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</si>
  <si>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</si>
  <si>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</si>
  <si>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</si>
  <si>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</si>
  <si>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</si>
  <si>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</si>
  <si>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</si>
  <si>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</si>
  <si>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</si>
  <si>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</si>
  <si>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</si>
  <si>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</si>
  <si>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</si>
  <si>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</si>
  <si>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</si>
  <si>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</si>
  <si>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</si>
  <si>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</si>
  <si>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</si>
  <si>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</si>
  <si>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</si>
  <si>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</si>
  <si>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</si>
  <si>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</si>
  <si>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</si>
  <si>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</si>
  <si>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</si>
  <si>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</si>
  <si>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</si>
  <si>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</si>
  <si>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</si>
  <si>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</si>
  <si>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</si>
  <si>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</si>
  <si>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</si>
  <si>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</si>
  <si>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</si>
  <si>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</si>
  <si>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</si>
  <si>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</si>
  <si>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</si>
  <si>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</si>
  <si>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</si>
  <si>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</si>
  <si>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</si>
  <si>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</si>
  <si>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</si>
  <si>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</si>
  <si>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</si>
  <si>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</si>
  <si>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</si>
  <si>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</si>
  <si>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</si>
  <si>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</si>
  <si>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</si>
  <si>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</si>
  <si>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</si>
  <si>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</si>
  <si>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</si>
  <si>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</si>
  <si>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</si>
  <si>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</si>
  <si>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</si>
  <si>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</si>
  <si>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</si>
  <si>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</si>
  <si>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</si>
  <si>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</si>
  <si>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</si>
  <si>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</si>
  <si>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</si>
  <si>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</si>
  <si>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</si>
  <si>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</si>
  <si>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</si>
  <si>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</si>
  <si>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</si>
  <si>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</si>
  <si>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</si>
  <si>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</si>
  <si>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</si>
  <si>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</si>
  <si>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</si>
  <si>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</si>
  <si>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</si>
  <si>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</si>
  <si>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</si>
  <si>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</si>
  <si>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</si>
  <si>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</si>
  <si>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</si>
  <si>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</si>
  <si>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</si>
  <si>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</si>
  <si>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</si>
  <si>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</si>
  <si>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</si>
  <si>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</si>
  <si>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</si>
  <si>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</si>
  <si>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</si>
  <si>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</si>
  <si>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</si>
  <si>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</si>
  <si>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</si>
  <si>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</si>
  <si>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</si>
  <si>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</si>
  <si>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</si>
  <si>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</si>
  <si>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</si>
  <si>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</si>
  <si>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</si>
  <si>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</si>
  <si>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</si>
  <si>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</si>
  <si>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</si>
  <si>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</si>
  <si>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</si>
  <si>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</si>
  <si>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</si>
  <si>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</si>
  <si>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</si>
  <si>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</si>
  <si>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</si>
  <si>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</si>
  <si>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</si>
  <si>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</si>
  <si>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</si>
  <si>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</si>
  <si>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</si>
  <si>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</si>
  <si>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</si>
  <si>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</si>
  <si>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</si>
  <si>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</si>
  <si>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</si>
  <si>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</si>
  <si>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</si>
  <si>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</si>
  <si>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</si>
  <si>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</si>
  <si>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</si>
  <si>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</si>
  <si>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</si>
  <si>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</si>
  <si>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</si>
  <si>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</si>
  <si>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</si>
  <si>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</si>
  <si>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</si>
  <si>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</si>
  <si>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</si>
  <si>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</si>
  <si>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</si>
  <si>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</si>
  <si>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</si>
  <si>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</si>
  <si>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</si>
  <si>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</si>
  <si>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</si>
  <si>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</si>
  <si>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</si>
  <si>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</si>
  <si>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</si>
  <si>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</si>
  <si>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</si>
  <si>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</si>
  <si>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</si>
  <si>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</si>
  <si>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</si>
  <si>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</si>
  <si>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</si>
  <si>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</si>
  <si>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</si>
  <si>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</si>
  <si>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</si>
  <si>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</si>
  <si>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</si>
  <si>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</si>
  <si>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</si>
  <si>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</si>
  <si>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</si>
  <si>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</si>
  <si>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</si>
  <si>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</si>
  <si>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</si>
  <si>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</si>
  <si>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</si>
  <si>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</si>
  <si>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</si>
  <si>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</si>
  <si>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</si>
  <si>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</si>
  <si>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</si>
  <si>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</si>
  <si>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</si>
  <si>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</si>
  <si>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</si>
  <si>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</si>
  <si>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</si>
  <si>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</si>
  <si>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</si>
  <si>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</si>
  <si>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</si>
  <si>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</si>
  <si>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</si>
  <si>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</si>
  <si>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</si>
  <si>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</si>
  <si>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</si>
  <si>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</si>
  <si>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</si>
  <si>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</si>
  <si>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</si>
  <si>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</si>
  <si>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</si>
  <si>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</si>
  <si>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</si>
  <si>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</si>
  <si>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</si>
  <si>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</si>
  <si>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</si>
  <si>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</si>
  <si>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</si>
  <si>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</si>
  <si>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</si>
  <si>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</si>
  <si>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</si>
  <si>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</si>
  <si>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</si>
  <si>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</si>
  <si>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</si>
  <si>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</si>
  <si>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</si>
  <si>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</si>
  <si>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</si>
  <si>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</si>
  <si>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</si>
  <si>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</si>
  <si>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</si>
  <si>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</si>
  <si>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</si>
  <si>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</si>
  <si>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</si>
  <si>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</si>
  <si>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</si>
  <si>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</si>
  <si>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</si>
  <si>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</si>
  <si>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</si>
  <si>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</si>
  <si>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</si>
  <si>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</si>
  <si>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</si>
  <si>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</si>
  <si>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</si>
  <si>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</si>
  <si>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</si>
  <si>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</si>
  <si>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</si>
  <si>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</si>
  <si>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</si>
  <si>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</si>
  <si>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</si>
  <si>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</si>
  <si>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</si>
  <si>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</si>
  <si>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</si>
  <si>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</si>
  <si>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</si>
  <si>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</si>
  <si>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</si>
  <si>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</si>
  <si>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</si>
  <si>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</si>
  <si>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</si>
  <si>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</si>
  <si>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</si>
  <si>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</si>
  <si>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</si>
  <si>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</si>
  <si>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</si>
  <si>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</si>
  <si>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</si>
  <si>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</si>
  <si>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</si>
  <si>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</si>
  <si>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</si>
  <si>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</si>
  <si>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</si>
  <si>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</si>
  <si>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</si>
  <si>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</si>
  <si>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</si>
  <si>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</si>
  <si>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</si>
  <si>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</si>
  <si>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</si>
  <si>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</si>
  <si>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</si>
  <si>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</si>
  <si>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</si>
  <si>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</si>
  <si>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</si>
  <si>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</si>
  <si>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</si>
  <si>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</si>
  <si>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</si>
  <si>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</si>
  <si>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</si>
  <si>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</si>
  <si>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</si>
  <si>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</si>
  <si>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</si>
  <si>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</si>
  <si>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</si>
  <si>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</si>
  <si>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</si>
  <si>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</si>
  <si>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</si>
  <si>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</si>
  <si>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</si>
  <si>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</si>
  <si>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</si>
  <si>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</si>
  <si>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</si>
  <si>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</si>
  <si>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</si>
  <si>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</si>
  <si>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</si>
  <si>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</si>
  <si>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</si>
  <si>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</si>
  <si>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</si>
  <si>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</si>
  <si>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</si>
  <si>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</si>
  <si>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</si>
  <si>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</si>
  <si>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</si>
  <si>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</si>
  <si>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</si>
  <si>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</si>
  <si>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</si>
  <si>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</si>
  <si>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</si>
  <si>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</si>
  <si>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</si>
  <si>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</si>
  <si>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</si>
  <si>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</si>
  <si>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</si>
  <si>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</si>
  <si>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</si>
  <si>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</si>
  <si>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</si>
  <si>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</si>
  <si>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</si>
  <si>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</si>
  <si>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</si>
  <si>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</si>
  <si>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</si>
  <si>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</si>
  <si>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</si>
  <si>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</si>
  <si>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</si>
  <si>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</si>
  <si>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</si>
  <si>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</si>
  <si>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</si>
  <si>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</si>
  <si>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</si>
  <si>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</si>
  <si>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</si>
  <si>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</si>
  <si>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</si>
  <si>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</si>
  <si>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</si>
  <si>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</si>
  <si>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</si>
  <si>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</si>
  <si>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</si>
  <si>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</si>
  <si>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</si>
  <si>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</si>
  <si>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</si>
  <si>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</si>
  <si>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</si>
  <si>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</si>
  <si>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</si>
  <si>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</si>
  <si>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</si>
  <si>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</si>
  <si>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</si>
  <si>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</si>
  <si>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</si>
  <si>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</si>
  <si>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</si>
  <si>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</si>
  <si>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</si>
  <si>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</si>
  <si>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</si>
  <si>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</si>
  <si>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</si>
  <si>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</si>
  <si>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</si>
  <si>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</si>
  <si>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</si>
  <si>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</si>
  <si>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</si>
  <si>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</si>
  <si>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</si>
  <si>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</si>
  <si>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</si>
  <si>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</si>
  <si>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</si>
  <si>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</si>
  <si>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</si>
  <si>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</si>
  <si>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</si>
  <si>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</si>
  <si>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</si>
  <si>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</si>
  <si>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</si>
  <si>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</si>
  <si>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</si>
  <si>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</si>
  <si>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</si>
  <si>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</si>
  <si>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</si>
  <si>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</si>
  <si>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</si>
  <si>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</si>
  <si>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</si>
  <si>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</si>
  <si>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</si>
  <si>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</si>
  <si>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</si>
  <si>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</si>
  <si>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</si>
  <si>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</si>
  <si>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</si>
  <si>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</si>
  <si>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</si>
  <si>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</si>
  <si>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</si>
  <si>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</si>
  <si>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</si>
  <si>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</si>
  <si>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</si>
  <si>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</si>
  <si>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</si>
  <si>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</si>
  <si>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</si>
  <si>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</si>
  <si>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</si>
  <si>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</si>
  <si>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</si>
  <si>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</si>
  <si>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</si>
  <si>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</si>
  <si>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</si>
  <si>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</si>
  <si>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</si>
  <si>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</si>
  <si>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</si>
  <si>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</si>
  <si>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</si>
  <si>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</si>
  <si>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</si>
  <si>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</si>
  <si>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</si>
  <si>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</si>
  <si>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</si>
  <si>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</si>
  <si>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</si>
  <si>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</si>
  <si>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</si>
  <si>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</si>
  <si>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</si>
  <si>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</si>
  <si>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</si>
  <si>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</si>
  <si>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</si>
  <si>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</si>
  <si>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</si>
  <si>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</si>
  <si>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</si>
  <si>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</si>
  <si>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</si>
  <si>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</si>
  <si>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</si>
  <si>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</si>
  <si>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</si>
  <si>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</si>
  <si>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</si>
  <si>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</si>
  <si>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</si>
  <si>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</si>
  <si>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</si>
  <si>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</si>
  <si>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</si>
  <si>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</si>
  <si>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</si>
  <si>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</si>
  <si>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</si>
  <si>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</si>
  <si>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</si>
  <si>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</si>
  <si>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</si>
  <si>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</si>
  <si>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</si>
  <si>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</si>
  <si>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</si>
  <si>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</si>
  <si>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</si>
  <si>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</si>
  <si>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</si>
  <si>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</si>
  <si>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</si>
  <si>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</si>
  <si>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</si>
  <si>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</si>
  <si>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</si>
  <si>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</si>
  <si>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</si>
  <si>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</si>
  <si>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</si>
  <si>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</si>
  <si>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</si>
  <si>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</si>
  <si>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</si>
  <si>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</si>
  <si>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</si>
  <si>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</si>
  <si>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</si>
  <si>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</si>
  <si>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</si>
  <si>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</si>
  <si>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</si>
  <si>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</si>
  <si>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</si>
  <si>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</si>
  <si>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</si>
  <si>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</si>
  <si>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</si>
  <si>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</si>
  <si>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</si>
  <si>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</si>
  <si>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</si>
  <si>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</si>
  <si>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</si>
  <si>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</si>
  <si>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</si>
  <si>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</si>
  <si>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</si>
  <si>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</si>
  <si>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</si>
  <si>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</si>
  <si>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</si>
  <si>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</si>
  <si>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</si>
  <si>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</si>
  <si>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</si>
  <si>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</si>
  <si>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</si>
  <si>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</si>
  <si>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</si>
  <si>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</si>
  <si>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</si>
  <si>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</si>
  <si>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</si>
  <si>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</si>
  <si>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</si>
  <si>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</si>
  <si>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</si>
  <si>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</si>
  <si>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</si>
  <si>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</si>
  <si>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</si>
  <si>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</si>
  <si>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</si>
  <si>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</si>
  <si>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</si>
  <si>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</si>
  <si>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</si>
  <si>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</si>
  <si>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</si>
  <si>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</si>
  <si>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</si>
  <si>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</si>
  <si>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</si>
  <si>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</si>
  <si>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</si>
  <si>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</si>
  <si>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</si>
  <si>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</si>
  <si>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</si>
  <si>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</si>
  <si>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</si>
  <si>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</si>
  <si>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</si>
  <si>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</si>
  <si>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</si>
  <si>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</si>
  <si>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</si>
  <si>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</si>
  <si>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</si>
  <si>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</si>
  <si>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</si>
  <si>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</si>
  <si>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</si>
  <si>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</si>
  <si>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</si>
  <si>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</si>
  <si>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</si>
  <si>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</si>
  <si>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</si>
  <si>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</si>
  <si>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</si>
  <si>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</si>
  <si>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</si>
  <si>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</si>
  <si>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</si>
  <si>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</si>
  <si>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</si>
  <si>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</si>
  <si>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</si>
  <si>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</si>
  <si>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</si>
  <si>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</si>
  <si>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</si>
  <si>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</si>
  <si>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</si>
  <si>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</si>
  <si>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</si>
  <si>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</si>
  <si>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</si>
  <si>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</si>
  <si>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</si>
  <si>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</si>
  <si>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</si>
  <si>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</si>
  <si>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</si>
  <si>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</si>
  <si>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</si>
  <si>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</si>
  <si>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</si>
  <si>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</si>
  <si>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</si>
  <si>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</si>
  <si>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</si>
  <si>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</si>
  <si>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</si>
  <si>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</si>
  <si>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</si>
  <si>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</si>
  <si>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</si>
  <si>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</si>
  <si>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</si>
  <si>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</si>
  <si>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</si>
  <si>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</si>
  <si>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</si>
  <si>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</si>
  <si>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</si>
  <si>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</si>
  <si>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</si>
  <si>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</si>
  <si>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</si>
  <si>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</si>
  <si>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</si>
  <si>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</si>
  <si>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</si>
  <si>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</si>
  <si>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</si>
  <si>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</si>
  <si>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</si>
  <si>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</si>
  <si>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</si>
  <si>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</si>
  <si>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</si>
  <si>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</si>
  <si>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</si>
  <si>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</si>
  <si>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</si>
  <si>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</si>
  <si>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</si>
  <si>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</si>
  <si>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</si>
  <si>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</si>
  <si>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</si>
  <si>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</si>
  <si>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</si>
  <si>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</si>
  <si>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</si>
  <si>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</si>
  <si>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</si>
  <si>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</si>
  <si>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</si>
  <si>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family val="2"/>
      </rPr>
      <t>Pildo Ūkio subjektai, kurių 70 proc. ir daugiau daugiabučių namų įvaduose yra įrengta įvadinė apskaita.</t>
    </r>
    <r>
      <rPr>
        <i/>
        <sz val="11"/>
        <rFont val="Calibri"/>
        <family val="2"/>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</si>
  <si>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</si>
  <si>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</si>
  <si>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</si>
  <si>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</si>
  <si>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</si>
  <si>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</si>
  <si>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</si>
  <si>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</si>
  <si>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</si>
  <si>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</si>
  <si>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</si>
  <si>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</si>
  <si>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</si>
  <si>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</si>
  <si>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</si>
  <si>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</si>
  <si>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</si>
  <si>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</si>
  <si>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</si>
  <si>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</si>
  <si>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</si>
  <si>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</si>
  <si>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</si>
  <si>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</si>
  <si>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</si>
  <si>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</si>
  <si>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</si>
  <si>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</si>
  <si>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</si>
  <si>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</si>
  <si>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</si>
  <si>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</si>
  <si>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</si>
  <si>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</si>
  <si>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</si>
  <si>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</si>
  <si>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</si>
  <si>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</si>
  <si>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</si>
  <si>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</si>
  <si>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</si>
  <si>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</si>
  <si>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</si>
  <si>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</si>
  <si>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</si>
  <si>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</si>
  <si>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</si>
  <si>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</si>
  <si>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</si>
  <si>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</si>
  <si>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</si>
  <si>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</si>
  <si>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</si>
  <si>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</si>
  <si>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</si>
  <si>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</si>
  <si>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</si>
  <si>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</si>
  <si>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</si>
  <si>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</si>
  <si>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</si>
  <si>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</si>
  <si>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</si>
  <si>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</si>
  <si>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</si>
  <si>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</si>
  <si>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</si>
  <si>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</si>
  <si>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</si>
  <si>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</si>
  <si>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</si>
  <si>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</si>
  <si>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</si>
  <si>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</si>
  <si>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</si>
  <si>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</si>
  <si>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</si>
  <si>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</si>
  <si>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</si>
  <si>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</si>
  <si>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</si>
  <si>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</si>
  <si>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</si>
  <si>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</si>
  <si>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</si>
  <si>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</si>
  <si>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</si>
  <si>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</si>
  <si>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</si>
  <si>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</si>
  <si>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</si>
  <si>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</si>
  <si>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</si>
  <si>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</si>
  <si>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</si>
  <si>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</si>
  <si>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</si>
  <si>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</si>
  <si>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</si>
  <si>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</si>
  <si>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</si>
  <si>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</si>
  <si>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</si>
  <si>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</si>
  <si>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</si>
  <si>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</si>
  <si>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</si>
  <si>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</si>
  <si>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</si>
  <si>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</si>
  <si>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</si>
  <si>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</si>
  <si>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</si>
  <si>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</si>
  <si>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</si>
  <si>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</si>
  <si>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</si>
  <si>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</si>
  <si>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</si>
  <si>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</si>
  <si>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</si>
  <si>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</si>
  <si>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</si>
  <si>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</si>
  <si>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</si>
  <si>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</si>
  <si>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</si>
  <si>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</si>
  <si>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</si>
  <si>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</si>
  <si>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</si>
  <si>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</si>
  <si>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</si>
  <si>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</si>
  <si>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</si>
  <si>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</si>
  <si>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</si>
  <si>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</si>
  <si>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</si>
  <si>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</si>
  <si>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</si>
  <si>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</si>
  <si>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</si>
  <si>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</si>
  <si>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</si>
  <si>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</si>
  <si>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</si>
  <si>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</si>
  <si>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</si>
  <si>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</si>
  <si>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</si>
  <si>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</si>
  <si>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</si>
  <si>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</si>
  <si>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</si>
  <si>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</si>
  <si>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</si>
  <si>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</si>
  <si>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</si>
  <si>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</si>
  <si>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</si>
  <si>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</si>
  <si>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</si>
  <si>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</si>
  <si>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</si>
  <si>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</si>
  <si>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</si>
  <si>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</si>
  <si>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</si>
  <si>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</si>
  <si>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</si>
  <si>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</si>
  <si>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</si>
  <si>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</si>
  <si>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</si>
  <si>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</si>
  <si>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</si>
  <si>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</si>
  <si>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</si>
  <si>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</si>
  <si>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</si>
  <si>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</si>
  <si>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</si>
  <si>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</si>
  <si>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</si>
  <si>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</si>
  <si>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</si>
  <si>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</si>
  <si>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</si>
  <si>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</si>
  <si>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</si>
  <si>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</si>
  <si>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</si>
  <si>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</si>
  <si>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</si>
  <si>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</si>
  <si>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</si>
  <si>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</si>
  <si>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</si>
  <si>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</si>
  <si>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</si>
  <si>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</si>
  <si>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</si>
  <si>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</si>
  <si>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</si>
  <si>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</si>
  <si>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</si>
  <si>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</si>
  <si>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</si>
  <si>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</si>
  <si>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</si>
  <si>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</si>
  <si>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</si>
  <si>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</si>
  <si>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</si>
  <si>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</si>
  <si>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</si>
  <si>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</si>
  <si>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</si>
  <si>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</si>
  <si>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</si>
  <si>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</si>
  <si>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</si>
  <si>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</si>
  <si>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</si>
  <si>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</si>
  <si>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</si>
  <si>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</si>
  <si>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</si>
  <si>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</si>
  <si>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</si>
  <si>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</si>
  <si>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</si>
  <si>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</si>
  <si>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</si>
  <si>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</si>
  <si>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</si>
  <si>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</si>
  <si>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</si>
  <si>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</si>
  <si>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</si>
  <si>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</si>
  <si>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</si>
  <si>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</si>
  <si>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</si>
  <si>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</si>
  <si>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</si>
  <si>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</si>
  <si>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</si>
  <si>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</si>
  <si>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</si>
  <si>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</si>
  <si>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</si>
  <si>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</si>
  <si>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</si>
  <si>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</si>
  <si>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</si>
  <si>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</si>
  <si>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</si>
  <si>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</si>
  <si>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</si>
  <si>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</si>
  <si>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</si>
  <si>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</si>
  <si>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</si>
  <si>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</si>
  <si>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</si>
  <si>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</si>
  <si>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</si>
  <si>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</si>
  <si>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</si>
  <si>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</si>
  <si>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</si>
  <si>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</si>
  <si>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</si>
  <si>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</si>
  <si>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</si>
  <si>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</si>
  <si>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</si>
  <si>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</si>
  <si>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</si>
  <si>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</si>
  <si>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</si>
  <si>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</si>
  <si>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</si>
  <si>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</si>
  <si>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</si>
  <si>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</si>
  <si>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</si>
  <si>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</si>
  <si>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</si>
  <si>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</si>
  <si>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</si>
  <si>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</si>
  <si>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</si>
  <si>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</si>
  <si>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</si>
  <si>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</si>
  <si>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</si>
  <si>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</si>
  <si>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</si>
  <si>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</si>
  <si>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</si>
  <si>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</si>
  <si>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</si>
  <si>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</si>
  <si>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</si>
  <si>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</si>
  <si>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</si>
  <si>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</si>
  <si>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</si>
  <si>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</si>
  <si>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</si>
  <si>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</si>
  <si>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</si>
  <si>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</si>
  <si>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</si>
  <si>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</si>
  <si>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</si>
  <si>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</si>
  <si>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</si>
  <si>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</si>
  <si>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</si>
  <si>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</si>
  <si>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</si>
  <si>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</si>
  <si>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</si>
  <si>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</si>
  <si>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</si>
  <si>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</si>
  <si>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</si>
  <si>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</si>
  <si>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</si>
  <si>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</si>
  <si>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</si>
  <si>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</si>
  <si>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</si>
  <si>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</si>
  <si>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</si>
  <si>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</si>
  <si>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</si>
  <si>
    <t>žemė</t>
  </si>
  <si>
    <t>(įrašyti)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</si>
</sst>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6" x14ac:knownFonts="1">
    <font>
      <sz val="11"/>
      <name val="Calibri"/>
      <family val="2"/>
      <scheme val="minor"/>
    </font>
    <font>
      <i/>
      <sz val="11"/>
      <name val="Times New Roman"/>
      <family val="1"/>
      <charset val="186"/>
    </font>
    <font>
      <i/>
      <sz val="11"/>
      <name val="Calibri"/>
      <family val="2"/>
      <scheme val="minor"/>
    </font>
    <font>
      <b/>
      <sz val="11"/>
      <name val="Calibri"/>
      <family val="2"/>
      <scheme val="minor"/>
    </font>
    <font>
      <sz val="11"/>
      <color theme="1"/>
      <name val="Calibri"/>
      <family val="2"/>
      <scheme val="minor"/>
    </font>
    <font>
      <sz val="11"/>
      <name val="Calibri"/>
      <family val="2"/>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family val="2"/>
      <scheme val="minor"/>
    </font>
    <font>
      <sz val="11"/>
      <color rgb="FFFF0000"/>
      <name val="Calibri"/>
      <family val="2"/>
      <scheme val="minor"/>
    </font>
    <font>
      <b/>
      <sz val="8"/>
      <name val="Arial"/>
      <family val="2"/>
    </font>
    <font>
      <b/>
      <sz val="11"/>
      <name val="Times New Roman Baltic"/>
      <charset val="186"/>
    </font>
    <font>
      <sz val="8"/>
      <name val="Arial"/>
      <family val="2"/>
    </font>
    <font>
      <i/>
      <sz val="8"/>
      <name val="Arial"/>
      <family val="2"/>
    </font>
    <font>
      <sz val="10"/>
      <name val="Arial"/>
      <family val="2"/>
    </font>
    <font>
      <i/>
      <sz val="10"/>
      <name val="Times New Roman"/>
      <family val="1"/>
    </font>
    <font>
      <i/>
      <sz val="10"/>
      <name val="Calibri"/>
      <family val="2"/>
      <scheme val="minor"/>
    </font>
    <font>
      <sz val="10"/>
      <name val="Calibri"/>
      <family val="2"/>
      <scheme val="minor"/>
    </font>
    <font>
      <i/>
      <sz val="11"/>
      <name val="Calibri"/>
      <family val="2"/>
      <scheme val="minor"/>
    </font>
    <font>
      <sz val="9"/>
      <name val="Times New Roman"/>
      <family val="1"/>
    </font>
    <font>
      <sz val="10"/>
      <color indexed="16"/>
      <name val="Arial"/>
      <family val="2"/>
    </font>
    <font>
      <sz val="10"/>
      <color indexed="18"/>
      <name val="Arial"/>
      <family val="2"/>
    </font>
    <font>
      <sz val="10"/>
      <color indexed="58"/>
      <name val="Arial"/>
      <family val="2"/>
    </font>
    <font>
      <i/>
      <sz val="10"/>
      <name val="Arial"/>
      <family val="2"/>
    </font>
    <font>
      <sz val="10"/>
      <color rgb="FFFF0000"/>
      <name val="Arial"/>
      <family val="2"/>
    </font>
    <font>
      <i/>
      <sz val="10"/>
      <color rgb="FFFF0000"/>
      <name val="Arial"/>
      <family val="2"/>
    </font>
    <font>
      <i/>
      <sz val="10"/>
      <color indexed="18"/>
      <name val="Arial"/>
      <family val="2"/>
    </font>
    <font>
      <sz val="10"/>
      <color rgb="FF0000FF"/>
      <name val="Times New Roman"/>
      <family val="1"/>
      <charset val="186"/>
    </font>
    <font>
      <b/>
      <sz val="10"/>
      <color indexed="58"/>
      <name val="Arial"/>
      <family val="2"/>
    </font>
    <font>
      <i/>
      <sz val="10"/>
      <color indexed="58"/>
      <name val="Arial"/>
      <family val="2"/>
    </font>
    <font>
      <sz val="10"/>
      <color indexed="9"/>
      <name val="Arial"/>
      <family val="2"/>
    </font>
    <font>
      <sz val="10"/>
      <color rgb="FFFF0000"/>
      <name val="Calibri"/>
      <family val="2"/>
      <scheme val="minor"/>
    </font>
    <font>
      <sz val="10"/>
      <color indexed="63"/>
      <name val="Arial"/>
      <family val="2"/>
    </font>
    <font>
      <b/>
      <sz val="10"/>
      <name val="Arial"/>
      <family val="2"/>
    </font>
    <font>
      <sz val="12"/>
      <name val="Times New Roman"/>
      <family val="1"/>
      <charset val="186"/>
    </font>
    <font>
      <sz val="12"/>
      <name val="Times New Roman Baltic"/>
      <charset val="186"/>
    </font>
    <font>
      <sz val="11"/>
      <color theme="1"/>
      <name val="Calibri"/>
      <family val="2"/>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amily val="2"/>
    </font>
    <font>
      <i/>
      <sz val="11"/>
      <name val="Calibri"/>
      <family val="2"/>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5" fillId="0" borderId="0"/>
    <xf numFmtId="0" fontId="47" fillId="0" borderId="0"/>
    <xf numFmtId="0" fontId="48" fillId="0" borderId="0"/>
    <xf numFmtId="172" fontId="49" fillId="0" borderId="0" applyFont="0" applyFill="0" applyBorder="0" applyAlignment="0" applyProtection="0"/>
    <xf numFmtId="0" fontId="65"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5" fillId="0" borderId="0" xfId="1"/>
    <xf numFmtId="4" fontId="65" fillId="0" borderId="0" xfId="1" applyNumberFormat="1"/>
    <xf numFmtId="0" fontId="65" fillId="0" borderId="1" xfId="1" applyBorder="1" applyAlignment="1">
      <alignment horizontal="left"/>
    </xf>
    <xf numFmtId="0" fontId="65" fillId="0" borderId="1" xfId="1" applyBorder="1"/>
    <xf numFmtId="4" fontId="6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5"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Įprastas"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topLeftCell="A13" workbookViewId="0">
      <selection activeCell="D30" sqref="D30"/>
    </sheetView>
  </sheetViews>
  <sheetFormatPr defaultColWidth="9.109375" defaultRowHeight="14.4" x14ac:dyDescent="0.3"/>
  <cols>
    <col min="1" max="2" width="9.109375" style="5"/>
    <col min="3" max="3" width="10.109375" style="5" customWidth="1"/>
    <col min="4" max="4" width="58.109375" style="5" customWidth="1"/>
    <col min="5" max="5" width="25.88671875" style="5" customWidth="1"/>
    <col min="6" max="6" width="31.109375" style="5" customWidth="1"/>
    <col min="7" max="16384" width="9.109375" style="5"/>
  </cols>
  <sheetData>
    <row r="1" spans="1:5" x14ac:dyDescent="0.3">
      <c r="A1" s="6" t="s">
        <v>0</v>
      </c>
      <c r="B1" s="7"/>
      <c r="C1" s="7"/>
      <c r="D1" s="7"/>
      <c r="E1" s="7"/>
    </row>
    <row r="2" spans="1:5" x14ac:dyDescent="0.3">
      <c r="A2" s="6" t="s">
        <v>1</v>
      </c>
      <c r="B2" s="7"/>
      <c r="C2" s="7"/>
      <c r="D2" s="7"/>
      <c r="E2" s="7"/>
    </row>
    <row r="3" spans="1:5" x14ac:dyDescent="0.3">
      <c r="A3" s="7"/>
      <c r="B3" s="7"/>
      <c r="C3" s="7"/>
      <c r="D3" s="7"/>
      <c r="E3" s="7"/>
    </row>
    <row r="4" spans="1:5" x14ac:dyDescent="0.3">
      <c r="A4" s="7"/>
      <c r="B4" s="7"/>
      <c r="C4" s="7"/>
      <c r="D4" s="7"/>
      <c r="E4" s="7"/>
    </row>
    <row r="5" spans="1:5" x14ac:dyDescent="0.3">
      <c r="A5" s="8" t="s">
        <v>2</v>
      </c>
      <c r="B5" s="7"/>
      <c r="C5" s="7"/>
      <c r="D5" s="7"/>
      <c r="E5" s="7"/>
    </row>
    <row r="6" spans="1:5" x14ac:dyDescent="0.3">
      <c r="A6" s="7"/>
      <c r="B6" s="7"/>
      <c r="C6" s="7"/>
      <c r="D6" s="7"/>
      <c r="E6" s="7"/>
    </row>
    <row r="8" spans="1:5" ht="29.25" customHeight="1" x14ac:dyDescent="0.3">
      <c r="C8" s="1468" t="s">
        <v>3</v>
      </c>
      <c r="D8" s="1468"/>
      <c r="E8" s="1468"/>
    </row>
    <row r="9" spans="1:5" x14ac:dyDescent="0.3">
      <c r="C9" s="9" t="s">
        <v>4</v>
      </c>
      <c r="D9" s="9" t="s">
        <v>5</v>
      </c>
      <c r="E9" s="10" t="s">
        <v>6</v>
      </c>
    </row>
    <row r="10" spans="1:5" x14ac:dyDescent="0.3">
      <c r="C10" s="11" t="s">
        <v>7</v>
      </c>
      <c r="D10" s="12" t="s">
        <v>8</v>
      </c>
      <c r="E10" s="13"/>
    </row>
    <row r="11" spans="1:5" x14ac:dyDescent="0.3">
      <c r="C11" s="11" t="s">
        <v>9</v>
      </c>
      <c r="D11" s="14" t="s">
        <v>10</v>
      </c>
      <c r="E11" s="11">
        <v>4</v>
      </c>
    </row>
    <row r="12" spans="1:5" x14ac:dyDescent="0.3">
      <c r="C12" s="11" t="s">
        <v>9</v>
      </c>
      <c r="D12" s="14" t="s">
        <v>11</v>
      </c>
      <c r="E12" s="15" t="s">
        <v>12</v>
      </c>
    </row>
    <row r="13" spans="1:5" x14ac:dyDescent="0.3">
      <c r="C13" s="16" t="s">
        <v>9</v>
      </c>
      <c r="D13" s="17" t="s">
        <v>13</v>
      </c>
      <c r="E13" s="16" t="s">
        <v>12</v>
      </c>
    </row>
    <row r="14" spans="1:5" x14ac:dyDescent="0.3">
      <c r="C14" s="18" t="s">
        <v>14</v>
      </c>
      <c r="D14" s="19" t="s">
        <v>15</v>
      </c>
      <c r="E14" s="18"/>
    </row>
    <row r="15" spans="1:5" x14ac:dyDescent="0.3">
      <c r="C15" s="20" t="s">
        <v>16</v>
      </c>
      <c r="D15" s="21" t="s">
        <v>17</v>
      </c>
      <c r="E15" s="20" t="s">
        <v>18</v>
      </c>
    </row>
    <row r="16" spans="1:5" x14ac:dyDescent="0.3">
      <c r="C16" s="11" t="s">
        <v>19</v>
      </c>
      <c r="D16" s="22" t="s">
        <v>20</v>
      </c>
      <c r="E16" s="11" t="s">
        <v>21</v>
      </c>
    </row>
    <row r="17" spans="3:5" x14ac:dyDescent="0.3">
      <c r="C17" s="11" t="s">
        <v>22</v>
      </c>
      <c r="D17" s="22" t="s">
        <v>23</v>
      </c>
      <c r="E17" s="11">
        <v>50</v>
      </c>
    </row>
    <row r="18" spans="3:5" x14ac:dyDescent="0.3">
      <c r="C18" s="11" t="s">
        <v>24</v>
      </c>
      <c r="D18" s="23" t="s">
        <v>25</v>
      </c>
      <c r="E18" s="16">
        <v>30</v>
      </c>
    </row>
    <row r="19" spans="3:5" x14ac:dyDescent="0.3">
      <c r="C19" s="11" t="s">
        <v>26</v>
      </c>
      <c r="D19" s="23" t="s">
        <v>27</v>
      </c>
      <c r="E19" s="16">
        <v>20</v>
      </c>
    </row>
    <row r="20" spans="3:5" ht="52.8" x14ac:dyDescent="0.3">
      <c r="C20" s="16" t="s">
        <v>28</v>
      </c>
      <c r="D20" s="23" t="s">
        <v>29</v>
      </c>
      <c r="E20" s="16">
        <v>35</v>
      </c>
    </row>
    <row r="21" spans="3:5" x14ac:dyDescent="0.3">
      <c r="C21" s="18" t="s">
        <v>30</v>
      </c>
      <c r="D21" s="19" t="s">
        <v>31</v>
      </c>
      <c r="E21" s="18"/>
    </row>
    <row r="22" spans="3:5" ht="52.8" x14ac:dyDescent="0.3">
      <c r="C22" s="16" t="s">
        <v>32</v>
      </c>
      <c r="D22" s="23" t="s">
        <v>33</v>
      </c>
      <c r="E22" s="16">
        <v>10</v>
      </c>
    </row>
    <row r="23" spans="3:5" x14ac:dyDescent="0.3">
      <c r="C23" s="24" t="s">
        <v>34</v>
      </c>
      <c r="D23" s="25" t="s">
        <v>35</v>
      </c>
      <c r="E23" s="24">
        <v>5</v>
      </c>
    </row>
    <row r="24" spans="3:5" x14ac:dyDescent="0.3">
      <c r="C24" s="18" t="s">
        <v>36</v>
      </c>
      <c r="D24" s="19" t="s">
        <v>37</v>
      </c>
      <c r="E24" s="18"/>
    </row>
    <row r="25" spans="3:5" ht="26.4" x14ac:dyDescent="0.3">
      <c r="C25" s="16" t="s">
        <v>38</v>
      </c>
      <c r="D25" s="22" t="s">
        <v>39</v>
      </c>
      <c r="E25" s="26" t="s">
        <v>40</v>
      </c>
    </row>
    <row r="26" spans="3:5" ht="26.4" x14ac:dyDescent="0.3">
      <c r="C26" s="16" t="s">
        <v>41</v>
      </c>
      <c r="D26" s="23" t="s">
        <v>42</v>
      </c>
      <c r="E26" s="26" t="s">
        <v>43</v>
      </c>
    </row>
    <row r="27" spans="3:5" x14ac:dyDescent="0.3">
      <c r="C27" s="16" t="s">
        <v>44</v>
      </c>
      <c r="D27" s="23" t="s">
        <v>45</v>
      </c>
      <c r="E27" s="26">
        <v>7</v>
      </c>
    </row>
    <row r="28" spans="3:5" ht="26.4" x14ac:dyDescent="0.3">
      <c r="C28" s="16" t="s">
        <v>46</v>
      </c>
      <c r="D28" s="22" t="s">
        <v>47</v>
      </c>
      <c r="E28" s="27">
        <v>6</v>
      </c>
    </row>
    <row r="29" spans="3:5" x14ac:dyDescent="0.3">
      <c r="C29" s="11" t="s">
        <v>48</v>
      </c>
      <c r="D29" s="28" t="s">
        <v>49</v>
      </c>
      <c r="E29" s="29">
        <v>4</v>
      </c>
    </row>
    <row r="30" spans="3:5" ht="26.4" x14ac:dyDescent="0.3">
      <c r="C30" s="11" t="s">
        <v>50</v>
      </c>
      <c r="D30" s="22" t="s">
        <v>51</v>
      </c>
      <c r="E30" s="11">
        <v>6</v>
      </c>
    </row>
    <row r="31" spans="3:5" x14ac:dyDescent="0.3">
      <c r="C31" s="18" t="s">
        <v>52</v>
      </c>
      <c r="D31" s="19" t="s">
        <v>53</v>
      </c>
      <c r="E31" s="30"/>
    </row>
    <row r="32" spans="3:5" x14ac:dyDescent="0.3">
      <c r="C32" s="11" t="s">
        <v>54</v>
      </c>
      <c r="D32" s="14" t="s">
        <v>55</v>
      </c>
      <c r="E32" s="11">
        <v>7</v>
      </c>
    </row>
    <row r="33" spans="3:5" ht="26.4" x14ac:dyDescent="0.3">
      <c r="C33" s="24" t="s">
        <v>56</v>
      </c>
      <c r="D33" s="31" t="s">
        <v>57</v>
      </c>
      <c r="E33" s="24">
        <v>10</v>
      </c>
    </row>
    <row r="34" spans="3:5" x14ac:dyDescent="0.3">
      <c r="C34" s="32"/>
      <c r="E34" s="33"/>
    </row>
    <row r="35" spans="3:5" x14ac:dyDescent="0.3">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164"/>
  <sheetViews>
    <sheetView topLeftCell="D121" zoomScale="60" zoomScaleNormal="60" workbookViewId="0">
      <selection activeCell="N169" sqref="N169"/>
    </sheetView>
  </sheetViews>
  <sheetFormatPr defaultColWidth="9.109375" defaultRowHeight="14.4" x14ac:dyDescent="0.3"/>
  <cols>
    <col min="1" max="2" width="9.109375" style="5"/>
    <col min="3" max="3" width="61.44140625" style="5" customWidth="1"/>
    <col min="4" max="4" width="11" style="5" customWidth="1"/>
    <col min="5" max="5" width="14.44140625" style="5" customWidth="1"/>
    <col min="6" max="6" width="14.109375" style="5" customWidth="1"/>
    <col min="7" max="7" width="14.6640625" style="5" customWidth="1"/>
    <col min="8" max="8" width="15.5546875" style="5" customWidth="1"/>
    <col min="9" max="9" width="13.88671875" style="5" customWidth="1"/>
    <col min="10" max="10" width="11.5546875" style="5" customWidth="1"/>
    <col min="11" max="11" width="11.88671875" style="5" customWidth="1"/>
    <col min="12" max="12" width="12.109375" style="5" customWidth="1"/>
    <col min="13" max="13" width="20.88671875" style="5" customWidth="1"/>
    <col min="14" max="16" width="16.33203125" style="5" customWidth="1"/>
    <col min="17" max="17" width="23.33203125" style="5" customWidth="1"/>
    <col min="18" max="18" width="13.33203125" style="5" customWidth="1"/>
    <col min="19" max="16384" width="9.109375" style="5"/>
  </cols>
  <sheetData>
    <row r="1" spans="1:18" x14ac:dyDescent="0.3">
      <c r="A1" s="6" t="s">
        <v>0</v>
      </c>
      <c r="B1" s="7"/>
      <c r="C1" s="7"/>
      <c r="D1" s="7"/>
      <c r="E1" s="7"/>
      <c r="F1" s="7"/>
      <c r="G1" s="7"/>
      <c r="H1" s="7"/>
      <c r="I1" s="7"/>
      <c r="J1" s="7"/>
      <c r="K1" s="7"/>
      <c r="L1" s="7"/>
      <c r="M1" s="7"/>
      <c r="N1" s="7"/>
      <c r="O1" s="7"/>
      <c r="P1" s="7"/>
      <c r="Q1" s="7"/>
    </row>
    <row r="2" spans="1:18" x14ac:dyDescent="0.3">
      <c r="A2" s="6" t="s">
        <v>1</v>
      </c>
      <c r="B2" s="7"/>
      <c r="C2" s="7"/>
      <c r="D2" s="7"/>
      <c r="E2" s="7"/>
      <c r="F2" s="7"/>
      <c r="G2" s="7"/>
      <c r="H2" s="7"/>
      <c r="I2" s="7"/>
      <c r="J2" s="7"/>
      <c r="K2" s="7"/>
      <c r="L2" s="7"/>
      <c r="M2" s="7"/>
      <c r="N2" s="7"/>
      <c r="O2" s="7"/>
      <c r="P2" s="7"/>
      <c r="Q2" s="7"/>
    </row>
    <row r="3" spans="1:18" x14ac:dyDescent="0.3">
      <c r="A3" s="7"/>
      <c r="B3" s="7"/>
      <c r="C3" s="7"/>
      <c r="D3" s="7"/>
      <c r="E3" s="7"/>
      <c r="F3" s="7"/>
      <c r="G3" s="7"/>
      <c r="H3" s="7"/>
      <c r="I3" s="7"/>
      <c r="J3" s="7"/>
      <c r="K3" s="7"/>
      <c r="L3" s="7"/>
      <c r="M3" s="7"/>
      <c r="N3" s="7"/>
      <c r="O3" s="7"/>
      <c r="P3" s="7"/>
      <c r="Q3" s="7"/>
    </row>
    <row r="4" spans="1:18" x14ac:dyDescent="0.3">
      <c r="A4" s="7"/>
      <c r="B4" s="7"/>
      <c r="C4" s="7"/>
      <c r="D4" s="7"/>
      <c r="E4" s="7"/>
      <c r="F4" s="7"/>
      <c r="G4" s="7"/>
      <c r="H4" s="7"/>
      <c r="I4" s="7"/>
      <c r="J4" s="7"/>
      <c r="K4" s="7"/>
      <c r="L4" s="7"/>
      <c r="M4" s="7"/>
      <c r="N4" s="7"/>
      <c r="O4" s="7"/>
      <c r="P4" s="7"/>
      <c r="Q4" s="7"/>
    </row>
    <row r="5" spans="1:18" x14ac:dyDescent="0.3">
      <c r="A5" s="8" t="s">
        <v>1039</v>
      </c>
      <c r="B5" s="7"/>
      <c r="C5" s="7"/>
      <c r="D5" s="7"/>
      <c r="E5" s="7"/>
      <c r="F5" s="7"/>
      <c r="G5" s="7"/>
      <c r="H5" s="7"/>
      <c r="I5" s="7"/>
      <c r="J5" s="7"/>
      <c r="K5" s="7"/>
      <c r="L5" s="7"/>
      <c r="M5" s="7"/>
      <c r="N5" s="7"/>
      <c r="O5" s="7"/>
      <c r="P5" s="7"/>
      <c r="Q5" s="7"/>
    </row>
    <row r="6" spans="1:18" x14ac:dyDescent="0.3">
      <c r="A6" s="7"/>
      <c r="B6" s="7"/>
      <c r="C6" s="7"/>
      <c r="D6" s="7"/>
      <c r="E6" s="7"/>
      <c r="F6" s="7"/>
      <c r="G6" s="7"/>
      <c r="H6" s="7"/>
      <c r="I6" s="7"/>
      <c r="J6" s="7"/>
      <c r="K6" s="7"/>
      <c r="L6" s="7"/>
      <c r="M6" s="7"/>
      <c r="N6" s="7"/>
      <c r="O6" s="7"/>
      <c r="P6" s="7"/>
      <c r="Q6" s="7"/>
    </row>
    <row r="8" spans="1:18" x14ac:dyDescent="0.3">
      <c r="B8" s="1501" t="s">
        <v>1040</v>
      </c>
      <c r="C8" s="1501"/>
      <c r="D8" s="1501"/>
      <c r="E8" s="1501"/>
      <c r="F8" s="1501"/>
      <c r="G8" s="1501"/>
      <c r="H8" s="1501"/>
      <c r="I8" s="1501"/>
      <c r="J8" s="1501"/>
      <c r="K8" s="1501"/>
      <c r="L8" s="1501"/>
      <c r="M8" s="1501"/>
      <c r="N8" s="1501"/>
      <c r="O8" s="1501"/>
      <c r="P8" s="1501"/>
      <c r="Q8" s="1501"/>
    </row>
    <row r="9" spans="1:18" ht="101.25" customHeight="1" x14ac:dyDescent="0.3">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1041</v>
      </c>
    </row>
    <row r="10" spans="1:18" x14ac:dyDescent="0.3">
      <c r="A10" s="1024"/>
      <c r="B10" s="1025" t="s">
        <v>68</v>
      </c>
      <c r="C10" s="1025" t="s">
        <v>596</v>
      </c>
      <c r="D10" s="1026">
        <f t="shared" ref="D10:Q10" si="0">D11+D15+D22+D25+D31+D34</f>
        <v>2484.496908794792</v>
      </c>
      <c r="E10" s="1027">
        <f t="shared" si="0"/>
        <v>1030.3918843860872</v>
      </c>
      <c r="F10" s="1028">
        <f t="shared" si="0"/>
        <v>82.191313579382239</v>
      </c>
      <c r="G10" s="1029">
        <f t="shared" si="0"/>
        <v>155.4385006294246</v>
      </c>
      <c r="H10" s="1030">
        <f t="shared" si="0"/>
        <v>792.76207017728041</v>
      </c>
      <c r="I10" s="1031">
        <f t="shared" si="0"/>
        <v>1125.1862310365148</v>
      </c>
      <c r="J10" s="1028">
        <f t="shared" si="0"/>
        <v>801.20130305093471</v>
      </c>
      <c r="K10" s="1029">
        <f t="shared" si="0"/>
        <v>310.49810066899863</v>
      </c>
      <c r="L10" s="1030">
        <f t="shared" si="0"/>
        <v>13.486827316581126</v>
      </c>
      <c r="M10" s="1032">
        <f t="shared" si="0"/>
        <v>141.27391801655352</v>
      </c>
      <c r="N10" s="1033">
        <f t="shared" si="0"/>
        <v>134.6238386134614</v>
      </c>
      <c r="O10" s="1029">
        <f t="shared" si="0"/>
        <v>134.6238386134614</v>
      </c>
      <c r="P10" s="1030">
        <f t="shared" si="0"/>
        <v>0</v>
      </c>
      <c r="Q10" s="1027">
        <f t="shared" si="0"/>
        <v>53.021036742175724</v>
      </c>
      <c r="R10" s="33"/>
    </row>
    <row r="11" spans="1:18" x14ac:dyDescent="0.3">
      <c r="B11" s="1034" t="s">
        <v>70</v>
      </c>
      <c r="C11" s="1035" t="s">
        <v>8</v>
      </c>
      <c r="D11" s="1036">
        <f>E11+I11+M11+N11+Q11</f>
        <v>0</v>
      </c>
      <c r="E11" s="1037">
        <f t="shared" ref="E11:E37" si="1">SUM(F11:H11)</f>
        <v>0</v>
      </c>
      <c r="F11" s="1038">
        <f>SUM(F12:F14)</f>
        <v>0</v>
      </c>
      <c r="G11" s="1039">
        <f>SUM(G12:G14)</f>
        <v>0</v>
      </c>
      <c r="H11" s="1040">
        <f>SUM(H12:H14)</f>
        <v>0</v>
      </c>
      <c r="I11" s="1041">
        <f t="shared" ref="I11:I37" si="2">SUM(J11:L11)</f>
        <v>0</v>
      </c>
      <c r="J11" s="1038">
        <f t="shared" ref="J11:Q11" si="3">SUM(J12:J14)</f>
        <v>0</v>
      </c>
      <c r="K11" s="1039">
        <f t="shared" si="3"/>
        <v>0</v>
      </c>
      <c r="L11" s="1040">
        <f t="shared" si="3"/>
        <v>0</v>
      </c>
      <c r="M11" s="1042">
        <f t="shared" si="3"/>
        <v>0</v>
      </c>
      <c r="N11" s="1043">
        <f>SUM(O11:P11)</f>
        <v>0</v>
      </c>
      <c r="O11" s="1039">
        <f t="shared" si="3"/>
        <v>0</v>
      </c>
      <c r="P11" s="1040">
        <f t="shared" si="3"/>
        <v>0</v>
      </c>
      <c r="Q11" s="1037">
        <f t="shared" si="3"/>
        <v>0</v>
      </c>
    </row>
    <row r="12" spans="1:18" x14ac:dyDescent="0.3">
      <c r="B12" s="1044" t="s">
        <v>72</v>
      </c>
      <c r="C12" s="1045" t="s">
        <v>10</v>
      </c>
      <c r="D12" s="1036">
        <f>E12+I12+M12+N12+Q12</f>
        <v>0</v>
      </c>
      <c r="E12" s="1037">
        <f t="shared" si="1"/>
        <v>0</v>
      </c>
      <c r="F12" s="1046">
        <f t="shared" ref="F12:H14" si="4">SUM(F40,F68,F118)</f>
        <v>0</v>
      </c>
      <c r="G12" s="1047">
        <f t="shared" si="4"/>
        <v>0</v>
      </c>
      <c r="H12" s="1048">
        <f t="shared" si="4"/>
        <v>0</v>
      </c>
      <c r="I12" s="1041">
        <f t="shared" si="2"/>
        <v>0</v>
      </c>
      <c r="J12" s="1046">
        <f t="shared" ref="J12:M14" si="5">SUM(J40,J68,J118)</f>
        <v>0</v>
      </c>
      <c r="K12" s="1047">
        <f t="shared" si="5"/>
        <v>0</v>
      </c>
      <c r="L12" s="1048">
        <f t="shared" si="5"/>
        <v>0</v>
      </c>
      <c r="M12" s="1049">
        <f t="shared" si="5"/>
        <v>0</v>
      </c>
      <c r="N12" s="1043">
        <f t="shared" ref="N12:N37" si="6">SUM(O12:P12)</f>
        <v>0</v>
      </c>
      <c r="O12" s="1050">
        <f t="shared" ref="O12:Q14" si="7">SUM(O40,O68,O118)</f>
        <v>0</v>
      </c>
      <c r="P12" s="1051">
        <f t="shared" si="7"/>
        <v>0</v>
      </c>
      <c r="Q12" s="1037">
        <f t="shared" si="7"/>
        <v>0</v>
      </c>
    </row>
    <row r="13" spans="1:18" x14ac:dyDescent="0.3">
      <c r="B13" s="1044" t="s">
        <v>74</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x14ac:dyDescent="0.3">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x14ac:dyDescent="0.3">
      <c r="B15" s="1034" t="s">
        <v>76</v>
      </c>
      <c r="C15" s="1052" t="s">
        <v>15</v>
      </c>
      <c r="D15" s="1053">
        <f>E15+I15+M15+N15+Q15</f>
        <v>2244.6556990982162</v>
      </c>
      <c r="E15" s="1054">
        <f t="shared" si="1"/>
        <v>973.53148697596953</v>
      </c>
      <c r="F15" s="1038">
        <f>SUM(F16:F21)</f>
        <v>80.607038521699906</v>
      </c>
      <c r="G15" s="1039">
        <f>SUM(G16:G21)</f>
        <v>112.10243204541989</v>
      </c>
      <c r="H15" s="1040">
        <f>SUM(H16:H21)</f>
        <v>780.82201640884978</v>
      </c>
      <c r="I15" s="1055">
        <f t="shared" si="2"/>
        <v>1087.5263804057672</v>
      </c>
      <c r="J15" s="1038">
        <f t="shared" ref="J15:Q15" si="9">SUM(J16:J21)</f>
        <v>783.74852905825344</v>
      </c>
      <c r="K15" s="1039">
        <f t="shared" si="9"/>
        <v>292.70523474028607</v>
      </c>
      <c r="L15" s="1040">
        <f t="shared" si="9"/>
        <v>11.072616607227593</v>
      </c>
      <c r="M15" s="1042">
        <f t="shared" si="9"/>
        <v>135.5808199217426</v>
      </c>
      <c r="N15" s="1056">
        <f t="shared" si="6"/>
        <v>4.4282688354295461</v>
      </c>
      <c r="O15" s="1057">
        <f t="shared" si="9"/>
        <v>4.4282688354295461</v>
      </c>
      <c r="P15" s="1058">
        <f t="shared" si="9"/>
        <v>0</v>
      </c>
      <c r="Q15" s="1037">
        <f t="shared" si="9"/>
        <v>43.588742959307375</v>
      </c>
    </row>
    <row r="16" spans="1:18" x14ac:dyDescent="0.3">
      <c r="B16" s="1044" t="s">
        <v>78</v>
      </c>
      <c r="C16" s="1045" t="s">
        <v>17</v>
      </c>
      <c r="D16" s="1036">
        <f t="shared" ref="D16:D21" si="10">E16+I16+M16+N16+Q16</f>
        <v>264.98292602147205</v>
      </c>
      <c r="E16" s="1037">
        <f t="shared" si="1"/>
        <v>121.37404434958427</v>
      </c>
      <c r="F16" s="1046">
        <f t="shared" ref="F16:H21" si="11">SUM(F44,F72,F122)</f>
        <v>18.257941834662812</v>
      </c>
      <c r="G16" s="1047">
        <f t="shared" si="11"/>
        <v>77.19730322500088</v>
      </c>
      <c r="H16" s="1048">
        <f t="shared" si="11"/>
        <v>25.918799289920564</v>
      </c>
      <c r="I16" s="1041">
        <f t="shared" si="2"/>
        <v>111.58823356049712</v>
      </c>
      <c r="J16" s="1046">
        <f t="shared" ref="J16:Q21" si="12">SUM(J44,J72,J122)</f>
        <v>77.448309154278718</v>
      </c>
      <c r="K16" s="1047">
        <f t="shared" si="12"/>
        <v>27.809796764743268</v>
      </c>
      <c r="L16" s="1048">
        <f t="shared" si="12"/>
        <v>6.3301276414751229</v>
      </c>
      <c r="M16" s="1049">
        <f t="shared" si="12"/>
        <v>2.5110410318006737</v>
      </c>
      <c r="N16" s="1043">
        <f t="shared" si="6"/>
        <v>4.4282688354295461</v>
      </c>
      <c r="O16" s="1050">
        <f t="shared" ref="O16:Q20" si="13">SUM(O44,O72,O122)</f>
        <v>4.4282688354295461</v>
      </c>
      <c r="P16" s="1051">
        <f t="shared" si="13"/>
        <v>0</v>
      </c>
      <c r="Q16" s="1037">
        <f t="shared" si="13"/>
        <v>25.081338244160417</v>
      </c>
    </row>
    <row r="17" spans="2:17" x14ac:dyDescent="0.3">
      <c r="B17" s="1044" t="s">
        <v>86</v>
      </c>
      <c r="C17" s="1045" t="s">
        <v>598</v>
      </c>
      <c r="D17" s="1036">
        <f t="shared" si="10"/>
        <v>19.167166546755826</v>
      </c>
      <c r="E17" s="1037">
        <f t="shared" si="1"/>
        <v>6.078731812018721</v>
      </c>
      <c r="F17" s="1046">
        <f t="shared" si="11"/>
        <v>2.5283587590179413</v>
      </c>
      <c r="G17" s="1047">
        <f t="shared" si="11"/>
        <v>3.5503730530007798</v>
      </c>
      <c r="H17" s="1048">
        <f t="shared" si="11"/>
        <v>0</v>
      </c>
      <c r="I17" s="1041">
        <f t="shared" si="2"/>
        <v>12.985710207544122</v>
      </c>
      <c r="J17" s="1046">
        <f t="shared" si="12"/>
        <v>1.9923118333333332</v>
      </c>
      <c r="K17" s="1047">
        <f t="shared" si="12"/>
        <v>9.6438628639557322</v>
      </c>
      <c r="L17" s="1048">
        <f t="shared" si="12"/>
        <v>1.3495355102550559</v>
      </c>
      <c r="M17" s="1049">
        <f t="shared" si="12"/>
        <v>0</v>
      </c>
      <c r="N17" s="1043">
        <f t="shared" si="6"/>
        <v>0</v>
      </c>
      <c r="O17" s="1050">
        <f t="shared" si="13"/>
        <v>0</v>
      </c>
      <c r="P17" s="1051">
        <f t="shared" si="13"/>
        <v>0</v>
      </c>
      <c r="Q17" s="1037">
        <f t="shared" si="13"/>
        <v>0.10272452719298246</v>
      </c>
    </row>
    <row r="18" spans="2:17" x14ac:dyDescent="0.3">
      <c r="B18" s="1059" t="s">
        <v>96</v>
      </c>
      <c r="C18" s="1045" t="s">
        <v>23</v>
      </c>
      <c r="D18" s="1036">
        <f t="shared" si="10"/>
        <v>1482.4631187490677</v>
      </c>
      <c r="E18" s="1037">
        <f t="shared" si="1"/>
        <v>737.38601215560993</v>
      </c>
      <c r="F18" s="1046">
        <f t="shared" si="11"/>
        <v>0.63642336244541498</v>
      </c>
      <c r="G18" s="1047">
        <f t="shared" si="11"/>
        <v>0</v>
      </c>
      <c r="H18" s="1048">
        <f t="shared" si="11"/>
        <v>736.74958879316455</v>
      </c>
      <c r="I18" s="1041">
        <f t="shared" si="2"/>
        <v>597.51003233684901</v>
      </c>
      <c r="J18" s="1046">
        <f t="shared" si="12"/>
        <v>597.51003233684901</v>
      </c>
      <c r="K18" s="1047">
        <f t="shared" si="12"/>
        <v>0</v>
      </c>
      <c r="L18" s="1048">
        <f t="shared" si="12"/>
        <v>0</v>
      </c>
      <c r="M18" s="1049">
        <f t="shared" si="12"/>
        <v>133.06977888994192</v>
      </c>
      <c r="N18" s="1043">
        <f t="shared" si="6"/>
        <v>0</v>
      </c>
      <c r="O18" s="1050">
        <f t="shared" si="13"/>
        <v>0</v>
      </c>
      <c r="P18" s="1051">
        <f t="shared" si="13"/>
        <v>0</v>
      </c>
      <c r="Q18" s="1037">
        <f t="shared" si="13"/>
        <v>14.497295366666666</v>
      </c>
    </row>
    <row r="19" spans="2:17" x14ac:dyDescent="0.3">
      <c r="B19" s="1059" t="s">
        <v>599</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x14ac:dyDescent="0.3">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9.6" x14ac:dyDescent="0.3">
      <c r="B21" s="1059" t="s">
        <v>601</v>
      </c>
      <c r="C21" s="1060" t="s">
        <v>602</v>
      </c>
      <c r="D21" s="1036">
        <f t="shared" si="10"/>
        <v>478.04248778092068</v>
      </c>
      <c r="E21" s="1037">
        <f t="shared" si="1"/>
        <v>108.6926986587566</v>
      </c>
      <c r="F21" s="1046">
        <f t="shared" si="11"/>
        <v>59.184314565573743</v>
      </c>
      <c r="G21" s="1047">
        <f t="shared" si="11"/>
        <v>31.354755767418229</v>
      </c>
      <c r="H21" s="1048">
        <f t="shared" si="11"/>
        <v>18.153628325764625</v>
      </c>
      <c r="I21" s="1041">
        <f t="shared" si="2"/>
        <v>365.44240430087683</v>
      </c>
      <c r="J21" s="1046">
        <f t="shared" si="12"/>
        <v>106.79787573379232</v>
      </c>
      <c r="K21" s="1047">
        <f t="shared" si="12"/>
        <v>255.2515751115871</v>
      </c>
      <c r="L21" s="1048">
        <f t="shared" si="12"/>
        <v>3.3929534554974148</v>
      </c>
      <c r="M21" s="1049">
        <f t="shared" si="12"/>
        <v>0</v>
      </c>
      <c r="N21" s="1043">
        <f t="shared" si="6"/>
        <v>0</v>
      </c>
      <c r="O21" s="1050">
        <f t="shared" si="12"/>
        <v>0</v>
      </c>
      <c r="P21" s="1051">
        <f t="shared" si="12"/>
        <v>0</v>
      </c>
      <c r="Q21" s="1037">
        <f t="shared" si="12"/>
        <v>3.9073848212873066</v>
      </c>
    </row>
    <row r="22" spans="2:17" x14ac:dyDescent="0.3">
      <c r="B22" s="1061" t="s">
        <v>104</v>
      </c>
      <c r="C22" s="1062" t="s">
        <v>31</v>
      </c>
      <c r="D22" s="1036">
        <f>E22+I22+M22+N22+Q22</f>
        <v>68.432180930348508</v>
      </c>
      <c r="E22" s="1037">
        <f t="shared" si="1"/>
        <v>48.473156550803772</v>
      </c>
      <c r="F22" s="1038">
        <f>SUM(F23:F24)</f>
        <v>1.1471908118535481</v>
      </c>
      <c r="G22" s="1039">
        <f>SUM(G23:G24)</f>
        <v>41.285950855628556</v>
      </c>
      <c r="H22" s="1040">
        <f>SUM(H23:H24)</f>
        <v>6.0400148833216702</v>
      </c>
      <c r="I22" s="1041">
        <f t="shared" si="2"/>
        <v>19.075190168378988</v>
      </c>
      <c r="J22" s="1038">
        <f t="shared" ref="J22:Q22" si="15">SUM(J23:J24)</f>
        <v>9.7293905612535081</v>
      </c>
      <c r="K22" s="1039">
        <f t="shared" si="15"/>
        <v>8.4637829232386466</v>
      </c>
      <c r="L22" s="1040">
        <f t="shared" si="15"/>
        <v>0.88201668388683208</v>
      </c>
      <c r="M22" s="1042">
        <f t="shared" si="15"/>
        <v>0.1478450823799119</v>
      </c>
      <c r="N22" s="1043">
        <f t="shared" si="6"/>
        <v>0.4293662870326489</v>
      </c>
      <c r="O22" s="1057">
        <f t="shared" si="15"/>
        <v>0.4293662870326489</v>
      </c>
      <c r="P22" s="1058">
        <f t="shared" si="15"/>
        <v>0</v>
      </c>
      <c r="Q22" s="1037">
        <f t="shared" si="15"/>
        <v>0.30662284175317922</v>
      </c>
    </row>
    <row r="23" spans="2:17" ht="53.4" x14ac:dyDescent="0.3">
      <c r="B23" s="1059" t="s">
        <v>106</v>
      </c>
      <c r="C23" s="1063" t="s">
        <v>33</v>
      </c>
      <c r="D23" s="1036">
        <f t="shared" ref="D23:D24" si="16">E23+I23+M23+N23+Q23</f>
        <v>68.150146430348514</v>
      </c>
      <c r="E23" s="1037">
        <f t="shared" si="1"/>
        <v>48.473156550803772</v>
      </c>
      <c r="F23" s="1046">
        <f>SUM(F51,F79,F129)</f>
        <v>1.1471908118535481</v>
      </c>
      <c r="G23" s="1047">
        <f>SUM(G51,G79,G129)</f>
        <v>41.285950855628556</v>
      </c>
      <c r="H23" s="1048">
        <f>SUM(H51,H79,H129)</f>
        <v>6.0400148833216702</v>
      </c>
      <c r="I23" s="1041">
        <f t="shared" si="2"/>
        <v>18.793155668378986</v>
      </c>
      <c r="J23" s="1046">
        <f t="shared" ref="J23:Q23" si="17">SUM(J51,J79,J129)</f>
        <v>9.4473560612535081</v>
      </c>
      <c r="K23" s="1047">
        <f t="shared" si="17"/>
        <v>8.4637829232386466</v>
      </c>
      <c r="L23" s="1048">
        <f t="shared" si="17"/>
        <v>0.88201668388683208</v>
      </c>
      <c r="M23" s="1049">
        <f t="shared" si="17"/>
        <v>0.1478450823799119</v>
      </c>
      <c r="N23" s="1043">
        <f t="shared" si="6"/>
        <v>0.4293662870326489</v>
      </c>
      <c r="O23" s="1050">
        <f t="shared" si="17"/>
        <v>0.4293662870326489</v>
      </c>
      <c r="P23" s="1051">
        <f t="shared" si="17"/>
        <v>0</v>
      </c>
      <c r="Q23" s="1037">
        <f t="shared" si="17"/>
        <v>0.30662284175317922</v>
      </c>
    </row>
    <row r="24" spans="2:17" x14ac:dyDescent="0.3">
      <c r="B24" s="1059" t="s">
        <v>108</v>
      </c>
      <c r="C24" s="1063" t="s">
        <v>35</v>
      </c>
      <c r="D24" s="1036">
        <f t="shared" si="16"/>
        <v>0.28203450000000002</v>
      </c>
      <c r="E24" s="1037">
        <f t="shared" si="1"/>
        <v>0</v>
      </c>
      <c r="F24" s="1046">
        <f>SUM(F52,F80)</f>
        <v>0</v>
      </c>
      <c r="G24" s="1047">
        <f>SUM(G52,G80)</f>
        <v>0</v>
      </c>
      <c r="H24" s="1048">
        <f>SUM(H52,H80)</f>
        <v>0</v>
      </c>
      <c r="I24" s="1041">
        <f t="shared" si="2"/>
        <v>0.28203450000000002</v>
      </c>
      <c r="J24" s="1046">
        <f t="shared" ref="J24:Q24" si="18">SUM(J52,J80)</f>
        <v>0.28203450000000002</v>
      </c>
      <c r="K24" s="1047">
        <f t="shared" si="18"/>
        <v>0</v>
      </c>
      <c r="L24" s="1048">
        <f t="shared" si="18"/>
        <v>0</v>
      </c>
      <c r="M24" s="1049">
        <f t="shared" si="18"/>
        <v>0</v>
      </c>
      <c r="N24" s="1043">
        <f t="shared" si="6"/>
        <v>0</v>
      </c>
      <c r="O24" s="1050">
        <f t="shared" si="18"/>
        <v>0</v>
      </c>
      <c r="P24" s="1051">
        <f t="shared" si="18"/>
        <v>0</v>
      </c>
      <c r="Q24" s="1037">
        <f t="shared" si="18"/>
        <v>0</v>
      </c>
    </row>
    <row r="25" spans="2:17" x14ac:dyDescent="0.3">
      <c r="B25" s="1061" t="s">
        <v>264</v>
      </c>
      <c r="C25" s="1062" t="s">
        <v>37</v>
      </c>
      <c r="D25" s="1053">
        <f>E25+I25+M25+N25+Q25</f>
        <v>134.47637329250992</v>
      </c>
      <c r="E25" s="1054">
        <f t="shared" si="1"/>
        <v>1.7419769816314845</v>
      </c>
      <c r="F25" s="1038">
        <f>SUM(F26:F30)</f>
        <v>0.16152170378296199</v>
      </c>
      <c r="G25" s="1039">
        <f>SUM(G26:G30)</f>
        <v>8.1295539257742924E-2</v>
      </c>
      <c r="H25" s="1040">
        <f>SUM(H26:H30)</f>
        <v>1.4991597385907796</v>
      </c>
      <c r="I25" s="1055">
        <f t="shared" si="2"/>
        <v>3.3150504923550521</v>
      </c>
      <c r="J25" s="1038">
        <f t="shared" ref="J25:Q25" si="19">SUM(J26:J30)</f>
        <v>0.49108997403290744</v>
      </c>
      <c r="K25" s="1039">
        <f t="shared" si="19"/>
        <v>2.781760170481387</v>
      </c>
      <c r="L25" s="1040">
        <f t="shared" si="19"/>
        <v>4.2200347840757581E-2</v>
      </c>
      <c r="M25" s="1042">
        <f t="shared" si="19"/>
        <v>1.7651338276066887E-2</v>
      </c>
      <c r="N25" s="1056">
        <f t="shared" si="6"/>
        <v>129.35517834359652</v>
      </c>
      <c r="O25" s="1057">
        <f t="shared" si="19"/>
        <v>129.35517834359652</v>
      </c>
      <c r="P25" s="1058">
        <f t="shared" si="19"/>
        <v>0</v>
      </c>
      <c r="Q25" s="1037">
        <f t="shared" si="19"/>
        <v>4.6516136650794321E-2</v>
      </c>
    </row>
    <row r="26" spans="2:17" x14ac:dyDescent="0.3">
      <c r="B26" s="1059" t="s">
        <v>603</v>
      </c>
      <c r="C26" s="1063" t="s">
        <v>39</v>
      </c>
      <c r="D26" s="1036">
        <f t="shared" ref="D26:D30" si="20">E26+I26+M26+N26+Q26</f>
        <v>129.30083708333336</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129.30083708333336</v>
      </c>
      <c r="O26" s="1071">
        <f>SUM(O54,O82,O131)</f>
        <v>129.30083708333336</v>
      </c>
      <c r="P26" s="1072">
        <f>SUM(P54,P82,P131)</f>
        <v>0</v>
      </c>
      <c r="Q26" s="1073">
        <f>SUM(Q54,Q82,Q131)</f>
        <v>0</v>
      </c>
    </row>
    <row r="27" spans="2:17" x14ac:dyDescent="0.3">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x14ac:dyDescent="0.3">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7" x14ac:dyDescent="0.3">
      <c r="B29" s="1059" t="s">
        <v>606</v>
      </c>
      <c r="C29" s="1074" t="s">
        <v>47</v>
      </c>
      <c r="D29" s="1036">
        <f t="shared" si="20"/>
        <v>0.15015982028765923</v>
      </c>
      <c r="E29" s="1064">
        <f t="shared" si="21"/>
        <v>0.15015982028765923</v>
      </c>
      <c r="F29" s="1065">
        <f t="shared" si="22"/>
        <v>3.7989583333333368E-2</v>
      </c>
      <c r="G29" s="1066">
        <f t="shared" si="22"/>
        <v>2.5533570287659218E-2</v>
      </c>
      <c r="H29" s="1067">
        <f t="shared" si="22"/>
        <v>8.6636666666666654E-2</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7" x14ac:dyDescent="0.3">
      <c r="B30" s="1044" t="s">
        <v>607</v>
      </c>
      <c r="C30" s="1075" t="s">
        <v>608</v>
      </c>
      <c r="D30" s="1036">
        <f t="shared" si="20"/>
        <v>5.0253763888888887</v>
      </c>
      <c r="E30" s="1064">
        <f t="shared" si="1"/>
        <v>1.5918171613438252</v>
      </c>
      <c r="F30" s="1065">
        <f t="shared" si="22"/>
        <v>0.12353212044962864</v>
      </c>
      <c r="G30" s="1066">
        <f t="shared" si="22"/>
        <v>5.5761968970083703E-2</v>
      </c>
      <c r="H30" s="1067">
        <f t="shared" si="22"/>
        <v>1.4125230719241129</v>
      </c>
      <c r="I30" s="1068">
        <f t="shared" si="2"/>
        <v>3.3150504923550521</v>
      </c>
      <c r="J30" s="1065">
        <f t="shared" si="23"/>
        <v>0.49108997403290744</v>
      </c>
      <c r="K30" s="1066">
        <f t="shared" si="23"/>
        <v>2.781760170481387</v>
      </c>
      <c r="L30" s="1067">
        <f t="shared" si="23"/>
        <v>4.2200347840757581E-2</v>
      </c>
      <c r="M30" s="1069">
        <f t="shared" si="23"/>
        <v>1.7651338276066887E-2</v>
      </c>
      <c r="N30" s="1070">
        <f t="shared" si="6"/>
        <v>5.4341260263150483E-2</v>
      </c>
      <c r="O30" s="1071">
        <f t="shared" si="24"/>
        <v>5.4341260263150483E-2</v>
      </c>
      <c r="P30" s="1072">
        <f t="shared" si="24"/>
        <v>0</v>
      </c>
      <c r="Q30" s="1073">
        <f t="shared" si="24"/>
        <v>4.6516136650794321E-2</v>
      </c>
    </row>
    <row r="31" spans="2:17" x14ac:dyDescent="0.3">
      <c r="B31" s="1034" t="s">
        <v>266</v>
      </c>
      <c r="C31" s="1076" t="s">
        <v>53</v>
      </c>
      <c r="D31" s="1036">
        <f>E31+I31+M31+N31+Q31</f>
        <v>36.93265547371778</v>
      </c>
      <c r="E31" s="1077">
        <f t="shared" si="1"/>
        <v>6.6452638776823658</v>
      </c>
      <c r="F31" s="1078">
        <f>SUM(F32:F33)</f>
        <v>0.27556254204581487</v>
      </c>
      <c r="G31" s="1079">
        <f>SUM(G32:G33)</f>
        <v>1.9688221891184114</v>
      </c>
      <c r="H31" s="1080">
        <f>SUM(H32:H33)</f>
        <v>4.4008791465181396</v>
      </c>
      <c r="I31" s="1081">
        <f t="shared" si="2"/>
        <v>15.26960997001342</v>
      </c>
      <c r="J31" s="1078">
        <f t="shared" ref="J31:Q31" si="25">SUM(J32:J33)</f>
        <v>7.2322934573949595</v>
      </c>
      <c r="K31" s="1079">
        <f t="shared" si="25"/>
        <v>6.5473228349925172</v>
      </c>
      <c r="L31" s="1080">
        <f t="shared" si="25"/>
        <v>1.4899936776259435</v>
      </c>
      <c r="M31" s="1082">
        <f t="shared" si="25"/>
        <v>5.527601674154929</v>
      </c>
      <c r="N31" s="1083">
        <f t="shared" si="6"/>
        <v>0.41102514740269258</v>
      </c>
      <c r="O31" s="1079">
        <f t="shared" si="25"/>
        <v>0.41102514740269258</v>
      </c>
      <c r="P31" s="1080">
        <f t="shared" si="25"/>
        <v>0</v>
      </c>
      <c r="Q31" s="1077">
        <f t="shared" si="25"/>
        <v>9.0791548044643697</v>
      </c>
    </row>
    <row r="32" spans="2:17" x14ac:dyDescent="0.3">
      <c r="B32" s="1084" t="s">
        <v>268</v>
      </c>
      <c r="C32" s="1085" t="s">
        <v>55</v>
      </c>
      <c r="D32" s="1036">
        <f t="shared" ref="D32:D33" si="26">E32+I32+M32+N32+Q32</f>
        <v>4.224050000000001</v>
      </c>
      <c r="E32" s="1086">
        <f t="shared" si="1"/>
        <v>1.1414483615718212</v>
      </c>
      <c r="F32" s="1087">
        <f t="shared" ref="F32:H33" si="27">SUM(F60,F88,F137)</f>
        <v>4.7333020617152999E-2</v>
      </c>
      <c r="G32" s="1088">
        <f t="shared" si="27"/>
        <v>0.3381820351096787</v>
      </c>
      <c r="H32" s="1089">
        <f t="shared" si="27"/>
        <v>0.75593330584498952</v>
      </c>
      <c r="I32" s="1090">
        <f t="shared" si="2"/>
        <v>2.6228411095379034</v>
      </c>
      <c r="J32" s="1087">
        <f t="shared" ref="J32:M33" si="28">SUM(J60,J88,J137)</f>
        <v>1.2422816714735538</v>
      </c>
      <c r="K32" s="1088">
        <f t="shared" si="28"/>
        <v>1.1246251556364757</v>
      </c>
      <c r="L32" s="1089">
        <f t="shared" si="28"/>
        <v>0.25593428242787375</v>
      </c>
      <c r="M32" s="1091">
        <f t="shared" si="28"/>
        <v>0.10705083788939074</v>
      </c>
      <c r="N32" s="1092">
        <f t="shared" si="6"/>
        <v>7.0601256730116135E-2</v>
      </c>
      <c r="O32" s="1071">
        <f t="shared" ref="O32:Q33" si="29">SUM(O60,O88,O137)</f>
        <v>7.0601256730116135E-2</v>
      </c>
      <c r="P32" s="1072">
        <f t="shared" si="29"/>
        <v>0</v>
      </c>
      <c r="Q32" s="1093">
        <f t="shared" si="29"/>
        <v>0.28210843427076926</v>
      </c>
    </row>
    <row r="33" spans="2:17" ht="27" x14ac:dyDescent="0.3">
      <c r="B33" s="1084" t="s">
        <v>270</v>
      </c>
      <c r="C33" s="1094" t="s">
        <v>57</v>
      </c>
      <c r="D33" s="1036">
        <f t="shared" si="26"/>
        <v>32.708605473717775</v>
      </c>
      <c r="E33" s="1077">
        <f t="shared" si="1"/>
        <v>5.503815516110544</v>
      </c>
      <c r="F33" s="1095">
        <f t="shared" si="27"/>
        <v>0.22822952142866185</v>
      </c>
      <c r="G33" s="1071">
        <f t="shared" si="27"/>
        <v>1.6306401540087327</v>
      </c>
      <c r="H33" s="1072">
        <f t="shared" si="27"/>
        <v>3.6449458406731496</v>
      </c>
      <c r="I33" s="1081">
        <f t="shared" si="2"/>
        <v>12.646768860475518</v>
      </c>
      <c r="J33" s="1095">
        <f t="shared" si="28"/>
        <v>5.9900117859214062</v>
      </c>
      <c r="K33" s="1071">
        <f t="shared" si="28"/>
        <v>5.4226976793560411</v>
      </c>
      <c r="L33" s="1072">
        <f t="shared" si="28"/>
        <v>1.2340593951980698</v>
      </c>
      <c r="M33" s="1096">
        <f t="shared" si="28"/>
        <v>5.4205508362655381</v>
      </c>
      <c r="N33" s="1097">
        <f t="shared" si="6"/>
        <v>0.34042389067257645</v>
      </c>
      <c r="O33" s="1071">
        <f t="shared" si="29"/>
        <v>0.34042389067257645</v>
      </c>
      <c r="P33" s="1072">
        <f t="shared" si="29"/>
        <v>0</v>
      </c>
      <c r="Q33" s="1098">
        <f t="shared" si="29"/>
        <v>8.7970463701936001</v>
      </c>
    </row>
    <row r="34" spans="2:17" x14ac:dyDescent="0.3">
      <c r="B34" s="1099" t="s">
        <v>274</v>
      </c>
      <c r="C34" s="1100" t="s">
        <v>609</v>
      </c>
      <c r="D34" s="1036">
        <f>E34+I34+M34+N34+Q34</f>
        <v>0</v>
      </c>
      <c r="E34" s="1077">
        <f t="shared" si="1"/>
        <v>0</v>
      </c>
      <c r="F34" s="1078">
        <f>SUM(F35:F37)</f>
        <v>0</v>
      </c>
      <c r="G34" s="1079">
        <f>SUM(G35:G37)</f>
        <v>0</v>
      </c>
      <c r="H34" s="1080">
        <f>SUM(H35:H37)</f>
        <v>0</v>
      </c>
      <c r="I34" s="1081">
        <f t="shared" si="2"/>
        <v>0</v>
      </c>
      <c r="J34" s="1078">
        <f t="shared" ref="J34:Q34" si="30">SUM(J35:J37)</f>
        <v>0</v>
      </c>
      <c r="K34" s="1079">
        <f t="shared" si="30"/>
        <v>0</v>
      </c>
      <c r="L34" s="1080">
        <f t="shared" si="30"/>
        <v>0</v>
      </c>
      <c r="M34" s="1082">
        <f t="shared" si="30"/>
        <v>0</v>
      </c>
      <c r="N34" s="1083">
        <f t="shared" si="6"/>
        <v>0</v>
      </c>
      <c r="O34" s="1079">
        <f t="shared" si="30"/>
        <v>0</v>
      </c>
      <c r="P34" s="1080">
        <f t="shared" si="30"/>
        <v>0</v>
      </c>
      <c r="Q34" s="1077">
        <f t="shared" si="30"/>
        <v>0</v>
      </c>
    </row>
    <row r="35" spans="2:17" x14ac:dyDescent="0.3">
      <c r="B35" s="1101" t="s">
        <v>276</v>
      </c>
      <c r="C35" s="1102" t="s">
        <v>1368</v>
      </c>
      <c r="D35" s="1036">
        <f t="shared" ref="D35:D37" si="31">E35+I35+M35+N35+Q35</f>
        <v>0</v>
      </c>
      <c r="E35" s="1077">
        <f t="shared" si="1"/>
        <v>0</v>
      </c>
      <c r="F35" s="1095">
        <f t="shared" ref="F35:H37" si="32">SUM(F63,F91,F140)</f>
        <v>0</v>
      </c>
      <c r="G35" s="1071">
        <f t="shared" si="32"/>
        <v>0</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x14ac:dyDescent="0.3">
      <c r="B36" s="1101" t="s">
        <v>610</v>
      </c>
      <c r="C36" s="1102" t="s">
        <v>49</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x14ac:dyDescent="0.3">
      <c r="B37" s="1103" t="s">
        <v>611</v>
      </c>
      <c r="C37" s="1102" t="s">
        <v>1369</v>
      </c>
      <c r="D37" s="1036">
        <f t="shared" si="31"/>
        <v>0</v>
      </c>
      <c r="E37" s="1104">
        <f t="shared" si="1"/>
        <v>0</v>
      </c>
      <c r="F37" s="1105">
        <f t="shared" si="32"/>
        <v>0</v>
      </c>
      <c r="G37" s="1106">
        <f t="shared" si="32"/>
        <v>0</v>
      </c>
      <c r="H37" s="1107">
        <f t="shared" si="32"/>
        <v>0</v>
      </c>
      <c r="I37" s="1108">
        <f t="shared" si="2"/>
        <v>0</v>
      </c>
      <c r="J37" s="1105">
        <f t="shared" si="33"/>
        <v>0</v>
      </c>
      <c r="K37" s="1106">
        <f t="shared" si="33"/>
        <v>0</v>
      </c>
      <c r="L37" s="1107">
        <f t="shared" si="33"/>
        <v>0</v>
      </c>
      <c r="M37" s="1109">
        <f t="shared" si="33"/>
        <v>0</v>
      </c>
      <c r="N37" s="1110">
        <f t="shared" si="6"/>
        <v>0</v>
      </c>
      <c r="O37" s="1088">
        <f t="shared" si="34"/>
        <v>0</v>
      </c>
      <c r="P37" s="1089">
        <f t="shared" si="34"/>
        <v>0</v>
      </c>
      <c r="Q37" s="1111">
        <f t="shared" si="34"/>
        <v>0</v>
      </c>
    </row>
    <row r="38" spans="2:17" x14ac:dyDescent="0.3">
      <c r="B38" s="1025" t="s">
        <v>109</v>
      </c>
      <c r="C38" s="1025" t="s">
        <v>612</v>
      </c>
      <c r="D38" s="1036">
        <f>E38+I38+M38+N38+Q38</f>
        <v>2358.9331577272128</v>
      </c>
      <c r="E38" s="1027">
        <f t="shared" ref="E38:Q38" si="35">E39+E43+E50+E53+E59+E62</f>
        <v>996.12519694470757</v>
      </c>
      <c r="F38" s="1028">
        <f t="shared" si="35"/>
        <v>80.101987291534357</v>
      </c>
      <c r="G38" s="1029">
        <f t="shared" si="35"/>
        <v>144.9579443675772</v>
      </c>
      <c r="H38" s="1030">
        <f t="shared" si="35"/>
        <v>771.06526528559596</v>
      </c>
      <c r="I38" s="1031">
        <f t="shared" si="35"/>
        <v>1050.388773948868</v>
      </c>
      <c r="J38" s="1028">
        <f t="shared" si="35"/>
        <v>767.70013724415321</v>
      </c>
      <c r="K38" s="1029">
        <f t="shared" si="35"/>
        <v>277.1803349825181</v>
      </c>
      <c r="L38" s="1030">
        <f t="shared" si="35"/>
        <v>5.5083017221965758</v>
      </c>
      <c r="M38" s="1032">
        <f t="shared" si="35"/>
        <v>137.9741538899419</v>
      </c>
      <c r="N38" s="1033">
        <f t="shared" si="35"/>
        <v>129.34353708333336</v>
      </c>
      <c r="O38" s="1029">
        <f t="shared" si="35"/>
        <v>129.34353708333336</v>
      </c>
      <c r="P38" s="1030">
        <f t="shared" si="35"/>
        <v>0</v>
      </c>
      <c r="Q38" s="1027">
        <f t="shared" si="35"/>
        <v>45.101495860361844</v>
      </c>
    </row>
    <row r="39" spans="2:17" x14ac:dyDescent="0.3">
      <c r="B39" s="1034" t="s">
        <v>111</v>
      </c>
      <c r="C39" s="1035" t="s">
        <v>8</v>
      </c>
      <c r="D39" s="1036">
        <f>E39+I39+M39+N39+Q39</f>
        <v>0</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x14ac:dyDescent="0.3">
      <c r="B40" s="1044" t="s">
        <v>113</v>
      </c>
      <c r="C40" s="1045" t="s">
        <v>10</v>
      </c>
      <c r="D40" s="1036">
        <f t="shared" ref="D40:D42" si="40">E40+I40+M40+N40+Q40</f>
        <v>0</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0</v>
      </c>
    </row>
    <row r="41" spans="2:17" x14ac:dyDescent="0.3">
      <c r="B41" s="1044" t="s">
        <v>115</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x14ac:dyDescent="0.3">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x14ac:dyDescent="0.3">
      <c r="B43" s="1034" t="s">
        <v>120</v>
      </c>
      <c r="C43" s="1052" t="s">
        <v>15</v>
      </c>
      <c r="D43" s="1053">
        <f>E43+I43+M43+N43+Q43</f>
        <v>2149.7176466309234</v>
      </c>
      <c r="E43" s="1054">
        <f t="shared" si="36"/>
        <v>947.57659315349224</v>
      </c>
      <c r="F43" s="1038">
        <f>SUM(F44:F49)</f>
        <v>78.933838291534357</v>
      </c>
      <c r="G43" s="1039">
        <f>SUM(G44:G49)</f>
        <v>104.1195377430286</v>
      </c>
      <c r="H43" s="1040">
        <f>SUM(H44:H49)</f>
        <v>764.52321711892921</v>
      </c>
      <c r="I43" s="1055">
        <f t="shared" si="37"/>
        <v>1031.4065596398218</v>
      </c>
      <c r="J43" s="1038">
        <f>SUM(J44:J49)</f>
        <v>758.88793460893305</v>
      </c>
      <c r="K43" s="1039">
        <f>SUM(K44:K49)</f>
        <v>267.52930330869219</v>
      </c>
      <c r="L43" s="1040">
        <f>SUM(L44:L49)</f>
        <v>4.9893217221965758</v>
      </c>
      <c r="M43" s="1042">
        <f>SUM(M44:M49)</f>
        <v>133.06977888994192</v>
      </c>
      <c r="N43" s="1056">
        <f t="shared" si="39"/>
        <v>0</v>
      </c>
      <c r="O43" s="1039">
        <f>SUM(O44:O49)</f>
        <v>0</v>
      </c>
      <c r="P43" s="1040">
        <f>SUM(P44:P49)</f>
        <v>0</v>
      </c>
      <c r="Q43" s="1037">
        <f>SUM(Q44:Q49)</f>
        <v>37.664714947667363</v>
      </c>
    </row>
    <row r="44" spans="2:17" x14ac:dyDescent="0.3">
      <c r="B44" s="1044" t="s">
        <v>122</v>
      </c>
      <c r="C44" s="1045" t="s">
        <v>17</v>
      </c>
      <c r="D44" s="1036">
        <f t="shared" ref="D44:D49" si="41">E44+I44+M44+N44+Q44</f>
        <v>170.04487355417911</v>
      </c>
      <c r="E44" s="1037">
        <f t="shared" si="36"/>
        <v>95.419150527106851</v>
      </c>
      <c r="F44" s="1112">
        <v>16.584741604497257</v>
      </c>
      <c r="G44" s="1113">
        <v>69.214408922609593</v>
      </c>
      <c r="H44" s="1114">
        <v>9.6199999999999992</v>
      </c>
      <c r="I44" s="1041">
        <f t="shared" si="37"/>
        <v>55.46841279455186</v>
      </c>
      <c r="J44" s="1112">
        <v>52.587714704958394</v>
      </c>
      <c r="K44" s="1113">
        <v>2.6338653331493567</v>
      </c>
      <c r="L44" s="1114">
        <v>0.24683275644410532</v>
      </c>
      <c r="M44" s="1115">
        <v>0</v>
      </c>
      <c r="N44" s="1043">
        <f t="shared" si="39"/>
        <v>0</v>
      </c>
      <c r="O44" s="1113">
        <v>0</v>
      </c>
      <c r="P44" s="1114">
        <v>0</v>
      </c>
      <c r="Q44" s="1116">
        <v>19.157310232520402</v>
      </c>
    </row>
    <row r="45" spans="2:17" x14ac:dyDescent="0.3">
      <c r="B45" s="1044" t="s">
        <v>124</v>
      </c>
      <c r="C45" s="1045" t="s">
        <v>598</v>
      </c>
      <c r="D45" s="1036">
        <f t="shared" si="41"/>
        <v>19.167166546755826</v>
      </c>
      <c r="E45" s="1037">
        <f t="shared" si="36"/>
        <v>6.078731812018721</v>
      </c>
      <c r="F45" s="1112">
        <v>2.5283587590179413</v>
      </c>
      <c r="G45" s="1113">
        <v>3.5503730530007798</v>
      </c>
      <c r="H45" s="1114">
        <v>0</v>
      </c>
      <c r="I45" s="1041">
        <f t="shared" si="37"/>
        <v>12.985710207544122</v>
      </c>
      <c r="J45" s="1112">
        <v>1.9923118333333332</v>
      </c>
      <c r="K45" s="1113">
        <v>9.6438628639557322</v>
      </c>
      <c r="L45" s="1114">
        <v>1.3495355102550559</v>
      </c>
      <c r="M45" s="1115">
        <v>0</v>
      </c>
      <c r="N45" s="1043">
        <f t="shared" si="39"/>
        <v>0</v>
      </c>
      <c r="O45" s="1113">
        <v>0</v>
      </c>
      <c r="P45" s="1114">
        <v>0</v>
      </c>
      <c r="Q45" s="1116">
        <v>0.10272452719298246</v>
      </c>
    </row>
    <row r="46" spans="2:17" x14ac:dyDescent="0.3">
      <c r="B46" s="1044" t="s">
        <v>125</v>
      </c>
      <c r="C46" s="1045" t="s">
        <v>23</v>
      </c>
      <c r="D46" s="1036">
        <f t="shared" si="41"/>
        <v>1482.4631187490677</v>
      </c>
      <c r="E46" s="1037">
        <f t="shared" si="36"/>
        <v>737.38601215560993</v>
      </c>
      <c r="F46" s="1112">
        <v>0.63642336244541498</v>
      </c>
      <c r="G46" s="1113">
        <v>0</v>
      </c>
      <c r="H46" s="1114">
        <v>736.74958879316455</v>
      </c>
      <c r="I46" s="1041">
        <f t="shared" si="37"/>
        <v>597.51003233684901</v>
      </c>
      <c r="J46" s="1112">
        <v>597.51003233684901</v>
      </c>
      <c r="K46" s="1113">
        <v>0</v>
      </c>
      <c r="L46" s="1114">
        <v>0</v>
      </c>
      <c r="M46" s="1115">
        <v>133.06977888994192</v>
      </c>
      <c r="N46" s="1043">
        <f t="shared" si="39"/>
        <v>0</v>
      </c>
      <c r="O46" s="1113">
        <v>0</v>
      </c>
      <c r="P46" s="1114">
        <v>0</v>
      </c>
      <c r="Q46" s="1116">
        <v>14.497295366666666</v>
      </c>
    </row>
    <row r="47" spans="2:17" x14ac:dyDescent="0.3">
      <c r="B47" s="1059" t="s">
        <v>613</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x14ac:dyDescent="0.3">
      <c r="B48" s="1059" t="s">
        <v>614</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9.6" x14ac:dyDescent="0.3">
      <c r="B49" s="1059" t="s">
        <v>615</v>
      </c>
      <c r="C49" s="1060" t="s">
        <v>602</v>
      </c>
      <c r="D49" s="1036">
        <f t="shared" si="41"/>
        <v>478.04248778092068</v>
      </c>
      <c r="E49" s="1037">
        <f t="shared" si="36"/>
        <v>108.6926986587566</v>
      </c>
      <c r="F49" s="1112">
        <v>59.184314565573743</v>
      </c>
      <c r="G49" s="1113">
        <v>31.354755767418229</v>
      </c>
      <c r="H49" s="1114">
        <v>18.153628325764625</v>
      </c>
      <c r="I49" s="1041">
        <f t="shared" si="37"/>
        <v>365.44240430087683</v>
      </c>
      <c r="J49" s="1112">
        <v>106.79787573379232</v>
      </c>
      <c r="K49" s="1113">
        <v>255.2515751115871</v>
      </c>
      <c r="L49" s="1114">
        <v>3.3929534554974148</v>
      </c>
      <c r="M49" s="1115">
        <v>0</v>
      </c>
      <c r="N49" s="1043">
        <f t="shared" si="39"/>
        <v>0</v>
      </c>
      <c r="O49" s="1113">
        <v>0</v>
      </c>
      <c r="P49" s="1114">
        <v>0</v>
      </c>
      <c r="Q49" s="1116">
        <v>3.9073848212873066</v>
      </c>
    </row>
    <row r="50" spans="2:17" x14ac:dyDescent="0.3">
      <c r="B50" s="1061" t="s">
        <v>294</v>
      </c>
      <c r="C50" s="1062" t="s">
        <v>31</v>
      </c>
      <c r="D50" s="1036">
        <f>E50+I50+M50+N50+Q50</f>
        <v>63.094474668862517</v>
      </c>
      <c r="E50" s="1037">
        <f t="shared" si="36"/>
        <v>46.994837304260955</v>
      </c>
      <c r="F50" s="1038">
        <f>SUM(F51:F52)</f>
        <v>1.0144319166666664</v>
      </c>
      <c r="G50" s="1039">
        <f>SUM(G51:G52)</f>
        <v>40.812873054260955</v>
      </c>
      <c r="H50" s="1040">
        <f>SUM(H51:H52)</f>
        <v>5.167532333333333</v>
      </c>
      <c r="I50" s="1041">
        <f t="shared" si="37"/>
        <v>16.099637364601566</v>
      </c>
      <c r="J50" s="1038">
        <f t="shared" ref="J50:Q50" si="43">SUM(J51:J52)</f>
        <v>8.5259493018867918</v>
      </c>
      <c r="K50" s="1039">
        <f t="shared" si="43"/>
        <v>7.0547080627147754</v>
      </c>
      <c r="L50" s="1040">
        <f t="shared" si="43"/>
        <v>0.51898</v>
      </c>
      <c r="M50" s="1042">
        <f t="shared" si="43"/>
        <v>0</v>
      </c>
      <c r="N50" s="1043">
        <f t="shared" si="39"/>
        <v>0</v>
      </c>
      <c r="O50" s="1039">
        <f t="shared" si="43"/>
        <v>0</v>
      </c>
      <c r="P50" s="1040">
        <f t="shared" si="43"/>
        <v>0</v>
      </c>
      <c r="Q50" s="1037">
        <f t="shared" si="43"/>
        <v>0</v>
      </c>
    </row>
    <row r="51" spans="2:17" ht="53.4" x14ac:dyDescent="0.3">
      <c r="B51" s="1059" t="s">
        <v>296</v>
      </c>
      <c r="C51" s="1063" t="s">
        <v>33</v>
      </c>
      <c r="D51" s="1036">
        <f t="shared" ref="D51:D52" si="44">E51+I51+M51+N51+Q51</f>
        <v>62.812440168862523</v>
      </c>
      <c r="E51" s="1037">
        <f t="shared" si="36"/>
        <v>46.994837304260955</v>
      </c>
      <c r="F51" s="1112">
        <v>1.0144319166666664</v>
      </c>
      <c r="G51" s="1113">
        <v>40.812873054260955</v>
      </c>
      <c r="H51" s="1114">
        <v>5.167532333333333</v>
      </c>
      <c r="I51" s="1041">
        <f t="shared" si="37"/>
        <v>15.817602864601568</v>
      </c>
      <c r="J51" s="1112">
        <v>8.2439148018867918</v>
      </c>
      <c r="K51" s="1113">
        <v>7.0547080627147754</v>
      </c>
      <c r="L51" s="1114">
        <v>0.51898</v>
      </c>
      <c r="M51" s="1115">
        <v>0</v>
      </c>
      <c r="N51" s="1043">
        <f t="shared" si="39"/>
        <v>0</v>
      </c>
      <c r="O51" s="1113">
        <v>0</v>
      </c>
      <c r="P51" s="1114">
        <v>0</v>
      </c>
      <c r="Q51" s="1116">
        <v>0</v>
      </c>
    </row>
    <row r="52" spans="2:17" x14ac:dyDescent="0.3">
      <c r="B52" s="1059" t="s">
        <v>297</v>
      </c>
      <c r="C52" s="1063" t="s">
        <v>35</v>
      </c>
      <c r="D52" s="1036">
        <f t="shared" si="44"/>
        <v>0.28203450000000002</v>
      </c>
      <c r="E52" s="1037">
        <f t="shared" si="36"/>
        <v>0</v>
      </c>
      <c r="F52" s="1112">
        <v>0</v>
      </c>
      <c r="G52" s="1113">
        <v>0</v>
      </c>
      <c r="H52" s="1114">
        <v>0</v>
      </c>
      <c r="I52" s="1041">
        <f t="shared" si="37"/>
        <v>0.28203450000000002</v>
      </c>
      <c r="J52" s="1112">
        <v>0.28203450000000002</v>
      </c>
      <c r="K52" s="1113">
        <v>0</v>
      </c>
      <c r="L52" s="1114">
        <v>0</v>
      </c>
      <c r="M52" s="1115">
        <v>0</v>
      </c>
      <c r="N52" s="1043">
        <f t="shared" si="39"/>
        <v>0</v>
      </c>
      <c r="O52" s="1113">
        <v>0</v>
      </c>
      <c r="P52" s="1114">
        <v>0</v>
      </c>
      <c r="Q52" s="1116">
        <v>0</v>
      </c>
    </row>
    <row r="53" spans="2:17" x14ac:dyDescent="0.3">
      <c r="B53" s="1061" t="s">
        <v>299</v>
      </c>
      <c r="C53" s="1062" t="s">
        <v>37</v>
      </c>
      <c r="D53" s="1053">
        <f>E53+I53+M53+N53+Q53</f>
        <v>133.77988051473213</v>
      </c>
      <c r="E53" s="1054">
        <f t="shared" si="36"/>
        <v>1.553766486954326</v>
      </c>
      <c r="F53" s="1038">
        <f>SUM(F54:F58)</f>
        <v>0.15371708333333339</v>
      </c>
      <c r="G53" s="1039">
        <f>SUM(G54:G58)</f>
        <v>2.5533570287659218E-2</v>
      </c>
      <c r="H53" s="1040">
        <f>SUM(H54:H58)</f>
        <v>1.3745158333333334</v>
      </c>
      <c r="I53" s="1055">
        <f t="shared" si="37"/>
        <v>2.8825769444444442</v>
      </c>
      <c r="J53" s="1038">
        <f t="shared" ref="J53:Q53" si="45">SUM(J54:J58)</f>
        <v>0.2862533333333333</v>
      </c>
      <c r="K53" s="1039">
        <f t="shared" si="45"/>
        <v>2.596323611111111</v>
      </c>
      <c r="L53" s="1040">
        <f t="shared" si="45"/>
        <v>0</v>
      </c>
      <c r="M53" s="1042">
        <f t="shared" si="45"/>
        <v>0</v>
      </c>
      <c r="N53" s="1056">
        <f t="shared" si="39"/>
        <v>129.34353708333336</v>
      </c>
      <c r="O53" s="1039">
        <f t="shared" si="45"/>
        <v>129.34353708333336</v>
      </c>
      <c r="P53" s="1040">
        <f t="shared" si="45"/>
        <v>0</v>
      </c>
      <c r="Q53" s="1037">
        <f t="shared" si="45"/>
        <v>0</v>
      </c>
    </row>
    <row r="54" spans="2:17" x14ac:dyDescent="0.3">
      <c r="B54" s="1059" t="s">
        <v>300</v>
      </c>
      <c r="C54" s="1063" t="s">
        <v>39</v>
      </c>
      <c r="D54" s="1036">
        <f t="shared" ref="D54:D58" si="46">E54+I54+M54+N54+Q54</f>
        <v>129.30083708333336</v>
      </c>
      <c r="E54" s="1037">
        <f t="shared" si="36"/>
        <v>0</v>
      </c>
      <c r="F54" s="1112">
        <v>0</v>
      </c>
      <c r="G54" s="1113">
        <v>0</v>
      </c>
      <c r="H54" s="1114">
        <v>0</v>
      </c>
      <c r="I54" s="1041">
        <f t="shared" si="37"/>
        <v>0</v>
      </c>
      <c r="J54" s="1112">
        <v>0</v>
      </c>
      <c r="K54" s="1113">
        <v>0</v>
      </c>
      <c r="L54" s="1114">
        <v>0</v>
      </c>
      <c r="M54" s="1115">
        <v>0</v>
      </c>
      <c r="N54" s="1043">
        <f t="shared" si="39"/>
        <v>129.30083708333336</v>
      </c>
      <c r="O54" s="1117">
        <v>129.30083708333336</v>
      </c>
      <c r="P54" s="1118">
        <v>0</v>
      </c>
      <c r="Q54" s="1116">
        <v>0</v>
      </c>
    </row>
    <row r="55" spans="2:17" x14ac:dyDescent="0.3">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x14ac:dyDescent="0.3">
      <c r="B56" s="1059" t="s">
        <v>616</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7" x14ac:dyDescent="0.3">
      <c r="B57" s="1059" t="s">
        <v>617</v>
      </c>
      <c r="C57" s="1074" t="s">
        <v>47</v>
      </c>
      <c r="D57" s="1036">
        <f t="shared" si="46"/>
        <v>0.15015982028765923</v>
      </c>
      <c r="E57" s="1037">
        <f t="shared" si="47"/>
        <v>0.15015982028765923</v>
      </c>
      <c r="F57" s="1112">
        <v>3.7989583333333368E-2</v>
      </c>
      <c r="G57" s="1113">
        <v>2.5533570287659218E-2</v>
      </c>
      <c r="H57" s="1114">
        <v>8.6636666666666654E-2</v>
      </c>
      <c r="I57" s="1041">
        <f t="shared" si="37"/>
        <v>0</v>
      </c>
      <c r="J57" s="1112">
        <v>0</v>
      </c>
      <c r="K57" s="1113">
        <v>0</v>
      </c>
      <c r="L57" s="1114">
        <v>0</v>
      </c>
      <c r="M57" s="1115">
        <v>0</v>
      </c>
      <c r="N57" s="1043">
        <f t="shared" si="39"/>
        <v>0</v>
      </c>
      <c r="O57" s="1117">
        <v>0</v>
      </c>
      <c r="P57" s="1118">
        <v>0</v>
      </c>
      <c r="Q57" s="1116">
        <v>0</v>
      </c>
    </row>
    <row r="58" spans="2:17" ht="27" x14ac:dyDescent="0.3">
      <c r="B58" s="1044" t="s">
        <v>618</v>
      </c>
      <c r="C58" s="1075" t="s">
        <v>608</v>
      </c>
      <c r="D58" s="1036">
        <f t="shared" si="46"/>
        <v>4.3288836111111113</v>
      </c>
      <c r="E58" s="1037">
        <f t="shared" si="36"/>
        <v>1.4036066666666667</v>
      </c>
      <c r="F58" s="1112">
        <v>0.11572750000000002</v>
      </c>
      <c r="G58" s="1113">
        <v>0</v>
      </c>
      <c r="H58" s="1114">
        <v>1.2878791666666667</v>
      </c>
      <c r="I58" s="1041">
        <f t="shared" si="37"/>
        <v>2.8825769444444442</v>
      </c>
      <c r="J58" s="1112">
        <v>0.2862533333333333</v>
      </c>
      <c r="K58" s="1113">
        <v>2.596323611111111</v>
      </c>
      <c r="L58" s="1114">
        <v>0</v>
      </c>
      <c r="M58" s="1115">
        <v>0</v>
      </c>
      <c r="N58" s="1043">
        <f t="shared" si="39"/>
        <v>4.2700000000000043E-2</v>
      </c>
      <c r="O58" s="1117">
        <v>4.2700000000000043E-2</v>
      </c>
      <c r="P58" s="1118">
        <v>0</v>
      </c>
      <c r="Q58" s="1116">
        <v>0</v>
      </c>
    </row>
    <row r="59" spans="2:17" x14ac:dyDescent="0.3">
      <c r="B59" s="1034" t="s">
        <v>304</v>
      </c>
      <c r="C59" s="1076" t="s">
        <v>53</v>
      </c>
      <c r="D59" s="1036">
        <f>E59+I59+M59+N59+Q59</f>
        <v>12.341155912694482</v>
      </c>
      <c r="E59" s="1077">
        <f t="shared" si="36"/>
        <v>0</v>
      </c>
      <c r="F59" s="1078">
        <f>SUM(F60:F61)</f>
        <v>0</v>
      </c>
      <c r="G59" s="1079">
        <f>SUM(G60:G61)</f>
        <v>0</v>
      </c>
      <c r="H59" s="1080">
        <f>SUM(H60:H61)</f>
        <v>0</v>
      </c>
      <c r="I59" s="1081">
        <f t="shared" si="37"/>
        <v>0</v>
      </c>
      <c r="J59" s="1078">
        <f t="shared" ref="J59:Q59" si="48">SUM(J60:J61)</f>
        <v>0</v>
      </c>
      <c r="K59" s="1079">
        <f t="shared" si="48"/>
        <v>0</v>
      </c>
      <c r="L59" s="1080">
        <f t="shared" si="48"/>
        <v>0</v>
      </c>
      <c r="M59" s="1082">
        <f t="shared" si="48"/>
        <v>4.9043749999999999</v>
      </c>
      <c r="N59" s="1083">
        <f t="shared" si="39"/>
        <v>0</v>
      </c>
      <c r="O59" s="1079">
        <f t="shared" si="48"/>
        <v>0</v>
      </c>
      <c r="P59" s="1080">
        <f t="shared" si="48"/>
        <v>0</v>
      </c>
      <c r="Q59" s="1077">
        <f t="shared" si="48"/>
        <v>7.4367809126944824</v>
      </c>
    </row>
    <row r="60" spans="2:17" x14ac:dyDescent="0.3">
      <c r="B60" s="1084" t="s">
        <v>306</v>
      </c>
      <c r="C60" s="1085" t="s">
        <v>55</v>
      </c>
      <c r="D60" s="1036">
        <f t="shared" ref="D60:D61" si="49">E60+I60+M60+N60+Q60</f>
        <v>0</v>
      </c>
      <c r="E60" s="1037">
        <f t="shared" si="36"/>
        <v>0</v>
      </c>
      <c r="F60" s="1112">
        <v>0</v>
      </c>
      <c r="G60" s="1113">
        <v>0</v>
      </c>
      <c r="H60" s="1114">
        <v>0</v>
      </c>
      <c r="I60" s="1081">
        <f t="shared" si="37"/>
        <v>0</v>
      </c>
      <c r="J60" s="1112">
        <v>0</v>
      </c>
      <c r="K60" s="1113">
        <v>0</v>
      </c>
      <c r="L60" s="1114">
        <v>0</v>
      </c>
      <c r="M60" s="1115">
        <v>0</v>
      </c>
      <c r="N60" s="1043">
        <f t="shared" si="39"/>
        <v>0</v>
      </c>
      <c r="O60" s="1119">
        <v>0</v>
      </c>
      <c r="P60" s="1120">
        <v>0</v>
      </c>
      <c r="Q60" s="1116">
        <v>0</v>
      </c>
    </row>
    <row r="61" spans="2:17" ht="27" x14ac:dyDescent="0.3">
      <c r="B61" s="1084" t="s">
        <v>308</v>
      </c>
      <c r="C61" s="1094" t="s">
        <v>57</v>
      </c>
      <c r="D61" s="1036">
        <f t="shared" si="49"/>
        <v>12.341155912694482</v>
      </c>
      <c r="E61" s="1037">
        <f t="shared" si="36"/>
        <v>0</v>
      </c>
      <c r="F61" s="1112">
        <v>0</v>
      </c>
      <c r="G61" s="1113">
        <v>0</v>
      </c>
      <c r="H61" s="1114">
        <v>0</v>
      </c>
      <c r="I61" s="1081">
        <f t="shared" si="37"/>
        <v>0</v>
      </c>
      <c r="J61" s="1112">
        <v>0</v>
      </c>
      <c r="K61" s="1113">
        <v>0</v>
      </c>
      <c r="L61" s="1114">
        <v>0</v>
      </c>
      <c r="M61" s="1115">
        <v>4.9043749999999999</v>
      </c>
      <c r="N61" s="1043">
        <f t="shared" si="39"/>
        <v>0</v>
      </c>
      <c r="O61" s="1121">
        <v>0</v>
      </c>
      <c r="P61" s="1122">
        <v>0</v>
      </c>
      <c r="Q61" s="1116">
        <v>7.4367809126944824</v>
      </c>
    </row>
    <row r="62" spans="2:17" x14ac:dyDescent="0.3">
      <c r="B62" s="1099" t="s">
        <v>310</v>
      </c>
      <c r="C62" s="1100" t="s">
        <v>609</v>
      </c>
      <c r="D62" s="1036">
        <f>E62+I62+M62+N62+Q62</f>
        <v>0</v>
      </c>
      <c r="E62" s="1077">
        <f t="shared" si="36"/>
        <v>0</v>
      </c>
      <c r="F62" s="1078">
        <f>SUM(F63:F65)</f>
        <v>0</v>
      </c>
      <c r="G62" s="1079">
        <f>SUM(G63:G65)</f>
        <v>0</v>
      </c>
      <c r="H62" s="1080">
        <f>SUM(H63:H65)</f>
        <v>0</v>
      </c>
      <c r="I62" s="1081">
        <f t="shared" si="37"/>
        <v>0</v>
      </c>
      <c r="J62" s="1078">
        <f t="shared" ref="J62:Q62" si="50">SUM(J63:J65)</f>
        <v>0</v>
      </c>
      <c r="K62" s="1079">
        <f t="shared" si="50"/>
        <v>0</v>
      </c>
      <c r="L62" s="1080">
        <f t="shared" si="50"/>
        <v>0</v>
      </c>
      <c r="M62" s="1082">
        <f t="shared" si="50"/>
        <v>0</v>
      </c>
      <c r="N62" s="1083">
        <f t="shared" si="39"/>
        <v>0</v>
      </c>
      <c r="O62" s="1079">
        <f t="shared" si="50"/>
        <v>0</v>
      </c>
      <c r="P62" s="1080">
        <f t="shared" si="50"/>
        <v>0</v>
      </c>
      <c r="Q62" s="1077">
        <f t="shared" si="50"/>
        <v>0</v>
      </c>
    </row>
    <row r="63" spans="2:17" x14ac:dyDescent="0.3">
      <c r="B63" s="1101" t="s">
        <v>312</v>
      </c>
      <c r="C63" s="1102" t="s">
        <v>1368</v>
      </c>
      <c r="D63" s="1036">
        <f t="shared" ref="D63:D65" si="51">E63+I63+M63+N63+Q63</f>
        <v>0</v>
      </c>
      <c r="E63" s="1037">
        <f t="shared" si="36"/>
        <v>0</v>
      </c>
      <c r="F63" s="1112">
        <v>0</v>
      </c>
      <c r="G63" s="1113">
        <v>0</v>
      </c>
      <c r="H63" s="1114">
        <v>0</v>
      </c>
      <c r="I63" s="1081">
        <f t="shared" si="37"/>
        <v>0</v>
      </c>
      <c r="J63" s="1112">
        <v>0</v>
      </c>
      <c r="K63" s="1113">
        <v>0</v>
      </c>
      <c r="L63" s="1114">
        <v>0</v>
      </c>
      <c r="M63" s="1115">
        <v>0</v>
      </c>
      <c r="N63" s="1043">
        <f t="shared" si="39"/>
        <v>0</v>
      </c>
      <c r="O63" s="1121">
        <v>0</v>
      </c>
      <c r="P63" s="1122">
        <v>0</v>
      </c>
      <c r="Q63" s="1116">
        <v>0</v>
      </c>
    </row>
    <row r="64" spans="2:17" x14ac:dyDescent="0.3">
      <c r="B64" s="1101" t="s">
        <v>619</v>
      </c>
      <c r="C64" s="1102" t="s">
        <v>49</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x14ac:dyDescent="0.3">
      <c r="B65" s="1103" t="s">
        <v>620</v>
      </c>
      <c r="C65" s="1102" t="s">
        <v>1369</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x14ac:dyDescent="0.3">
      <c r="B66" s="1025" t="s">
        <v>129</v>
      </c>
      <c r="C66" s="1025" t="s">
        <v>621</v>
      </c>
      <c r="D66" s="1026">
        <f t="shared" ref="D66:Q66" si="52">D67+D71+D78+D81+D87+D90</f>
        <v>89.336463172123899</v>
      </c>
      <c r="E66" s="1027">
        <f t="shared" si="52"/>
        <v>24.141039882681831</v>
      </c>
      <c r="F66" s="1028">
        <f t="shared" si="52"/>
        <v>1.0010687972892534</v>
      </c>
      <c r="G66" s="1029">
        <f t="shared" si="52"/>
        <v>7.1523743622944149</v>
      </c>
      <c r="H66" s="1030">
        <f t="shared" si="52"/>
        <v>15.987596723098164</v>
      </c>
      <c r="I66" s="1031">
        <f t="shared" si="52"/>
        <v>55.471726941813074</v>
      </c>
      <c r="J66" s="1028">
        <f t="shared" si="52"/>
        <v>26.273612005776847</v>
      </c>
      <c r="K66" s="1029">
        <f t="shared" si="52"/>
        <v>23.785237816541503</v>
      </c>
      <c r="L66" s="1030">
        <f t="shared" si="52"/>
        <v>5.4128771194947269</v>
      </c>
      <c r="M66" s="1032">
        <f t="shared" si="52"/>
        <v>2.2640696101254867</v>
      </c>
      <c r="N66" s="1033">
        <f t="shared" si="52"/>
        <v>1.4931799035938695</v>
      </c>
      <c r="O66" s="1029">
        <f t="shared" si="52"/>
        <v>1.4931799035938695</v>
      </c>
      <c r="P66" s="1030">
        <f t="shared" si="52"/>
        <v>0</v>
      </c>
      <c r="Q66" s="1027">
        <f t="shared" si="52"/>
        <v>5.9664468339096643</v>
      </c>
      <c r="R66" s="618"/>
    </row>
    <row r="67" spans="2:18" x14ac:dyDescent="0.3">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x14ac:dyDescent="0.3">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x14ac:dyDescent="0.3">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x14ac:dyDescent="0.3">
      <c r="B70" s="1044" t="s">
        <v>622</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x14ac:dyDescent="0.3">
      <c r="B71" s="1034" t="s">
        <v>133</v>
      </c>
      <c r="C71" s="1052" t="s">
        <v>15</v>
      </c>
      <c r="D71" s="1132">
        <f>SUM(D72:D77)</f>
        <v>62.583878999989508</v>
      </c>
      <c r="E71" s="1037">
        <f t="shared" si="53"/>
        <v>16.911794639113442</v>
      </c>
      <c r="F71" s="1038">
        <f>SUM(F72:F77)</f>
        <v>0.70129000248763906</v>
      </c>
      <c r="G71" s="1039">
        <f>SUM(G72:G77)</f>
        <v>5.0105333898212221</v>
      </c>
      <c r="H71" s="1040">
        <f>SUM(H72:H77)</f>
        <v>11.199971246804582</v>
      </c>
      <c r="I71" s="1055">
        <f t="shared" si="54"/>
        <v>38.860233812459221</v>
      </c>
      <c r="J71" s="1038">
        <f t="shared" ref="J71:Q71" si="60">SUM(J72:J77)</f>
        <v>18.405749413810351</v>
      </c>
      <c r="K71" s="1039">
        <f t="shared" si="60"/>
        <v>16.662540609296187</v>
      </c>
      <c r="L71" s="1040">
        <f t="shared" si="60"/>
        <v>3.7919437893526804</v>
      </c>
      <c r="M71" s="1042">
        <f t="shared" si="60"/>
        <v>1.586074190721493</v>
      </c>
      <c r="N71" s="1056">
        <f t="shared" si="56"/>
        <v>1.0460341398526967</v>
      </c>
      <c r="O71" s="1039">
        <f t="shared" si="60"/>
        <v>1.0460341398526967</v>
      </c>
      <c r="P71" s="1040">
        <f t="shared" si="60"/>
        <v>0</v>
      </c>
      <c r="Q71" s="1037">
        <f t="shared" si="60"/>
        <v>4.1797422178426675</v>
      </c>
    </row>
    <row r="72" spans="2:18" x14ac:dyDescent="0.3">
      <c r="B72" s="1044" t="s">
        <v>135</v>
      </c>
      <c r="C72" s="1045" t="s">
        <v>17</v>
      </c>
      <c r="D72" s="1133">
        <v>62.583878999989508</v>
      </c>
      <c r="E72" s="1134">
        <f t="shared" si="53"/>
        <v>16.911794639113442</v>
      </c>
      <c r="F72" s="1046">
        <f t="shared" ref="F72:H77" si="61">IFERROR($D72*F98/100, 0)</f>
        <v>0.70129000248763906</v>
      </c>
      <c r="G72" s="1047">
        <f t="shared" si="61"/>
        <v>5.0105333898212221</v>
      </c>
      <c r="H72" s="1048">
        <f t="shared" si="61"/>
        <v>11.199971246804582</v>
      </c>
      <c r="I72" s="1135">
        <f t="shared" si="54"/>
        <v>38.860233812459221</v>
      </c>
      <c r="J72" s="1046">
        <f t="shared" ref="J72:Q77" si="62">IFERROR($D72*J98/100, 0)</f>
        <v>18.405749413810351</v>
      </c>
      <c r="K72" s="1047">
        <f t="shared" si="62"/>
        <v>16.662540609296187</v>
      </c>
      <c r="L72" s="1048">
        <f t="shared" si="62"/>
        <v>3.7919437893526804</v>
      </c>
      <c r="M72" s="1049">
        <f t="shared" si="62"/>
        <v>1.586074190721493</v>
      </c>
      <c r="N72" s="1136">
        <f t="shared" si="56"/>
        <v>1.0460341398526967</v>
      </c>
      <c r="O72" s="1047">
        <f t="shared" ref="O72:Q76" si="63">IFERROR($D72*O98/100, 0)</f>
        <v>1.0460341398526967</v>
      </c>
      <c r="P72" s="1048">
        <f t="shared" si="63"/>
        <v>0</v>
      </c>
      <c r="Q72" s="1134">
        <f t="shared" si="63"/>
        <v>4.1797422178426675</v>
      </c>
    </row>
    <row r="73" spans="2:18" x14ac:dyDescent="0.3">
      <c r="B73" s="1044" t="s">
        <v>137</v>
      </c>
      <c r="C73" s="1045" t="s">
        <v>598</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x14ac:dyDescent="0.3">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x14ac:dyDescent="0.3">
      <c r="B75" s="1059" t="s">
        <v>623</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x14ac:dyDescent="0.3">
      <c r="B76" s="1059" t="s">
        <v>624</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9.6" x14ac:dyDescent="0.3">
      <c r="B77" s="1059" t="s">
        <v>625</v>
      </c>
      <c r="C77" s="1060" t="s">
        <v>602</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x14ac:dyDescent="0.3">
      <c r="B78" s="1061" t="s">
        <v>141</v>
      </c>
      <c r="C78" s="1062" t="s">
        <v>31</v>
      </c>
      <c r="D78" s="1132">
        <f>D79+D80</f>
        <v>1.4645918333333334</v>
      </c>
      <c r="E78" s="1037">
        <f t="shared" si="53"/>
        <v>0.39577087120886434</v>
      </c>
      <c r="F78" s="1038">
        <f>F79+F80</f>
        <v>1.6411632306170754E-2</v>
      </c>
      <c r="G78" s="1039">
        <f>G79+G80</f>
        <v>0.11725681438469762</v>
      </c>
      <c r="H78" s="1040">
        <f>H79+H80</f>
        <v>0.26210242451799592</v>
      </c>
      <c r="I78" s="1041">
        <f t="shared" si="54"/>
        <v>0.90940961142982502</v>
      </c>
      <c r="J78" s="1038">
        <f t="shared" ref="J78:Q78" si="64">J79+J80</f>
        <v>0.43073249387195944</v>
      </c>
      <c r="K78" s="1039">
        <f t="shared" si="64"/>
        <v>0.38993781288252066</v>
      </c>
      <c r="L78" s="1040">
        <f t="shared" si="64"/>
        <v>8.8739304675344924E-2</v>
      </c>
      <c r="M78" s="1042">
        <f t="shared" si="64"/>
        <v>3.7117406972998014E-2</v>
      </c>
      <c r="N78" s="1043">
        <f t="shared" si="56"/>
        <v>2.4479356075330107E-2</v>
      </c>
      <c r="O78" s="1039">
        <f t="shared" si="64"/>
        <v>2.4479356075330107E-2</v>
      </c>
      <c r="P78" s="1040">
        <f t="shared" si="64"/>
        <v>0</v>
      </c>
      <c r="Q78" s="1037">
        <f t="shared" si="64"/>
        <v>9.7814587646316245E-2</v>
      </c>
    </row>
    <row r="79" spans="2:18" ht="53.4" x14ac:dyDescent="0.3">
      <c r="B79" s="1059" t="s">
        <v>408</v>
      </c>
      <c r="C79" s="1063" t="s">
        <v>33</v>
      </c>
      <c r="D79" s="1133">
        <v>1.4645918333333334</v>
      </c>
      <c r="E79" s="1134">
        <f t="shared" si="53"/>
        <v>0.39577087120886434</v>
      </c>
      <c r="F79" s="1046">
        <f t="shared" ref="F79:H80" si="65">IFERROR($D79*F104/100, 0)</f>
        <v>1.6411632306170754E-2</v>
      </c>
      <c r="G79" s="1047">
        <f t="shared" si="65"/>
        <v>0.11725681438469762</v>
      </c>
      <c r="H79" s="1048">
        <f t="shared" si="65"/>
        <v>0.26210242451799592</v>
      </c>
      <c r="I79" s="1135">
        <f t="shared" si="54"/>
        <v>0.90940961142982502</v>
      </c>
      <c r="J79" s="1046">
        <f t="shared" ref="J79:M80" si="66">IFERROR($D79*J104/100, 0)</f>
        <v>0.43073249387195944</v>
      </c>
      <c r="K79" s="1047">
        <f t="shared" si="66"/>
        <v>0.38993781288252066</v>
      </c>
      <c r="L79" s="1048">
        <f t="shared" si="66"/>
        <v>8.8739304675344924E-2</v>
      </c>
      <c r="M79" s="1049">
        <f t="shared" si="66"/>
        <v>3.7117406972998014E-2</v>
      </c>
      <c r="N79" s="1136">
        <f t="shared" si="56"/>
        <v>2.4479356075330107E-2</v>
      </c>
      <c r="O79" s="1047">
        <f t="shared" ref="O79:Q80" si="67">IFERROR($D79*O104/100, 0)</f>
        <v>2.4479356075330107E-2</v>
      </c>
      <c r="P79" s="1048">
        <f t="shared" si="67"/>
        <v>0</v>
      </c>
      <c r="Q79" s="1134">
        <f t="shared" si="67"/>
        <v>9.7814587646316245E-2</v>
      </c>
    </row>
    <row r="80" spans="2:18" x14ac:dyDescent="0.3">
      <c r="B80" s="1059" t="s">
        <v>626</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x14ac:dyDescent="0.3">
      <c r="B81" s="1061" t="s">
        <v>409</v>
      </c>
      <c r="C81" s="1062" t="s">
        <v>37</v>
      </c>
      <c r="D81" s="1132">
        <f>D82+D86</f>
        <v>0.69649277777777774</v>
      </c>
      <c r="E81" s="1037">
        <f t="shared" si="53"/>
        <v>0.18821049467715842</v>
      </c>
      <c r="F81" s="1038">
        <f>F82+F86</f>
        <v>7.8046204496286069E-3</v>
      </c>
      <c r="G81" s="1039">
        <f>G82+G86</f>
        <v>5.5761968970083703E-2</v>
      </c>
      <c r="H81" s="1040">
        <f>H82+H86</f>
        <v>0.12464390525744611</v>
      </c>
      <c r="I81" s="1055">
        <f t="shared" si="54"/>
        <v>0.43247354791060783</v>
      </c>
      <c r="J81" s="1038">
        <f t="shared" ref="J81:Q81" si="68">J82+J86</f>
        <v>0.20483664069957416</v>
      </c>
      <c r="K81" s="1039">
        <f t="shared" si="68"/>
        <v>0.18543655937027606</v>
      </c>
      <c r="L81" s="1040">
        <f t="shared" si="68"/>
        <v>4.2200347840757581E-2</v>
      </c>
      <c r="M81" s="1042">
        <f t="shared" si="68"/>
        <v>1.7651338276066887E-2</v>
      </c>
      <c r="N81" s="1056">
        <f t="shared" si="56"/>
        <v>1.1641260263150439E-2</v>
      </c>
      <c r="O81" s="1039">
        <f t="shared" si="68"/>
        <v>1.1641260263150439E-2</v>
      </c>
      <c r="P81" s="1040">
        <f t="shared" si="68"/>
        <v>0</v>
      </c>
      <c r="Q81" s="1037">
        <f t="shared" si="68"/>
        <v>4.6516136650794321E-2</v>
      </c>
    </row>
    <row r="82" spans="2:17" x14ac:dyDescent="0.3">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x14ac:dyDescent="0.3">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x14ac:dyDescent="0.3">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7" x14ac:dyDescent="0.3">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7" x14ac:dyDescent="0.3">
      <c r="B86" s="1044" t="s">
        <v>414</v>
      </c>
      <c r="C86" s="1137" t="s">
        <v>608</v>
      </c>
      <c r="D86" s="1133">
        <v>0.69649277777777774</v>
      </c>
      <c r="E86" s="1134">
        <f t="shared" si="53"/>
        <v>0.18821049467715842</v>
      </c>
      <c r="F86" s="1046">
        <f t="shared" si="70"/>
        <v>7.8046204496286069E-3</v>
      </c>
      <c r="G86" s="1047">
        <f t="shared" si="70"/>
        <v>5.5761968970083703E-2</v>
      </c>
      <c r="H86" s="1048">
        <f t="shared" si="70"/>
        <v>0.12464390525744611</v>
      </c>
      <c r="I86" s="1135">
        <f t="shared" si="54"/>
        <v>0.43247354791060783</v>
      </c>
      <c r="J86" s="1046">
        <f t="shared" si="72"/>
        <v>0.20483664069957416</v>
      </c>
      <c r="K86" s="1047">
        <f t="shared" si="72"/>
        <v>0.18543655937027606</v>
      </c>
      <c r="L86" s="1048">
        <f t="shared" si="72"/>
        <v>4.2200347840757581E-2</v>
      </c>
      <c r="M86" s="1049">
        <f t="shared" si="72"/>
        <v>1.7651338276066887E-2</v>
      </c>
      <c r="N86" s="1136">
        <f t="shared" si="56"/>
        <v>1.1641260263150439E-2</v>
      </c>
      <c r="O86" s="1047">
        <f t="shared" si="74"/>
        <v>1.1641260263150439E-2</v>
      </c>
      <c r="P86" s="1048">
        <f t="shared" si="74"/>
        <v>0</v>
      </c>
      <c r="Q86" s="1134">
        <f t="shared" si="74"/>
        <v>4.6516136650794321E-2</v>
      </c>
    </row>
    <row r="87" spans="2:17" x14ac:dyDescent="0.3">
      <c r="B87" s="1034" t="s">
        <v>415</v>
      </c>
      <c r="C87" s="1076" t="s">
        <v>53</v>
      </c>
      <c r="D87" s="1138">
        <f>D88+D89</f>
        <v>24.591499561023291</v>
      </c>
      <c r="E87" s="1077">
        <f t="shared" si="53"/>
        <v>6.6452638776823658</v>
      </c>
      <c r="F87" s="1078">
        <f>F88+F89</f>
        <v>0.27556254204581487</v>
      </c>
      <c r="G87" s="1079">
        <f>G88+G89</f>
        <v>1.9688221891184114</v>
      </c>
      <c r="H87" s="1080">
        <f>H88+H89</f>
        <v>4.4008791465181396</v>
      </c>
      <c r="I87" s="1081">
        <f t="shared" si="54"/>
        <v>15.26960997001342</v>
      </c>
      <c r="J87" s="1078">
        <f t="shared" ref="J87:Q87" si="75">J88+J89</f>
        <v>7.2322934573949595</v>
      </c>
      <c r="K87" s="1079">
        <f t="shared" si="75"/>
        <v>6.5473228349925172</v>
      </c>
      <c r="L87" s="1080">
        <f t="shared" si="75"/>
        <v>1.4899936776259435</v>
      </c>
      <c r="M87" s="1082">
        <f t="shared" si="75"/>
        <v>0.62322667415492894</v>
      </c>
      <c r="N87" s="1083">
        <f t="shared" si="56"/>
        <v>0.41102514740269258</v>
      </c>
      <c r="O87" s="1079">
        <f t="shared" si="75"/>
        <v>0.41102514740269258</v>
      </c>
      <c r="P87" s="1080">
        <f t="shared" si="75"/>
        <v>0</v>
      </c>
      <c r="Q87" s="1077">
        <f t="shared" si="75"/>
        <v>1.6423738917698869</v>
      </c>
    </row>
    <row r="88" spans="2:17" x14ac:dyDescent="0.3">
      <c r="B88" s="1084" t="s">
        <v>627</v>
      </c>
      <c r="C88" s="1085" t="s">
        <v>55</v>
      </c>
      <c r="D88" s="1139">
        <v>4.2240500000000001</v>
      </c>
      <c r="E88" s="1134">
        <f t="shared" si="53"/>
        <v>1.1414483615718212</v>
      </c>
      <c r="F88" s="1046">
        <f t="shared" ref="F88:H89" si="76">IFERROR($D88*F111/100, 0)</f>
        <v>4.7333020617152999E-2</v>
      </c>
      <c r="G88" s="1047">
        <f t="shared" si="76"/>
        <v>0.3381820351096787</v>
      </c>
      <c r="H88" s="1048">
        <f t="shared" si="76"/>
        <v>0.75593330584498952</v>
      </c>
      <c r="I88" s="1135">
        <f t="shared" si="54"/>
        <v>2.6228411095379034</v>
      </c>
      <c r="J88" s="1046">
        <f t="shared" ref="J88:M89" si="77">IFERROR($D88*J111/100, 0)</f>
        <v>1.2422816714735538</v>
      </c>
      <c r="K88" s="1047">
        <f t="shared" si="77"/>
        <v>1.1246251556364757</v>
      </c>
      <c r="L88" s="1048">
        <f t="shared" si="77"/>
        <v>0.25593428242787375</v>
      </c>
      <c r="M88" s="1049">
        <f t="shared" si="77"/>
        <v>0.10705083788939074</v>
      </c>
      <c r="N88" s="1136">
        <f t="shared" si="56"/>
        <v>7.0601256730116135E-2</v>
      </c>
      <c r="O88" s="1047">
        <f t="shared" ref="O88:Q89" si="78">IFERROR($D88*O111/100, 0)</f>
        <v>7.0601256730116135E-2</v>
      </c>
      <c r="P88" s="1048">
        <f t="shared" si="78"/>
        <v>0</v>
      </c>
      <c r="Q88" s="1134">
        <f t="shared" si="78"/>
        <v>0.28210843427076926</v>
      </c>
    </row>
    <row r="89" spans="2:17" ht="27" x14ac:dyDescent="0.3">
      <c r="B89" s="1084" t="s">
        <v>628</v>
      </c>
      <c r="C89" s="1094" t="s">
        <v>57</v>
      </c>
      <c r="D89" s="1140">
        <v>20.367449561023289</v>
      </c>
      <c r="E89" s="1134">
        <f t="shared" si="53"/>
        <v>5.503815516110544</v>
      </c>
      <c r="F89" s="1046">
        <f t="shared" si="76"/>
        <v>0.22822952142866185</v>
      </c>
      <c r="G89" s="1047">
        <f t="shared" si="76"/>
        <v>1.6306401540087327</v>
      </c>
      <c r="H89" s="1048">
        <f t="shared" si="76"/>
        <v>3.6449458406731496</v>
      </c>
      <c r="I89" s="1135">
        <f t="shared" si="54"/>
        <v>12.646768860475518</v>
      </c>
      <c r="J89" s="1046">
        <f t="shared" si="77"/>
        <v>5.9900117859214062</v>
      </c>
      <c r="K89" s="1047">
        <f t="shared" si="77"/>
        <v>5.4226976793560411</v>
      </c>
      <c r="L89" s="1048">
        <f t="shared" si="77"/>
        <v>1.2340593951980698</v>
      </c>
      <c r="M89" s="1049">
        <f t="shared" si="77"/>
        <v>0.5161758362655382</v>
      </c>
      <c r="N89" s="1136">
        <f t="shared" si="56"/>
        <v>0.34042389067257645</v>
      </c>
      <c r="O89" s="1047">
        <f t="shared" si="78"/>
        <v>0.34042389067257645</v>
      </c>
      <c r="P89" s="1048">
        <f t="shared" si="78"/>
        <v>0</v>
      </c>
      <c r="Q89" s="1134">
        <f t="shared" si="78"/>
        <v>1.3602654574991175</v>
      </c>
    </row>
    <row r="90" spans="2:17" x14ac:dyDescent="0.3">
      <c r="B90" s="1099" t="s">
        <v>416</v>
      </c>
      <c r="C90" s="1100" t="s">
        <v>609</v>
      </c>
      <c r="D90" s="1138">
        <f>SUM(D91:D93)</f>
        <v>0</v>
      </c>
      <c r="E90" s="1141">
        <f t="shared" si="53"/>
        <v>0</v>
      </c>
      <c r="F90" s="1142">
        <f>F91+F92+F93</f>
        <v>0</v>
      </c>
      <c r="G90" s="1143">
        <f t="shared" ref="G90:H90" si="79">G91+G92+G93</f>
        <v>0</v>
      </c>
      <c r="H90" s="1144">
        <f t="shared" si="79"/>
        <v>0</v>
      </c>
      <c r="I90" s="1145">
        <f t="shared" si="54"/>
        <v>0</v>
      </c>
      <c r="J90" s="1142">
        <f>J91+J92+J93</f>
        <v>0</v>
      </c>
      <c r="K90" s="1143">
        <f>K91+K92+K93</f>
        <v>0</v>
      </c>
      <c r="L90" s="1144">
        <f>L91+L92+L93</f>
        <v>0</v>
      </c>
      <c r="M90" s="1146">
        <f>M91+M92+M93</f>
        <v>0</v>
      </c>
      <c r="N90" s="1147">
        <f t="shared" si="56"/>
        <v>0</v>
      </c>
      <c r="O90" s="1143">
        <f>SUM(O91:O93)</f>
        <v>0</v>
      </c>
      <c r="P90" s="1144">
        <f>SUM(P91:P93)</f>
        <v>0</v>
      </c>
      <c r="Q90" s="1148">
        <f>Q91+Q92+Q93</f>
        <v>0</v>
      </c>
    </row>
    <row r="91" spans="2:17" x14ac:dyDescent="0.3">
      <c r="B91" s="1101" t="s">
        <v>417</v>
      </c>
      <c r="C91" s="1102" t="s">
        <v>1368</v>
      </c>
      <c r="D91" s="1140">
        <v>0</v>
      </c>
      <c r="E91" s="1134">
        <f t="shared" si="53"/>
        <v>0</v>
      </c>
      <c r="F91" s="1046">
        <f t="shared" ref="F91:H93" si="80">IFERROR($D91*F113/100, 0)</f>
        <v>0</v>
      </c>
      <c r="G91" s="1047">
        <f t="shared" si="80"/>
        <v>0</v>
      </c>
      <c r="H91" s="1048">
        <f t="shared" si="80"/>
        <v>0</v>
      </c>
      <c r="I91" s="1135">
        <f t="shared" si="54"/>
        <v>0</v>
      </c>
      <c r="J91" s="1046">
        <f t="shared" ref="J91:M93" si="81">IFERROR($D91*J113/100, 0)</f>
        <v>0</v>
      </c>
      <c r="K91" s="1047">
        <f t="shared" si="81"/>
        <v>0</v>
      </c>
      <c r="L91" s="1048">
        <f t="shared" si="81"/>
        <v>0</v>
      </c>
      <c r="M91" s="1049">
        <f t="shared" si="81"/>
        <v>0</v>
      </c>
      <c r="N91" s="1136">
        <f t="shared" si="56"/>
        <v>0</v>
      </c>
      <c r="O91" s="1047">
        <f t="shared" ref="O91:Q93" si="82">IFERROR($D91*O113/100, 0)</f>
        <v>0</v>
      </c>
      <c r="P91" s="1048">
        <f t="shared" si="82"/>
        <v>0</v>
      </c>
      <c r="Q91" s="1134">
        <f t="shared" si="82"/>
        <v>0</v>
      </c>
    </row>
    <row r="92" spans="2:17" x14ac:dyDescent="0.3">
      <c r="B92" s="1084" t="s">
        <v>418</v>
      </c>
      <c r="C92" s="1102" t="s">
        <v>49</v>
      </c>
      <c r="D92" s="1140">
        <v>0</v>
      </c>
      <c r="E92" s="1134">
        <f t="shared" si="53"/>
        <v>0</v>
      </c>
      <c r="F92" s="1046">
        <f t="shared" si="80"/>
        <v>0</v>
      </c>
      <c r="G92" s="1047">
        <f t="shared" si="80"/>
        <v>0</v>
      </c>
      <c r="H92" s="1048">
        <f t="shared" si="80"/>
        <v>0</v>
      </c>
      <c r="I92" s="1135">
        <f t="shared" si="54"/>
        <v>0</v>
      </c>
      <c r="J92" s="1046">
        <f t="shared" si="81"/>
        <v>0</v>
      </c>
      <c r="K92" s="1047">
        <f t="shared" si="81"/>
        <v>0</v>
      </c>
      <c r="L92" s="1048">
        <f t="shared" si="81"/>
        <v>0</v>
      </c>
      <c r="M92" s="1049">
        <f t="shared" si="81"/>
        <v>0</v>
      </c>
      <c r="N92" s="1136">
        <f t="shared" si="56"/>
        <v>0</v>
      </c>
      <c r="O92" s="1047">
        <f t="shared" si="82"/>
        <v>0</v>
      </c>
      <c r="P92" s="1048">
        <f t="shared" si="82"/>
        <v>0</v>
      </c>
      <c r="Q92" s="1134">
        <f t="shared" si="82"/>
        <v>0</v>
      </c>
    </row>
    <row r="93" spans="2:17" x14ac:dyDescent="0.3">
      <c r="B93" s="1149" t="s">
        <v>419</v>
      </c>
      <c r="C93" s="1102" t="s">
        <v>1369</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x14ac:dyDescent="0.3">
      <c r="B94" s="1011" t="s">
        <v>143</v>
      </c>
      <c r="C94" s="1018" t="s">
        <v>629</v>
      </c>
      <c r="D94" s="1157"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1041</v>
      </c>
    </row>
    <row r="95" spans="2:17" x14ac:dyDescent="0.3">
      <c r="B95" s="1158" t="s">
        <v>145</v>
      </c>
      <c r="C95" s="1159" t="s">
        <v>630</v>
      </c>
      <c r="D95" s="1036">
        <f t="shared" ref="D95:D115" si="83">E95+I95+M95+N95+Q95</f>
        <v>100.00000000000001</v>
      </c>
      <c r="E95" s="1160">
        <f t="shared" ref="E95:E115" si="84">SUM(F95:H95)</f>
        <v>27.022605356750542</v>
      </c>
      <c r="F95" s="1161">
        <v>1.1205601405559356</v>
      </c>
      <c r="G95" s="1162">
        <v>8.0061087134309172</v>
      </c>
      <c r="H95" s="1163">
        <v>17.895936502763689</v>
      </c>
      <c r="I95" s="1160">
        <f t="shared" ref="I95:I115" si="85">SUM(J95:L95)</f>
        <v>62.093041264613426</v>
      </c>
      <c r="J95" s="1161">
        <v>29.409729323127188</v>
      </c>
      <c r="K95" s="1162">
        <v>26.624333415477462</v>
      </c>
      <c r="L95" s="1163">
        <v>6.0589785260087767</v>
      </c>
      <c r="M95" s="1164">
        <v>2.5343174888884068</v>
      </c>
      <c r="N95" s="1165">
        <f>SUM(O95:P95)</f>
        <v>1.6714114825846318</v>
      </c>
      <c r="O95" s="1162">
        <v>1.6714114825846318</v>
      </c>
      <c r="P95" s="1163">
        <v>0</v>
      </c>
      <c r="Q95" s="1166">
        <v>6.6786244071630136</v>
      </c>
    </row>
    <row r="96" spans="2:17" x14ac:dyDescent="0.3">
      <c r="B96" s="1167" t="s">
        <v>147</v>
      </c>
      <c r="C96" s="1168" t="s">
        <v>631</v>
      </c>
      <c r="D96" s="1036">
        <f t="shared" si="83"/>
        <v>100.00000000000001</v>
      </c>
      <c r="E96" s="1169">
        <f t="shared" si="84"/>
        <v>27.022605356750542</v>
      </c>
      <c r="F96" s="1170">
        <v>1.1205601405559356</v>
      </c>
      <c r="G96" s="1171">
        <v>8.0061087134309172</v>
      </c>
      <c r="H96" s="1172">
        <v>17.895936502763689</v>
      </c>
      <c r="I96" s="1169">
        <f t="shared" si="85"/>
        <v>62.093041264613426</v>
      </c>
      <c r="J96" s="1170">
        <v>29.409729323127188</v>
      </c>
      <c r="K96" s="1171">
        <v>26.624333415477462</v>
      </c>
      <c r="L96" s="1172">
        <v>6.0589785260087767</v>
      </c>
      <c r="M96" s="1173">
        <v>2.5343174888884068</v>
      </c>
      <c r="N96" s="1174">
        <f t="shared" ref="N96:N115" si="86">SUM(O96:P96)</f>
        <v>1.6714114825846318</v>
      </c>
      <c r="O96" s="1171">
        <v>1.6714114825846318</v>
      </c>
      <c r="P96" s="1172">
        <v>0</v>
      </c>
      <c r="Q96" s="1175">
        <v>6.6786244071630136</v>
      </c>
    </row>
    <row r="97" spans="2:17" x14ac:dyDescent="0.3">
      <c r="B97" s="1167" t="s">
        <v>149</v>
      </c>
      <c r="C97" s="1168" t="s">
        <v>632</v>
      </c>
      <c r="D97" s="1036">
        <f t="shared" si="83"/>
        <v>100.00000000000001</v>
      </c>
      <c r="E97" s="1169">
        <f t="shared" si="84"/>
        <v>27.022605356750542</v>
      </c>
      <c r="F97" s="1170">
        <v>1.1205601405559356</v>
      </c>
      <c r="G97" s="1171">
        <v>8.0061087134309172</v>
      </c>
      <c r="H97" s="1172">
        <v>17.895936502763689</v>
      </c>
      <c r="I97" s="1169">
        <f t="shared" si="85"/>
        <v>62.093041264613426</v>
      </c>
      <c r="J97" s="1170">
        <v>29.409729323127188</v>
      </c>
      <c r="K97" s="1171">
        <v>26.624333415477462</v>
      </c>
      <c r="L97" s="1172">
        <v>6.0589785260087767</v>
      </c>
      <c r="M97" s="1173">
        <v>2.5343174888884068</v>
      </c>
      <c r="N97" s="1174">
        <f t="shared" si="86"/>
        <v>1.6714114825846318</v>
      </c>
      <c r="O97" s="1171">
        <v>1.6714114825846318</v>
      </c>
      <c r="P97" s="1172">
        <v>0</v>
      </c>
      <c r="Q97" s="1175">
        <v>6.6786244071630136</v>
      </c>
    </row>
    <row r="98" spans="2:17" x14ac:dyDescent="0.3">
      <c r="B98" s="1176" t="s">
        <v>458</v>
      </c>
      <c r="C98" s="1168" t="s">
        <v>633</v>
      </c>
      <c r="D98" s="1036">
        <f t="shared" si="83"/>
        <v>100.00000000000001</v>
      </c>
      <c r="E98" s="1169">
        <f t="shared" si="84"/>
        <v>27.022605356750542</v>
      </c>
      <c r="F98" s="1170">
        <v>1.1205601405559356</v>
      </c>
      <c r="G98" s="1171">
        <v>8.0061087134309172</v>
      </c>
      <c r="H98" s="1172">
        <v>17.895936502763689</v>
      </c>
      <c r="I98" s="1169">
        <f t="shared" si="85"/>
        <v>62.093041264613426</v>
      </c>
      <c r="J98" s="1170">
        <v>29.409729323127188</v>
      </c>
      <c r="K98" s="1171">
        <v>26.624333415477462</v>
      </c>
      <c r="L98" s="1172">
        <v>6.0589785260087767</v>
      </c>
      <c r="M98" s="1173">
        <v>2.5343174888884068</v>
      </c>
      <c r="N98" s="1174">
        <f t="shared" si="86"/>
        <v>1.6714114825846318</v>
      </c>
      <c r="O98" s="1171">
        <v>1.6714114825846318</v>
      </c>
      <c r="P98" s="1172">
        <v>0</v>
      </c>
      <c r="Q98" s="1175">
        <v>6.6786244071630136</v>
      </c>
    </row>
    <row r="99" spans="2:17" x14ac:dyDescent="0.3">
      <c r="B99" s="1167" t="s">
        <v>462</v>
      </c>
      <c r="C99" s="1168" t="s">
        <v>634</v>
      </c>
      <c r="D99" s="1036">
        <f t="shared" si="83"/>
        <v>100.00000000000001</v>
      </c>
      <c r="E99" s="1169">
        <f t="shared" si="84"/>
        <v>27.022605356750542</v>
      </c>
      <c r="F99" s="1170">
        <v>1.1205601405559356</v>
      </c>
      <c r="G99" s="1171">
        <v>8.0061087134309172</v>
      </c>
      <c r="H99" s="1172">
        <v>17.895936502763689</v>
      </c>
      <c r="I99" s="1169">
        <f t="shared" si="85"/>
        <v>62.093041264613426</v>
      </c>
      <c r="J99" s="1170">
        <v>29.409729323127188</v>
      </c>
      <c r="K99" s="1171">
        <v>26.624333415477462</v>
      </c>
      <c r="L99" s="1172">
        <v>6.0589785260087767</v>
      </c>
      <c r="M99" s="1173">
        <v>2.5343174888884068</v>
      </c>
      <c r="N99" s="1174">
        <f t="shared" si="86"/>
        <v>1.6714114825846318</v>
      </c>
      <c r="O99" s="1171">
        <v>1.6714114825846318</v>
      </c>
      <c r="P99" s="1172">
        <v>0</v>
      </c>
      <c r="Q99" s="1175">
        <v>6.6786244071630136</v>
      </c>
    </row>
    <row r="100" spans="2:17" x14ac:dyDescent="0.3">
      <c r="B100" s="1167" t="s">
        <v>463</v>
      </c>
      <c r="C100" s="1168" t="s">
        <v>635</v>
      </c>
      <c r="D100" s="1036">
        <f t="shared" si="83"/>
        <v>100.00000000000001</v>
      </c>
      <c r="E100" s="1169">
        <f t="shared" si="84"/>
        <v>27.022605356750542</v>
      </c>
      <c r="F100" s="1170">
        <v>1.1205601405559356</v>
      </c>
      <c r="G100" s="1171">
        <v>8.0061087134309172</v>
      </c>
      <c r="H100" s="1172">
        <v>17.895936502763689</v>
      </c>
      <c r="I100" s="1169">
        <f t="shared" si="85"/>
        <v>62.093041264613426</v>
      </c>
      <c r="J100" s="1170">
        <v>29.409729323127188</v>
      </c>
      <c r="K100" s="1171">
        <v>26.624333415477462</v>
      </c>
      <c r="L100" s="1172">
        <v>6.0589785260087767</v>
      </c>
      <c r="M100" s="1173">
        <v>2.5343174888884068</v>
      </c>
      <c r="N100" s="1174">
        <f t="shared" si="86"/>
        <v>1.6714114825846318</v>
      </c>
      <c r="O100" s="1171">
        <v>1.6714114825846318</v>
      </c>
      <c r="P100" s="1172">
        <v>0</v>
      </c>
      <c r="Q100" s="1175">
        <v>6.6786244071630136</v>
      </c>
    </row>
    <row r="101" spans="2:17" x14ac:dyDescent="0.3">
      <c r="B101" s="1177" t="s">
        <v>467</v>
      </c>
      <c r="C101" s="1178" t="s">
        <v>636</v>
      </c>
      <c r="D101" s="1036">
        <f t="shared" si="83"/>
        <v>100.00000000000001</v>
      </c>
      <c r="E101" s="1169">
        <f t="shared" si="84"/>
        <v>27.022605356750542</v>
      </c>
      <c r="F101" s="1170">
        <v>1.1205601405559356</v>
      </c>
      <c r="G101" s="1171">
        <v>8.0061087134309172</v>
      </c>
      <c r="H101" s="1172">
        <v>17.895936502763689</v>
      </c>
      <c r="I101" s="1169">
        <f t="shared" si="85"/>
        <v>62.093041264613426</v>
      </c>
      <c r="J101" s="1170">
        <v>29.409729323127188</v>
      </c>
      <c r="K101" s="1171">
        <v>26.624333415477462</v>
      </c>
      <c r="L101" s="1172">
        <v>6.0589785260087767</v>
      </c>
      <c r="M101" s="1173">
        <v>2.5343174888884068</v>
      </c>
      <c r="N101" s="1174">
        <f t="shared" si="86"/>
        <v>1.6714114825846318</v>
      </c>
      <c r="O101" s="1171">
        <v>1.6714114825846318</v>
      </c>
      <c r="P101" s="1172">
        <v>0</v>
      </c>
      <c r="Q101" s="1175">
        <v>6.6786244071630136</v>
      </c>
    </row>
    <row r="102" spans="2:17" x14ac:dyDescent="0.3">
      <c r="B102" s="1177" t="s">
        <v>471</v>
      </c>
      <c r="C102" s="1178" t="s">
        <v>637</v>
      </c>
      <c r="D102" s="1036">
        <f t="shared" si="83"/>
        <v>100.00000000000001</v>
      </c>
      <c r="E102" s="1169">
        <f t="shared" si="84"/>
        <v>27.022605356750542</v>
      </c>
      <c r="F102" s="1170">
        <v>1.1205601405559356</v>
      </c>
      <c r="G102" s="1171">
        <v>8.0061087134309172</v>
      </c>
      <c r="H102" s="1172">
        <v>17.895936502763689</v>
      </c>
      <c r="I102" s="1169">
        <f t="shared" si="85"/>
        <v>62.093041264613426</v>
      </c>
      <c r="J102" s="1170">
        <v>29.409729323127188</v>
      </c>
      <c r="K102" s="1171">
        <v>26.624333415477462</v>
      </c>
      <c r="L102" s="1172">
        <v>6.0589785260087767</v>
      </c>
      <c r="M102" s="1173">
        <v>2.5343174888884068</v>
      </c>
      <c r="N102" s="1174">
        <f t="shared" si="86"/>
        <v>1.6714114825846318</v>
      </c>
      <c r="O102" s="1171">
        <v>1.6714114825846318</v>
      </c>
      <c r="P102" s="1172">
        <v>0</v>
      </c>
      <c r="Q102" s="1175">
        <v>6.6786244071630136</v>
      </c>
    </row>
    <row r="103" spans="2:17" x14ac:dyDescent="0.3">
      <c r="B103" s="1167" t="s">
        <v>475</v>
      </c>
      <c r="C103" s="1168" t="s">
        <v>638</v>
      </c>
      <c r="D103" s="1036">
        <f t="shared" si="83"/>
        <v>100.00000000000001</v>
      </c>
      <c r="E103" s="1169">
        <f t="shared" si="84"/>
        <v>27.022605356750542</v>
      </c>
      <c r="F103" s="1170">
        <v>1.1205601405559356</v>
      </c>
      <c r="G103" s="1171">
        <v>8.0061087134309172</v>
      </c>
      <c r="H103" s="1172">
        <v>17.895936502763689</v>
      </c>
      <c r="I103" s="1169">
        <f t="shared" si="85"/>
        <v>62.093041264613426</v>
      </c>
      <c r="J103" s="1170">
        <v>29.409729323127188</v>
      </c>
      <c r="K103" s="1171">
        <v>26.624333415477462</v>
      </c>
      <c r="L103" s="1172">
        <v>6.0589785260087767</v>
      </c>
      <c r="M103" s="1173">
        <v>2.5343174888884068</v>
      </c>
      <c r="N103" s="1174">
        <f t="shared" si="86"/>
        <v>1.6714114825846318</v>
      </c>
      <c r="O103" s="1171">
        <v>1.6714114825846318</v>
      </c>
      <c r="P103" s="1172">
        <v>0</v>
      </c>
      <c r="Q103" s="1175">
        <v>6.6786244071630136</v>
      </c>
    </row>
    <row r="104" spans="2:17" x14ac:dyDescent="0.3">
      <c r="B104" s="1176" t="s">
        <v>491</v>
      </c>
      <c r="C104" s="1168" t="s">
        <v>639</v>
      </c>
      <c r="D104" s="1036">
        <f t="shared" si="83"/>
        <v>100.00000000000001</v>
      </c>
      <c r="E104" s="1169">
        <f t="shared" si="84"/>
        <v>27.022605356750542</v>
      </c>
      <c r="F104" s="1170">
        <v>1.1205601405559356</v>
      </c>
      <c r="G104" s="1171">
        <v>8.0061087134309172</v>
      </c>
      <c r="H104" s="1172">
        <v>17.895936502763689</v>
      </c>
      <c r="I104" s="1169">
        <f t="shared" si="85"/>
        <v>62.093041264613426</v>
      </c>
      <c r="J104" s="1170">
        <v>29.409729323127188</v>
      </c>
      <c r="K104" s="1171">
        <v>26.624333415477462</v>
      </c>
      <c r="L104" s="1172">
        <v>6.0589785260087767</v>
      </c>
      <c r="M104" s="1173">
        <v>2.5343174888884068</v>
      </c>
      <c r="N104" s="1174">
        <f t="shared" si="86"/>
        <v>1.6714114825846318</v>
      </c>
      <c r="O104" s="1171">
        <v>1.6714114825846318</v>
      </c>
      <c r="P104" s="1172">
        <v>0</v>
      </c>
      <c r="Q104" s="1175">
        <v>6.6786244071630136</v>
      </c>
    </row>
    <row r="105" spans="2:17" x14ac:dyDescent="0.3">
      <c r="B105" s="1176" t="s">
        <v>492</v>
      </c>
      <c r="C105" s="1168" t="s">
        <v>640</v>
      </c>
      <c r="D105" s="1036">
        <f t="shared" si="83"/>
        <v>100.00000000000001</v>
      </c>
      <c r="E105" s="1169">
        <f t="shared" si="84"/>
        <v>27.022605356750542</v>
      </c>
      <c r="F105" s="1170">
        <v>1.1205601405559356</v>
      </c>
      <c r="G105" s="1171">
        <v>8.0061087134309172</v>
      </c>
      <c r="H105" s="1172">
        <v>17.895936502763689</v>
      </c>
      <c r="I105" s="1169">
        <f t="shared" si="85"/>
        <v>62.093041264613426</v>
      </c>
      <c r="J105" s="1170">
        <v>29.409729323127188</v>
      </c>
      <c r="K105" s="1171">
        <v>26.624333415477462</v>
      </c>
      <c r="L105" s="1172">
        <v>6.0589785260087767</v>
      </c>
      <c r="M105" s="1173">
        <v>2.5343174888884068</v>
      </c>
      <c r="N105" s="1174">
        <f t="shared" si="86"/>
        <v>1.6714114825846318</v>
      </c>
      <c r="O105" s="1171">
        <v>1.6714114825846318</v>
      </c>
      <c r="P105" s="1172">
        <v>0</v>
      </c>
      <c r="Q105" s="1175">
        <v>6.6786244071630136</v>
      </c>
    </row>
    <row r="106" spans="2:17" x14ac:dyDescent="0.3">
      <c r="B106" s="1176" t="s">
        <v>641</v>
      </c>
      <c r="C106" s="1168" t="s">
        <v>642</v>
      </c>
      <c r="D106" s="1036">
        <f t="shared" si="83"/>
        <v>100.00000000000001</v>
      </c>
      <c r="E106" s="1169">
        <f t="shared" si="84"/>
        <v>27.022605356750542</v>
      </c>
      <c r="F106" s="1170">
        <v>1.1205601405559356</v>
      </c>
      <c r="G106" s="1171">
        <v>8.0061087134309172</v>
      </c>
      <c r="H106" s="1172">
        <v>17.895936502763689</v>
      </c>
      <c r="I106" s="1169">
        <f t="shared" si="85"/>
        <v>62.093041264613426</v>
      </c>
      <c r="J106" s="1170">
        <v>29.409729323127188</v>
      </c>
      <c r="K106" s="1171">
        <v>26.624333415477462</v>
      </c>
      <c r="L106" s="1172">
        <v>6.0589785260087767</v>
      </c>
      <c r="M106" s="1173">
        <v>2.5343174888884068</v>
      </c>
      <c r="N106" s="1174">
        <f t="shared" si="86"/>
        <v>1.6714114825846318</v>
      </c>
      <c r="O106" s="1171">
        <v>1.6714114825846318</v>
      </c>
      <c r="P106" s="1172">
        <v>0</v>
      </c>
      <c r="Q106" s="1175">
        <v>6.6786244071630136</v>
      </c>
    </row>
    <row r="107" spans="2:17" x14ac:dyDescent="0.3">
      <c r="B107" s="1179" t="s">
        <v>643</v>
      </c>
      <c r="C107" s="1178" t="s">
        <v>644</v>
      </c>
      <c r="D107" s="1036">
        <f t="shared" si="83"/>
        <v>100.00000000000001</v>
      </c>
      <c r="E107" s="1169">
        <f t="shared" si="84"/>
        <v>27.022605356750542</v>
      </c>
      <c r="F107" s="1170">
        <v>1.1205601405559356</v>
      </c>
      <c r="G107" s="1171">
        <v>8.0061087134309172</v>
      </c>
      <c r="H107" s="1172">
        <v>17.895936502763689</v>
      </c>
      <c r="I107" s="1169">
        <f t="shared" si="85"/>
        <v>62.093041264613426</v>
      </c>
      <c r="J107" s="1170">
        <v>29.409729323127188</v>
      </c>
      <c r="K107" s="1171">
        <v>26.624333415477462</v>
      </c>
      <c r="L107" s="1172">
        <v>6.0589785260087767</v>
      </c>
      <c r="M107" s="1173">
        <v>2.5343174888884068</v>
      </c>
      <c r="N107" s="1174">
        <f t="shared" si="86"/>
        <v>1.6714114825846318</v>
      </c>
      <c r="O107" s="1171">
        <v>1.6714114825846318</v>
      </c>
      <c r="P107" s="1172">
        <v>0</v>
      </c>
      <c r="Q107" s="1175">
        <v>6.6786244071630136</v>
      </c>
    </row>
    <row r="108" spans="2:17" x14ac:dyDescent="0.3">
      <c r="B108" s="1177" t="s">
        <v>645</v>
      </c>
      <c r="C108" s="1178" t="s">
        <v>646</v>
      </c>
      <c r="D108" s="1036">
        <f t="shared" si="83"/>
        <v>100.00000000000001</v>
      </c>
      <c r="E108" s="1169">
        <f t="shared" si="84"/>
        <v>27.022605356750542</v>
      </c>
      <c r="F108" s="1170">
        <v>1.1205601405559356</v>
      </c>
      <c r="G108" s="1171">
        <v>8.0061087134309172</v>
      </c>
      <c r="H108" s="1172">
        <v>17.895936502763689</v>
      </c>
      <c r="I108" s="1169">
        <f t="shared" si="85"/>
        <v>62.093041264613426</v>
      </c>
      <c r="J108" s="1170">
        <v>29.409729323127188</v>
      </c>
      <c r="K108" s="1171">
        <v>26.624333415477462</v>
      </c>
      <c r="L108" s="1172">
        <v>6.0589785260087767</v>
      </c>
      <c r="M108" s="1173">
        <v>2.5343174888884068</v>
      </c>
      <c r="N108" s="1174">
        <f t="shared" si="86"/>
        <v>1.6714114825846318</v>
      </c>
      <c r="O108" s="1171">
        <v>1.6714114825846318</v>
      </c>
      <c r="P108" s="1172">
        <v>0</v>
      </c>
      <c r="Q108" s="1175">
        <v>6.6786244071630136</v>
      </c>
    </row>
    <row r="109" spans="2:17" x14ac:dyDescent="0.3">
      <c r="B109" s="1179" t="s">
        <v>647</v>
      </c>
      <c r="C109" s="1178" t="s">
        <v>648</v>
      </c>
      <c r="D109" s="1036">
        <f t="shared" si="83"/>
        <v>100.00000000000001</v>
      </c>
      <c r="E109" s="1169">
        <f t="shared" si="84"/>
        <v>27.022605356750542</v>
      </c>
      <c r="F109" s="1170">
        <v>1.1205601405559356</v>
      </c>
      <c r="G109" s="1171">
        <v>8.0061087134309172</v>
      </c>
      <c r="H109" s="1172">
        <v>17.895936502763689</v>
      </c>
      <c r="I109" s="1169">
        <f t="shared" si="85"/>
        <v>62.093041264613426</v>
      </c>
      <c r="J109" s="1170">
        <v>29.409729323127188</v>
      </c>
      <c r="K109" s="1171">
        <v>26.624333415477462</v>
      </c>
      <c r="L109" s="1172">
        <v>6.0589785260087767</v>
      </c>
      <c r="M109" s="1173">
        <v>2.5343174888884068</v>
      </c>
      <c r="N109" s="1174">
        <f t="shared" si="86"/>
        <v>1.6714114825846318</v>
      </c>
      <c r="O109" s="1171">
        <v>1.6714114825846318</v>
      </c>
      <c r="P109" s="1172">
        <v>0</v>
      </c>
      <c r="Q109" s="1175">
        <v>6.6786244071630136</v>
      </c>
    </row>
    <row r="110" spans="2:17" x14ac:dyDescent="0.3">
      <c r="B110" s="1180" t="s">
        <v>649</v>
      </c>
      <c r="C110" s="1178" t="s">
        <v>650</v>
      </c>
      <c r="D110" s="1036">
        <f t="shared" si="83"/>
        <v>100.00000000000001</v>
      </c>
      <c r="E110" s="1169">
        <f t="shared" si="84"/>
        <v>27.022605356750542</v>
      </c>
      <c r="F110" s="1170">
        <v>1.1205601405559356</v>
      </c>
      <c r="G110" s="1171">
        <v>8.0061087134309172</v>
      </c>
      <c r="H110" s="1172">
        <v>17.895936502763689</v>
      </c>
      <c r="I110" s="1169">
        <f t="shared" si="85"/>
        <v>62.093041264613426</v>
      </c>
      <c r="J110" s="1170">
        <v>29.409729323127188</v>
      </c>
      <c r="K110" s="1171">
        <v>26.624333415477462</v>
      </c>
      <c r="L110" s="1172">
        <v>6.0589785260087767</v>
      </c>
      <c r="M110" s="1173">
        <v>2.5343174888884068</v>
      </c>
      <c r="N110" s="1174">
        <f t="shared" si="86"/>
        <v>1.6714114825846318</v>
      </c>
      <c r="O110" s="1171">
        <v>1.6714114825846318</v>
      </c>
      <c r="P110" s="1172">
        <v>0</v>
      </c>
      <c r="Q110" s="1175">
        <v>6.6786244071630136</v>
      </c>
    </row>
    <row r="111" spans="2:17" x14ac:dyDescent="0.3">
      <c r="B111" s="1181" t="s">
        <v>651</v>
      </c>
      <c r="C111" s="1178" t="s">
        <v>652</v>
      </c>
      <c r="D111" s="1036">
        <f t="shared" si="83"/>
        <v>100.00000000000001</v>
      </c>
      <c r="E111" s="1169">
        <f t="shared" si="84"/>
        <v>27.022605356750542</v>
      </c>
      <c r="F111" s="1170">
        <v>1.1205601405559356</v>
      </c>
      <c r="G111" s="1171">
        <v>8.0061087134309172</v>
      </c>
      <c r="H111" s="1172">
        <v>17.895936502763689</v>
      </c>
      <c r="I111" s="1169">
        <f t="shared" si="85"/>
        <v>62.093041264613426</v>
      </c>
      <c r="J111" s="1170">
        <v>29.409729323127188</v>
      </c>
      <c r="K111" s="1171">
        <v>26.624333415477462</v>
      </c>
      <c r="L111" s="1172">
        <v>6.0589785260087767</v>
      </c>
      <c r="M111" s="1173">
        <v>2.5343174888884068</v>
      </c>
      <c r="N111" s="1174">
        <f t="shared" si="86"/>
        <v>1.6714114825846318</v>
      </c>
      <c r="O111" s="1171">
        <v>1.6714114825846318</v>
      </c>
      <c r="P111" s="1172">
        <v>0</v>
      </c>
      <c r="Q111" s="1175">
        <v>6.6786244071630136</v>
      </c>
    </row>
    <row r="112" spans="2:17" x14ac:dyDescent="0.3">
      <c r="B112" s="1180" t="s">
        <v>653</v>
      </c>
      <c r="C112" s="1178" t="s">
        <v>654</v>
      </c>
      <c r="D112" s="1036">
        <f t="shared" si="83"/>
        <v>100.00000000000001</v>
      </c>
      <c r="E112" s="1169">
        <f t="shared" si="84"/>
        <v>27.022605356750542</v>
      </c>
      <c r="F112" s="1170">
        <v>1.1205601405559356</v>
      </c>
      <c r="G112" s="1171">
        <v>8.0061087134309172</v>
      </c>
      <c r="H112" s="1172">
        <v>17.895936502763689</v>
      </c>
      <c r="I112" s="1169">
        <f t="shared" si="85"/>
        <v>62.093041264613426</v>
      </c>
      <c r="J112" s="1170">
        <v>29.409729323127188</v>
      </c>
      <c r="K112" s="1171">
        <v>26.624333415477462</v>
      </c>
      <c r="L112" s="1172">
        <v>6.0589785260087767</v>
      </c>
      <c r="M112" s="1173">
        <v>2.5343174888884068</v>
      </c>
      <c r="N112" s="1174">
        <f t="shared" si="86"/>
        <v>1.6714114825846318</v>
      </c>
      <c r="O112" s="1171">
        <v>1.6714114825846318</v>
      </c>
      <c r="P112" s="1172">
        <v>0</v>
      </c>
      <c r="Q112" s="1175">
        <v>6.6786244071630136</v>
      </c>
    </row>
    <row r="113" spans="2:18" x14ac:dyDescent="0.3">
      <c r="B113" s="1182" t="s">
        <v>655</v>
      </c>
      <c r="C113" s="1178" t="s">
        <v>656</v>
      </c>
      <c r="D113" s="1036">
        <f t="shared" si="83"/>
        <v>100.00000000000001</v>
      </c>
      <c r="E113" s="1169">
        <f t="shared" si="84"/>
        <v>27.022605356750542</v>
      </c>
      <c r="F113" s="1170">
        <v>1.1205601405559356</v>
      </c>
      <c r="G113" s="1171">
        <v>8.0061087134309172</v>
      </c>
      <c r="H113" s="1172">
        <v>17.895936502763689</v>
      </c>
      <c r="I113" s="1169">
        <f t="shared" si="85"/>
        <v>62.093041264613426</v>
      </c>
      <c r="J113" s="1170">
        <v>29.409729323127188</v>
      </c>
      <c r="K113" s="1171">
        <v>26.624333415477462</v>
      </c>
      <c r="L113" s="1172">
        <v>6.0589785260087767</v>
      </c>
      <c r="M113" s="1173">
        <v>2.5343174888884068</v>
      </c>
      <c r="N113" s="1174">
        <f t="shared" si="86"/>
        <v>1.6714114825846318</v>
      </c>
      <c r="O113" s="1171">
        <v>1.6714114825846318</v>
      </c>
      <c r="P113" s="1172">
        <v>0</v>
      </c>
      <c r="Q113" s="1175">
        <v>6.6786244071630136</v>
      </c>
    </row>
    <row r="114" spans="2:18" x14ac:dyDescent="0.3">
      <c r="B114" s="1181" t="s">
        <v>657</v>
      </c>
      <c r="C114" s="1183" t="s">
        <v>658</v>
      </c>
      <c r="D114" s="1036">
        <f t="shared" si="83"/>
        <v>100.00000000000001</v>
      </c>
      <c r="E114" s="1184">
        <f t="shared" si="84"/>
        <v>27.022605356750542</v>
      </c>
      <c r="F114" s="1185">
        <v>1.1205601405559356</v>
      </c>
      <c r="G114" s="1186">
        <v>8.0061087134309172</v>
      </c>
      <c r="H114" s="1187">
        <v>17.895936502763689</v>
      </c>
      <c r="I114" s="1184">
        <f t="shared" si="85"/>
        <v>62.093041264613426</v>
      </c>
      <c r="J114" s="1185">
        <v>29.409729323127188</v>
      </c>
      <c r="K114" s="1186">
        <v>26.624333415477462</v>
      </c>
      <c r="L114" s="1187">
        <v>6.0589785260087767</v>
      </c>
      <c r="M114" s="1188">
        <v>2.5343174888884068</v>
      </c>
      <c r="N114" s="1189">
        <f t="shared" si="86"/>
        <v>1.6714114825846318</v>
      </c>
      <c r="O114" s="1186">
        <v>1.6714114825846318</v>
      </c>
      <c r="P114" s="1187">
        <v>0</v>
      </c>
      <c r="Q114" s="1190">
        <v>6.6786244071630136</v>
      </c>
    </row>
    <row r="115" spans="2:18" x14ac:dyDescent="0.3">
      <c r="B115" s="1191" t="s">
        <v>659</v>
      </c>
      <c r="C115" s="1192" t="s">
        <v>660</v>
      </c>
      <c r="D115" s="1036">
        <f t="shared" si="83"/>
        <v>100.00000000000001</v>
      </c>
      <c r="E115" s="1193">
        <f t="shared" si="84"/>
        <v>27.022605356750542</v>
      </c>
      <c r="F115" s="1194">
        <v>1.1205601405559356</v>
      </c>
      <c r="G115" s="1195">
        <v>8.0061087134309172</v>
      </c>
      <c r="H115" s="1196">
        <v>17.895936502763689</v>
      </c>
      <c r="I115" s="1197">
        <f t="shared" si="85"/>
        <v>62.093041264613426</v>
      </c>
      <c r="J115" s="1194">
        <v>29.409729323127188</v>
      </c>
      <c r="K115" s="1195">
        <v>26.624333415477462</v>
      </c>
      <c r="L115" s="1196">
        <v>6.0589785260087767</v>
      </c>
      <c r="M115" s="1198">
        <v>2.5343174888884068</v>
      </c>
      <c r="N115" s="1199">
        <f t="shared" si="86"/>
        <v>1.6714114825846318</v>
      </c>
      <c r="O115" s="1195">
        <v>1.6714114825846318</v>
      </c>
      <c r="P115" s="1196">
        <v>0</v>
      </c>
      <c r="Q115" s="1200">
        <v>6.6786244071630136</v>
      </c>
    </row>
    <row r="116" spans="2:18" x14ac:dyDescent="0.3">
      <c r="B116" s="1201" t="s">
        <v>493</v>
      </c>
      <c r="C116" s="1201" t="s">
        <v>661</v>
      </c>
      <c r="D116" s="1202">
        <f t="shared" ref="D116:Q116" si="87">D117+D121+D128+D130+D136+D139</f>
        <v>36.22728789545603</v>
      </c>
      <c r="E116" s="1027">
        <f t="shared" si="87"/>
        <v>10.125647558697924</v>
      </c>
      <c r="F116" s="1028">
        <f t="shared" si="87"/>
        <v>1.0882574905586291</v>
      </c>
      <c r="G116" s="1029">
        <f t="shared" si="87"/>
        <v>3.3281818995529711</v>
      </c>
      <c r="H116" s="1030">
        <f t="shared" si="87"/>
        <v>5.709208168586323</v>
      </c>
      <c r="I116" s="1031">
        <f t="shared" si="87"/>
        <v>19.325730145833639</v>
      </c>
      <c r="J116" s="1028">
        <f t="shared" si="87"/>
        <v>7.2275538010047384</v>
      </c>
      <c r="K116" s="1029">
        <f t="shared" si="87"/>
        <v>9.5325278699390736</v>
      </c>
      <c r="L116" s="1030">
        <f t="shared" si="87"/>
        <v>2.5656484748898247</v>
      </c>
      <c r="M116" s="1032">
        <f t="shared" si="87"/>
        <v>1.0356945164860947</v>
      </c>
      <c r="N116" s="1203">
        <f t="shared" si="87"/>
        <v>3.7871216265341681</v>
      </c>
      <c r="O116" s="1204">
        <f t="shared" si="87"/>
        <v>3.7871216265341681</v>
      </c>
      <c r="P116" s="1205">
        <f t="shared" si="87"/>
        <v>0</v>
      </c>
      <c r="Q116" s="1027">
        <f t="shared" si="87"/>
        <v>1.9530940479042116</v>
      </c>
      <c r="R116" s="618"/>
    </row>
    <row r="117" spans="2:18" x14ac:dyDescent="0.3">
      <c r="B117" s="1061" t="s">
        <v>495</v>
      </c>
      <c r="C117" s="1206" t="s">
        <v>8</v>
      </c>
      <c r="D117" s="1207">
        <f>SUM(D118:D120)</f>
        <v>0</v>
      </c>
      <c r="E117" s="1037">
        <f t="shared" ref="E117:E142" si="88">SUM(F117:H117)</f>
        <v>0</v>
      </c>
      <c r="F117" s="1038">
        <f>SUM(F118:F120)</f>
        <v>0</v>
      </c>
      <c r="G117" s="1039">
        <f>SUM(G118:G120)</f>
        <v>0</v>
      </c>
      <c r="H117" s="1040">
        <f>SUM(H118:H120)</f>
        <v>0</v>
      </c>
      <c r="I117" s="1041">
        <f t="shared" ref="I117:I142" si="89">SUM(J117:L117)</f>
        <v>0</v>
      </c>
      <c r="J117" s="1038">
        <f t="shared" ref="J117:Q117" si="90">SUM(J118:J120)</f>
        <v>0</v>
      </c>
      <c r="K117" s="1039">
        <f t="shared" si="90"/>
        <v>0</v>
      </c>
      <c r="L117" s="1040">
        <f t="shared" si="90"/>
        <v>0</v>
      </c>
      <c r="M117" s="1042">
        <f t="shared" si="90"/>
        <v>0</v>
      </c>
      <c r="N117" s="1208">
        <f t="shared" ref="N117:N142" si="91">SUM(O117:P117)</f>
        <v>0</v>
      </c>
      <c r="O117" s="1209">
        <f t="shared" si="90"/>
        <v>0</v>
      </c>
      <c r="P117" s="1210">
        <f t="shared" si="90"/>
        <v>0</v>
      </c>
      <c r="Q117" s="1037">
        <f t="shared" si="90"/>
        <v>0</v>
      </c>
      <c r="R117" s="618"/>
    </row>
    <row r="118" spans="2:18" x14ac:dyDescent="0.3">
      <c r="B118" s="1059" t="s">
        <v>496</v>
      </c>
      <c r="C118" s="1060" t="s">
        <v>10</v>
      </c>
      <c r="D118" s="1211">
        <v>0</v>
      </c>
      <c r="E118" s="1134">
        <f t="shared" si="88"/>
        <v>0</v>
      </c>
      <c r="F118" s="1046">
        <f t="shared" ref="F118:H120" si="92">IFERROR($D118*F144/100, 0)</f>
        <v>0</v>
      </c>
      <c r="G118" s="1047">
        <f t="shared" si="92"/>
        <v>0</v>
      </c>
      <c r="H118" s="1048">
        <f t="shared" si="92"/>
        <v>0</v>
      </c>
      <c r="I118" s="1135">
        <f t="shared" si="89"/>
        <v>0</v>
      </c>
      <c r="J118" s="1046">
        <f t="shared" ref="J118:M120" si="93">IFERROR($D118*J144/100, 0)</f>
        <v>0</v>
      </c>
      <c r="K118" s="1047">
        <f t="shared" si="93"/>
        <v>0</v>
      </c>
      <c r="L118" s="1048">
        <f t="shared" si="93"/>
        <v>0</v>
      </c>
      <c r="M118" s="1049">
        <f t="shared" si="93"/>
        <v>0</v>
      </c>
      <c r="N118" s="1212">
        <f t="shared" si="91"/>
        <v>0</v>
      </c>
      <c r="O118" s="1213">
        <f t="shared" ref="O118:Q120" si="94">IFERROR($D118*O144/100, 0)</f>
        <v>0</v>
      </c>
      <c r="P118" s="1214">
        <f t="shared" si="94"/>
        <v>0</v>
      </c>
      <c r="Q118" s="1134">
        <f t="shared" si="94"/>
        <v>0</v>
      </c>
    </row>
    <row r="119" spans="2:18" x14ac:dyDescent="0.3">
      <c r="B119" s="1059" t="s">
        <v>662</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x14ac:dyDescent="0.3">
      <c r="B120" s="1059" t="s">
        <v>663</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x14ac:dyDescent="0.3">
      <c r="B121" s="1061" t="s">
        <v>155</v>
      </c>
      <c r="C121" s="1215" t="s">
        <v>15</v>
      </c>
      <c r="D121" s="1207">
        <f>SUM(D122:D127)</f>
        <v>32.354173467303383</v>
      </c>
      <c r="E121" s="1037">
        <f t="shared" si="88"/>
        <v>9.0430991833639638</v>
      </c>
      <c r="F121" s="1038">
        <f>SUM(F122:F127)</f>
        <v>0.97191022767791813</v>
      </c>
      <c r="G121" s="1039">
        <f>SUM(G122:G127)</f>
        <v>2.9723609125700636</v>
      </c>
      <c r="H121" s="1040">
        <f>SUM(H122:H127)</f>
        <v>5.0988280431159811</v>
      </c>
      <c r="I121" s="1041">
        <f t="shared" si="89"/>
        <v>17.259586953486043</v>
      </c>
      <c r="J121" s="1038">
        <f t="shared" ref="J121:Q121" si="95">SUM(J122:J127)</f>
        <v>6.4548450355099813</v>
      </c>
      <c r="K121" s="1039">
        <f t="shared" si="95"/>
        <v>8.5133908222977244</v>
      </c>
      <c r="L121" s="1040">
        <f t="shared" si="95"/>
        <v>2.2913510956783374</v>
      </c>
      <c r="M121" s="1042">
        <f t="shared" si="95"/>
        <v>0.92496684107918081</v>
      </c>
      <c r="N121" s="1208">
        <f t="shared" si="91"/>
        <v>3.3822346955768494</v>
      </c>
      <c r="O121" s="1209">
        <f t="shared" si="95"/>
        <v>3.3822346955768494</v>
      </c>
      <c r="P121" s="1210">
        <f t="shared" si="95"/>
        <v>0</v>
      </c>
      <c r="Q121" s="1037">
        <f t="shared" si="95"/>
        <v>1.7442857937973486</v>
      </c>
      <c r="R121" s="618"/>
    </row>
    <row r="122" spans="2:18" x14ac:dyDescent="0.3">
      <c r="B122" s="1059" t="s">
        <v>498</v>
      </c>
      <c r="C122" s="1060" t="s">
        <v>17</v>
      </c>
      <c r="D122" s="1211">
        <v>32.354173467303383</v>
      </c>
      <c r="E122" s="1134">
        <f t="shared" si="88"/>
        <v>9.0430991833639638</v>
      </c>
      <c r="F122" s="1046">
        <f t="shared" ref="F122:H127" si="96">IFERROR($D122*F147/100, 0)</f>
        <v>0.97191022767791813</v>
      </c>
      <c r="G122" s="1047">
        <f t="shared" si="96"/>
        <v>2.9723609125700636</v>
      </c>
      <c r="H122" s="1048">
        <f t="shared" si="96"/>
        <v>5.0988280431159811</v>
      </c>
      <c r="I122" s="1135">
        <f t="shared" si="89"/>
        <v>17.259586953486043</v>
      </c>
      <c r="J122" s="1046">
        <f t="shared" ref="J122:Q127" si="97">IFERROR($D122*J147/100, 0)</f>
        <v>6.4548450355099813</v>
      </c>
      <c r="K122" s="1047">
        <f t="shared" si="97"/>
        <v>8.5133908222977244</v>
      </c>
      <c r="L122" s="1048">
        <f t="shared" si="97"/>
        <v>2.2913510956783374</v>
      </c>
      <c r="M122" s="1049">
        <f t="shared" si="97"/>
        <v>0.92496684107918081</v>
      </c>
      <c r="N122" s="1212">
        <f t="shared" si="91"/>
        <v>3.3822346955768494</v>
      </c>
      <c r="O122" s="1213">
        <f t="shared" ref="O122:Q126" si="98">IFERROR($D122*O147/100, 0)</f>
        <v>3.3822346955768494</v>
      </c>
      <c r="P122" s="1214">
        <f t="shared" si="98"/>
        <v>0</v>
      </c>
      <c r="Q122" s="1134">
        <f t="shared" si="98"/>
        <v>1.7442857937973486</v>
      </c>
    </row>
    <row r="123" spans="2:18" x14ac:dyDescent="0.3">
      <c r="B123" s="1059" t="s">
        <v>500</v>
      </c>
      <c r="C123" s="1060" t="s">
        <v>598</v>
      </c>
      <c r="D123" s="1211">
        <v>0</v>
      </c>
      <c r="E123" s="1134">
        <f t="shared" si="88"/>
        <v>0</v>
      </c>
      <c r="F123" s="1046">
        <f t="shared" si="96"/>
        <v>0</v>
      </c>
      <c r="G123" s="1047">
        <f t="shared" si="96"/>
        <v>0</v>
      </c>
      <c r="H123" s="1048">
        <f t="shared" si="96"/>
        <v>0</v>
      </c>
      <c r="I123" s="1135">
        <f t="shared" si="89"/>
        <v>0</v>
      </c>
      <c r="J123" s="1046">
        <f t="shared" si="97"/>
        <v>0</v>
      </c>
      <c r="K123" s="1047">
        <f t="shared" si="97"/>
        <v>0</v>
      </c>
      <c r="L123" s="1048">
        <f t="shared" si="97"/>
        <v>0</v>
      </c>
      <c r="M123" s="1049">
        <f t="shared" si="97"/>
        <v>0</v>
      </c>
      <c r="N123" s="1212">
        <f t="shared" si="91"/>
        <v>0</v>
      </c>
      <c r="O123" s="1213">
        <f t="shared" si="98"/>
        <v>0</v>
      </c>
      <c r="P123" s="1214">
        <f t="shared" si="98"/>
        <v>0</v>
      </c>
      <c r="Q123" s="1134">
        <f t="shared" si="98"/>
        <v>0</v>
      </c>
    </row>
    <row r="124" spans="2:18" x14ac:dyDescent="0.3">
      <c r="B124" s="1059" t="s">
        <v>664</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x14ac:dyDescent="0.3">
      <c r="B125" s="1059" t="s">
        <v>665</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x14ac:dyDescent="0.3">
      <c r="B126" s="1059" t="s">
        <v>666</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x14ac:dyDescent="0.3">
      <c r="B127" s="1044" t="s">
        <v>667</v>
      </c>
      <c r="C127" s="1045" t="s">
        <v>668</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x14ac:dyDescent="0.3">
      <c r="B128" s="1034" t="s">
        <v>157</v>
      </c>
      <c r="C128" s="1216" t="s">
        <v>31</v>
      </c>
      <c r="D128" s="1207">
        <f>D129</f>
        <v>3.8731144281526495</v>
      </c>
      <c r="E128" s="1037">
        <f t="shared" si="88"/>
        <v>1.0825483753339604</v>
      </c>
      <c r="F128" s="1038">
        <f>F129</f>
        <v>0.11634726288071098</v>
      </c>
      <c r="G128" s="1039">
        <f>G129</f>
        <v>0.35582098698290748</v>
      </c>
      <c r="H128" s="1040">
        <f>H129</f>
        <v>0.61038012547034182</v>
      </c>
      <c r="I128" s="1041">
        <f t="shared" si="89"/>
        <v>2.0661431923475941</v>
      </c>
      <c r="J128" s="1038">
        <f t="shared" ref="J128:Q128" si="99">J129</f>
        <v>0.77270876549475676</v>
      </c>
      <c r="K128" s="1039">
        <f t="shared" si="99"/>
        <v>1.0191370476413499</v>
      </c>
      <c r="L128" s="1040">
        <f t="shared" si="99"/>
        <v>0.27429737921148711</v>
      </c>
      <c r="M128" s="1042">
        <f t="shared" si="99"/>
        <v>0.11072767540691388</v>
      </c>
      <c r="N128" s="1208">
        <f t="shared" si="91"/>
        <v>0.40488693095731881</v>
      </c>
      <c r="O128" s="1209">
        <f t="shared" si="99"/>
        <v>0.40488693095731881</v>
      </c>
      <c r="P128" s="1210">
        <f t="shared" si="99"/>
        <v>0</v>
      </c>
      <c r="Q128" s="1037">
        <f t="shared" si="99"/>
        <v>0.20880825410686296</v>
      </c>
      <c r="R128" s="618"/>
    </row>
    <row r="129" spans="2:18" x14ac:dyDescent="0.3">
      <c r="B129" s="1044" t="s">
        <v>501</v>
      </c>
      <c r="C129" s="1217" t="s">
        <v>669</v>
      </c>
      <c r="D129" s="1211">
        <v>3.8731144281526495</v>
      </c>
      <c r="E129" s="1134">
        <f t="shared" si="88"/>
        <v>1.0825483753339604</v>
      </c>
      <c r="F129" s="1046">
        <f>IFERROR($D129*F153/100, 0)</f>
        <v>0.11634726288071098</v>
      </c>
      <c r="G129" s="1047">
        <f>IFERROR($D129*G153/100, 0)</f>
        <v>0.35582098698290748</v>
      </c>
      <c r="H129" s="1048">
        <f>IFERROR($D129*H153/100, 0)</f>
        <v>0.61038012547034182</v>
      </c>
      <c r="I129" s="1135">
        <f t="shared" si="89"/>
        <v>2.0661431923475941</v>
      </c>
      <c r="J129" s="1046">
        <f t="shared" ref="J129:Q129" si="100">IFERROR($D129*J153/100, 0)</f>
        <v>0.77270876549475676</v>
      </c>
      <c r="K129" s="1047">
        <f t="shared" si="100"/>
        <v>1.0191370476413499</v>
      </c>
      <c r="L129" s="1048">
        <f t="shared" si="100"/>
        <v>0.27429737921148711</v>
      </c>
      <c r="M129" s="1049">
        <f t="shared" si="100"/>
        <v>0.11072767540691388</v>
      </c>
      <c r="N129" s="1212">
        <f t="shared" si="91"/>
        <v>0.40488693095731881</v>
      </c>
      <c r="O129" s="1213">
        <f t="shared" si="100"/>
        <v>0.40488693095731881</v>
      </c>
      <c r="P129" s="1214">
        <f t="shared" si="100"/>
        <v>0</v>
      </c>
      <c r="Q129" s="1134">
        <f t="shared" si="100"/>
        <v>0.20880825410686296</v>
      </c>
    </row>
    <row r="130" spans="2:18" x14ac:dyDescent="0.3">
      <c r="B130" s="1034" t="s">
        <v>159</v>
      </c>
      <c r="C130" s="1216" t="s">
        <v>37</v>
      </c>
      <c r="D130" s="1207">
        <f>D131+D135</f>
        <v>0</v>
      </c>
      <c r="E130" s="1037">
        <f t="shared" si="88"/>
        <v>0</v>
      </c>
      <c r="F130" s="1038">
        <f>F131+F135</f>
        <v>0</v>
      </c>
      <c r="G130" s="1039">
        <f>G131+G135</f>
        <v>0</v>
      </c>
      <c r="H130" s="1040">
        <f>H131+H135</f>
        <v>0</v>
      </c>
      <c r="I130" s="1041">
        <f t="shared" si="89"/>
        <v>0</v>
      </c>
      <c r="J130" s="1038">
        <f t="shared" ref="J130:Q130" si="101">J131+J135</f>
        <v>0</v>
      </c>
      <c r="K130" s="1039">
        <f t="shared" si="101"/>
        <v>0</v>
      </c>
      <c r="L130" s="1040">
        <f t="shared" si="101"/>
        <v>0</v>
      </c>
      <c r="M130" s="1042">
        <f t="shared" si="101"/>
        <v>0</v>
      </c>
      <c r="N130" s="1208">
        <f t="shared" si="91"/>
        <v>0</v>
      </c>
      <c r="O130" s="1209">
        <f t="shared" si="101"/>
        <v>0</v>
      </c>
      <c r="P130" s="1210">
        <f t="shared" si="101"/>
        <v>0</v>
      </c>
      <c r="Q130" s="1037">
        <f t="shared" si="101"/>
        <v>0</v>
      </c>
      <c r="R130" s="618"/>
    </row>
    <row r="131" spans="2:18" x14ac:dyDescent="0.3">
      <c r="B131" s="1044" t="s">
        <v>502</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x14ac:dyDescent="0.3">
      <c r="B132" s="1059" t="s">
        <v>503</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x14ac:dyDescent="0.3">
      <c r="B133" s="1059" t="s">
        <v>504</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7" x14ac:dyDescent="0.3">
      <c r="B134" s="1059" t="s">
        <v>505</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7" x14ac:dyDescent="0.3">
      <c r="B135" s="1044" t="s">
        <v>506</v>
      </c>
      <c r="C135" s="1137" t="s">
        <v>608</v>
      </c>
      <c r="D135" s="1211">
        <v>0</v>
      </c>
      <c r="E135" s="1134">
        <f t="shared" si="88"/>
        <v>0</v>
      </c>
      <c r="F135" s="1046">
        <f t="shared" si="103"/>
        <v>0</v>
      </c>
      <c r="G135" s="1047">
        <f t="shared" si="103"/>
        <v>0</v>
      </c>
      <c r="H135" s="1048">
        <f t="shared" si="103"/>
        <v>0</v>
      </c>
      <c r="I135" s="1135">
        <f t="shared" si="89"/>
        <v>0</v>
      </c>
      <c r="J135" s="1046">
        <f t="shared" si="105"/>
        <v>0</v>
      </c>
      <c r="K135" s="1047">
        <f t="shared" si="105"/>
        <v>0</v>
      </c>
      <c r="L135" s="1048">
        <f t="shared" si="105"/>
        <v>0</v>
      </c>
      <c r="M135" s="1049">
        <f t="shared" si="105"/>
        <v>0</v>
      </c>
      <c r="N135" s="1212">
        <f t="shared" si="91"/>
        <v>0</v>
      </c>
      <c r="O135" s="1213">
        <f t="shared" si="107"/>
        <v>0</v>
      </c>
      <c r="P135" s="1214">
        <f t="shared" si="107"/>
        <v>0</v>
      </c>
      <c r="Q135" s="1134">
        <f t="shared" si="107"/>
        <v>0</v>
      </c>
    </row>
    <row r="136" spans="2:18" x14ac:dyDescent="0.3">
      <c r="B136" s="1034" t="s">
        <v>161</v>
      </c>
      <c r="C136" s="1076" t="s">
        <v>53</v>
      </c>
      <c r="D136" s="1218">
        <f>D137+D138</f>
        <v>0</v>
      </c>
      <c r="E136" s="1077">
        <f t="shared" si="88"/>
        <v>0</v>
      </c>
      <c r="F136" s="1078">
        <f>F137+F138</f>
        <v>0</v>
      </c>
      <c r="G136" s="1079">
        <f>G137+G138</f>
        <v>0</v>
      </c>
      <c r="H136" s="1080">
        <f>H137+H138</f>
        <v>0</v>
      </c>
      <c r="I136" s="1081">
        <f t="shared" si="89"/>
        <v>0</v>
      </c>
      <c r="J136" s="1078">
        <f t="shared" ref="J136:Q136" si="108">J137+J138</f>
        <v>0</v>
      </c>
      <c r="K136" s="1079">
        <f t="shared" si="108"/>
        <v>0</v>
      </c>
      <c r="L136" s="1080">
        <f t="shared" si="108"/>
        <v>0</v>
      </c>
      <c r="M136" s="1082">
        <f t="shared" si="108"/>
        <v>0</v>
      </c>
      <c r="N136" s="1174">
        <f t="shared" si="91"/>
        <v>0</v>
      </c>
      <c r="O136" s="1219">
        <f t="shared" si="108"/>
        <v>0</v>
      </c>
      <c r="P136" s="1220">
        <f t="shared" si="108"/>
        <v>0</v>
      </c>
      <c r="Q136" s="1077">
        <f t="shared" si="108"/>
        <v>0</v>
      </c>
      <c r="R136" s="618"/>
    </row>
    <row r="137" spans="2:18" x14ac:dyDescent="0.3">
      <c r="B137" s="1084" t="s">
        <v>670</v>
      </c>
      <c r="C137" s="1085" t="s">
        <v>55</v>
      </c>
      <c r="D137" s="1221">
        <v>0</v>
      </c>
      <c r="E137" s="1134">
        <f t="shared" si="88"/>
        <v>0</v>
      </c>
      <c r="F137" s="1046">
        <f t="shared" ref="F137:H138" si="109">IFERROR($D137*F159/100, 0)</f>
        <v>0</v>
      </c>
      <c r="G137" s="1047">
        <f t="shared" si="109"/>
        <v>0</v>
      </c>
      <c r="H137" s="1048">
        <f t="shared" si="109"/>
        <v>0</v>
      </c>
      <c r="I137" s="1135">
        <f t="shared" si="89"/>
        <v>0</v>
      </c>
      <c r="J137" s="1046">
        <f t="shared" ref="J137:M138" si="110">IFERROR($D137*J159/100, 0)</f>
        <v>0</v>
      </c>
      <c r="K137" s="1047">
        <f t="shared" si="110"/>
        <v>0</v>
      </c>
      <c r="L137" s="1048">
        <f t="shared" si="110"/>
        <v>0</v>
      </c>
      <c r="M137" s="1049">
        <f t="shared" si="110"/>
        <v>0</v>
      </c>
      <c r="N137" s="1212">
        <f t="shared" si="91"/>
        <v>0</v>
      </c>
      <c r="O137" s="1213">
        <f t="shared" ref="O137:Q138" si="111">IFERROR($D137*O159/100, 0)</f>
        <v>0</v>
      </c>
      <c r="P137" s="1214">
        <f t="shared" si="111"/>
        <v>0</v>
      </c>
      <c r="Q137" s="1134">
        <f t="shared" si="111"/>
        <v>0</v>
      </c>
    </row>
    <row r="138" spans="2:18" x14ac:dyDescent="0.3">
      <c r="B138" s="1084" t="s">
        <v>671</v>
      </c>
      <c r="C138" s="1094" t="s">
        <v>672</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x14ac:dyDescent="0.3">
      <c r="B139" s="1099" t="s">
        <v>163</v>
      </c>
      <c r="C139" s="1100" t="s">
        <v>609</v>
      </c>
      <c r="D139" s="1218">
        <f>SUM(D140:D142)</f>
        <v>0</v>
      </c>
      <c r="E139" s="1077">
        <f t="shared" si="88"/>
        <v>0</v>
      </c>
      <c r="F139" s="1078">
        <f>F140+F141+F142</f>
        <v>0</v>
      </c>
      <c r="G139" s="1079">
        <f>G140+G141+G142</f>
        <v>0</v>
      </c>
      <c r="H139" s="1080">
        <f>H140+H141+H142</f>
        <v>0</v>
      </c>
      <c r="I139" s="1081">
        <f t="shared" si="89"/>
        <v>0</v>
      </c>
      <c r="J139" s="1078">
        <f t="shared" ref="J139:Q139" si="112">J140+J141+J142</f>
        <v>0</v>
      </c>
      <c r="K139" s="1079">
        <f t="shared" si="112"/>
        <v>0</v>
      </c>
      <c r="L139" s="1080">
        <f t="shared" si="112"/>
        <v>0</v>
      </c>
      <c r="M139" s="1082">
        <f t="shared" si="112"/>
        <v>0</v>
      </c>
      <c r="N139" s="1174">
        <f t="shared" si="91"/>
        <v>0</v>
      </c>
      <c r="O139" s="1222">
        <f t="shared" ref="O139:P139" si="113">SUM(O140:O142)</f>
        <v>0</v>
      </c>
      <c r="P139" s="1223">
        <f t="shared" si="113"/>
        <v>0</v>
      </c>
      <c r="Q139" s="1077">
        <f t="shared" si="112"/>
        <v>0</v>
      </c>
      <c r="R139" s="618"/>
    </row>
    <row r="140" spans="2:18" x14ac:dyDescent="0.3">
      <c r="B140" s="1101" t="s">
        <v>507</v>
      </c>
      <c r="C140" s="1102" t="s">
        <v>1368</v>
      </c>
      <c r="D140" s="1224">
        <v>0</v>
      </c>
      <c r="E140" s="1134">
        <f t="shared" si="88"/>
        <v>0</v>
      </c>
      <c r="F140" s="1046">
        <f t="shared" ref="F140:H142" si="114">IFERROR($D140*F161/100, 0)</f>
        <v>0</v>
      </c>
      <c r="G140" s="1047">
        <f t="shared" si="114"/>
        <v>0</v>
      </c>
      <c r="H140" s="1048">
        <f t="shared" si="114"/>
        <v>0</v>
      </c>
      <c r="I140" s="1135">
        <f t="shared" si="89"/>
        <v>0</v>
      </c>
      <c r="J140" s="1046">
        <f t="shared" ref="J140:M142" si="115">IFERROR($D140*J161/100, 0)</f>
        <v>0</v>
      </c>
      <c r="K140" s="1047">
        <f t="shared" si="115"/>
        <v>0</v>
      </c>
      <c r="L140" s="1048">
        <f t="shared" si="115"/>
        <v>0</v>
      </c>
      <c r="M140" s="1049">
        <f t="shared" si="115"/>
        <v>0</v>
      </c>
      <c r="N140" s="1212">
        <f t="shared" si="91"/>
        <v>0</v>
      </c>
      <c r="O140" s="1213">
        <f t="shared" ref="O140:Q142" si="116">IFERROR($D140*O161/100, 0)</f>
        <v>0</v>
      </c>
      <c r="P140" s="1214">
        <f t="shared" si="116"/>
        <v>0</v>
      </c>
      <c r="Q140" s="1134">
        <f t="shared" si="116"/>
        <v>0</v>
      </c>
    </row>
    <row r="141" spans="2:18" x14ac:dyDescent="0.3">
      <c r="B141" s="1084" t="s">
        <v>508</v>
      </c>
      <c r="C141" s="1102" t="s">
        <v>49</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x14ac:dyDescent="0.3">
      <c r="B142" s="1149" t="s">
        <v>509</v>
      </c>
      <c r="C142" s="1102">
        <v>0</v>
      </c>
      <c r="D142" s="1211">
        <v>0</v>
      </c>
      <c r="E142" s="1134">
        <f t="shared" si="88"/>
        <v>0</v>
      </c>
      <c r="F142" s="1046">
        <f t="shared" si="114"/>
        <v>0</v>
      </c>
      <c r="G142" s="1047">
        <f t="shared" si="114"/>
        <v>0</v>
      </c>
      <c r="H142" s="1048">
        <f t="shared" si="114"/>
        <v>0</v>
      </c>
      <c r="I142" s="1135">
        <f t="shared" si="89"/>
        <v>0</v>
      </c>
      <c r="J142" s="1046">
        <f t="shared" si="115"/>
        <v>0</v>
      </c>
      <c r="K142" s="1047">
        <f t="shared" si="115"/>
        <v>0</v>
      </c>
      <c r="L142" s="1048">
        <f t="shared" si="115"/>
        <v>0</v>
      </c>
      <c r="M142" s="1049">
        <f t="shared" si="115"/>
        <v>0</v>
      </c>
      <c r="N142" s="1212">
        <f t="shared" si="91"/>
        <v>0</v>
      </c>
      <c r="O142" s="1213">
        <f t="shared" si="116"/>
        <v>0</v>
      </c>
      <c r="P142" s="1214">
        <f t="shared" si="116"/>
        <v>0</v>
      </c>
      <c r="Q142" s="1134">
        <f t="shared" si="116"/>
        <v>0</v>
      </c>
    </row>
    <row r="143" spans="2:18" ht="74.25" customHeight="1" x14ac:dyDescent="0.3">
      <c r="B143" s="1011" t="s">
        <v>197</v>
      </c>
      <c r="C143" s="1018" t="s">
        <v>673</v>
      </c>
      <c r="D143" s="1225"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1041</v>
      </c>
    </row>
    <row r="144" spans="2:18" x14ac:dyDescent="0.3">
      <c r="B144" s="1226" t="s">
        <v>199</v>
      </c>
      <c r="C144" s="1227" t="s">
        <v>674</v>
      </c>
      <c r="D144" s="1053">
        <f t="shared" ref="D144:D164" si="117">E144+I144+M144+N144+Q144</f>
        <v>100.00000000000001</v>
      </c>
      <c r="E144" s="1228">
        <f t="shared" ref="E144:E164" si="118">SUM(F144:H144)</f>
        <v>27.950332875920246</v>
      </c>
      <c r="F144" s="1161">
        <v>3.0039717400295056</v>
      </c>
      <c r="G144" s="1162">
        <v>9.1869474445820245</v>
      </c>
      <c r="H144" s="1163">
        <v>15.759413691308714</v>
      </c>
      <c r="I144" s="1160">
        <f t="shared" ref="I144:I164" si="119">SUM(J144:L144)</f>
        <v>53.345782332929353</v>
      </c>
      <c r="J144" s="1161">
        <v>19.950579303264064</v>
      </c>
      <c r="K144" s="1162">
        <v>26.31311484715016</v>
      </c>
      <c r="L144" s="1163">
        <v>7.0820881825151272</v>
      </c>
      <c r="M144" s="1164">
        <v>2.8588795260492059</v>
      </c>
      <c r="N144" s="1165">
        <f>SUM(O144:P144)</f>
        <v>10.453781794162916</v>
      </c>
      <c r="O144" s="1162">
        <v>10.453781794162916</v>
      </c>
      <c r="P144" s="1163">
        <v>0</v>
      </c>
      <c r="Q144" s="1166">
        <v>5.3912234709382894</v>
      </c>
      <c r="R144" s="33"/>
    </row>
    <row r="145" spans="2:17" x14ac:dyDescent="0.3">
      <c r="B145" s="1177" t="s">
        <v>201</v>
      </c>
      <c r="C145" s="1178" t="s">
        <v>675</v>
      </c>
      <c r="D145" s="1053">
        <f t="shared" si="117"/>
        <v>100.00000000000001</v>
      </c>
      <c r="E145" s="1229">
        <f t="shared" si="118"/>
        <v>27.950332875920246</v>
      </c>
      <c r="F145" s="1170">
        <v>3.0039717400295056</v>
      </c>
      <c r="G145" s="1171">
        <v>9.1869474445820245</v>
      </c>
      <c r="H145" s="1172">
        <v>15.759413691308714</v>
      </c>
      <c r="I145" s="1169">
        <f t="shared" si="119"/>
        <v>53.345782332929353</v>
      </c>
      <c r="J145" s="1170">
        <v>19.950579303264064</v>
      </c>
      <c r="K145" s="1171">
        <v>26.31311484715016</v>
      </c>
      <c r="L145" s="1172">
        <v>7.0820881825151272</v>
      </c>
      <c r="M145" s="1173">
        <v>2.8588795260492059</v>
      </c>
      <c r="N145" s="1174">
        <f t="shared" ref="N145:N163" si="120">SUM(O145:P145)</f>
        <v>10.453781794162916</v>
      </c>
      <c r="O145" s="1171">
        <v>10.453781794162916</v>
      </c>
      <c r="P145" s="1172">
        <v>0</v>
      </c>
      <c r="Q145" s="1175">
        <v>5.3912234709382894</v>
      </c>
    </row>
    <row r="146" spans="2:17" x14ac:dyDescent="0.3">
      <c r="B146" s="1177" t="s">
        <v>209</v>
      </c>
      <c r="C146" s="1178" t="s">
        <v>676</v>
      </c>
      <c r="D146" s="1053">
        <f t="shared" si="117"/>
        <v>100.00000000000001</v>
      </c>
      <c r="E146" s="1229">
        <f t="shared" si="118"/>
        <v>27.950332875920246</v>
      </c>
      <c r="F146" s="1170">
        <v>3.0039717400295056</v>
      </c>
      <c r="G146" s="1171">
        <v>9.1869474445820245</v>
      </c>
      <c r="H146" s="1172">
        <v>15.759413691308714</v>
      </c>
      <c r="I146" s="1169">
        <f t="shared" si="119"/>
        <v>53.345782332929353</v>
      </c>
      <c r="J146" s="1170">
        <v>19.950579303264064</v>
      </c>
      <c r="K146" s="1171">
        <v>26.31311484715016</v>
      </c>
      <c r="L146" s="1172">
        <v>7.0820881825151272</v>
      </c>
      <c r="M146" s="1173">
        <v>2.8588795260492059</v>
      </c>
      <c r="N146" s="1174">
        <f t="shared" si="120"/>
        <v>10.453781794162916</v>
      </c>
      <c r="O146" s="1171">
        <v>10.453781794162916</v>
      </c>
      <c r="P146" s="1172">
        <v>0</v>
      </c>
      <c r="Q146" s="1175">
        <v>5.3912234709382894</v>
      </c>
    </row>
    <row r="147" spans="2:17" x14ac:dyDescent="0.3">
      <c r="B147" s="1179" t="s">
        <v>677</v>
      </c>
      <c r="C147" s="1178" t="s">
        <v>1042</v>
      </c>
      <c r="D147" s="1053">
        <f t="shared" si="117"/>
        <v>100.00000000000001</v>
      </c>
      <c r="E147" s="1229">
        <f t="shared" si="118"/>
        <v>27.950332875920246</v>
      </c>
      <c r="F147" s="1170">
        <v>3.0039717400295056</v>
      </c>
      <c r="G147" s="1171">
        <v>9.1869474445820245</v>
      </c>
      <c r="H147" s="1172">
        <v>15.759413691308714</v>
      </c>
      <c r="I147" s="1169">
        <f t="shared" si="119"/>
        <v>53.345782332929353</v>
      </c>
      <c r="J147" s="1170">
        <v>19.950579303264064</v>
      </c>
      <c r="K147" s="1171">
        <v>26.31311484715016</v>
      </c>
      <c r="L147" s="1172">
        <v>7.0820881825151272</v>
      </c>
      <c r="M147" s="1173">
        <v>2.8588795260492059</v>
      </c>
      <c r="N147" s="1174">
        <f t="shared" si="120"/>
        <v>10.453781794162916</v>
      </c>
      <c r="O147" s="1171">
        <v>10.453781794162916</v>
      </c>
      <c r="P147" s="1172">
        <v>0</v>
      </c>
      <c r="Q147" s="1175">
        <v>5.3912234709382894</v>
      </c>
    </row>
    <row r="148" spans="2:17" x14ac:dyDescent="0.3">
      <c r="B148" s="1177" t="s">
        <v>679</v>
      </c>
      <c r="C148" s="1178" t="s">
        <v>680</v>
      </c>
      <c r="D148" s="1053">
        <f t="shared" si="117"/>
        <v>100.00000000000001</v>
      </c>
      <c r="E148" s="1229">
        <f t="shared" si="118"/>
        <v>27.950332875920246</v>
      </c>
      <c r="F148" s="1170">
        <v>3.0039717400295056</v>
      </c>
      <c r="G148" s="1171">
        <v>9.1869474445820245</v>
      </c>
      <c r="H148" s="1172">
        <v>15.759413691308714</v>
      </c>
      <c r="I148" s="1169">
        <f t="shared" si="119"/>
        <v>53.345782332929353</v>
      </c>
      <c r="J148" s="1170">
        <v>19.950579303264064</v>
      </c>
      <c r="K148" s="1171">
        <v>26.31311484715016</v>
      </c>
      <c r="L148" s="1172">
        <v>7.0820881825151272</v>
      </c>
      <c r="M148" s="1173">
        <v>2.8588795260492059</v>
      </c>
      <c r="N148" s="1174">
        <f t="shared" si="120"/>
        <v>10.453781794162916</v>
      </c>
      <c r="O148" s="1171">
        <v>10.453781794162916</v>
      </c>
      <c r="P148" s="1172">
        <v>0</v>
      </c>
      <c r="Q148" s="1175">
        <v>5.3912234709382894</v>
      </c>
    </row>
    <row r="149" spans="2:17" x14ac:dyDescent="0.3">
      <c r="B149" s="1177" t="s">
        <v>681</v>
      </c>
      <c r="C149" s="1178" t="s">
        <v>1043</v>
      </c>
      <c r="D149" s="1053">
        <f t="shared" si="117"/>
        <v>100.00000000000001</v>
      </c>
      <c r="E149" s="1229">
        <f t="shared" si="118"/>
        <v>27.950332875920246</v>
      </c>
      <c r="F149" s="1170">
        <v>3.0039717400295056</v>
      </c>
      <c r="G149" s="1171">
        <v>9.1869474445820245</v>
      </c>
      <c r="H149" s="1172">
        <v>15.759413691308714</v>
      </c>
      <c r="I149" s="1169">
        <f t="shared" si="119"/>
        <v>53.345782332929353</v>
      </c>
      <c r="J149" s="1170">
        <v>19.950579303264064</v>
      </c>
      <c r="K149" s="1171">
        <v>26.31311484715016</v>
      </c>
      <c r="L149" s="1172">
        <v>7.0820881825151272</v>
      </c>
      <c r="M149" s="1173">
        <v>2.8588795260492059</v>
      </c>
      <c r="N149" s="1174">
        <f t="shared" si="120"/>
        <v>10.453781794162916</v>
      </c>
      <c r="O149" s="1171">
        <v>10.453781794162916</v>
      </c>
      <c r="P149" s="1172">
        <v>0</v>
      </c>
      <c r="Q149" s="1175">
        <v>5.3912234709382894</v>
      </c>
    </row>
    <row r="150" spans="2:17" x14ac:dyDescent="0.3">
      <c r="B150" s="1177" t="s">
        <v>683</v>
      </c>
      <c r="C150" s="1230" t="s">
        <v>1044</v>
      </c>
      <c r="D150" s="1053">
        <f t="shared" si="117"/>
        <v>100.00000000000001</v>
      </c>
      <c r="E150" s="1229">
        <f t="shared" si="118"/>
        <v>27.950332875920246</v>
      </c>
      <c r="F150" s="1170">
        <v>3.0039717400295056</v>
      </c>
      <c r="G150" s="1171">
        <v>9.1869474445820245</v>
      </c>
      <c r="H150" s="1172">
        <v>15.759413691308714</v>
      </c>
      <c r="I150" s="1169">
        <f t="shared" si="119"/>
        <v>53.345782332929353</v>
      </c>
      <c r="J150" s="1170">
        <v>19.950579303264064</v>
      </c>
      <c r="K150" s="1171">
        <v>26.31311484715016</v>
      </c>
      <c r="L150" s="1172">
        <v>7.0820881825151272</v>
      </c>
      <c r="M150" s="1173">
        <v>2.8588795260492059</v>
      </c>
      <c r="N150" s="1174">
        <f t="shared" si="120"/>
        <v>10.453781794162916</v>
      </c>
      <c r="O150" s="1171">
        <v>10.453781794162916</v>
      </c>
      <c r="P150" s="1172">
        <v>0</v>
      </c>
      <c r="Q150" s="1175">
        <v>5.3912234709382894</v>
      </c>
    </row>
    <row r="151" spans="2:17" x14ac:dyDescent="0.3">
      <c r="B151" s="1177" t="s">
        <v>685</v>
      </c>
      <c r="C151" s="1230" t="s">
        <v>1045</v>
      </c>
      <c r="D151" s="1053">
        <f t="shared" si="117"/>
        <v>100.00000000000001</v>
      </c>
      <c r="E151" s="1229">
        <f t="shared" si="118"/>
        <v>27.950332875920246</v>
      </c>
      <c r="F151" s="1170">
        <v>3.0039717400295056</v>
      </c>
      <c r="G151" s="1171">
        <v>9.1869474445820245</v>
      </c>
      <c r="H151" s="1172">
        <v>15.759413691308714</v>
      </c>
      <c r="I151" s="1169">
        <f t="shared" si="119"/>
        <v>53.345782332929353</v>
      </c>
      <c r="J151" s="1170">
        <v>19.950579303264064</v>
      </c>
      <c r="K151" s="1171">
        <v>26.31311484715016</v>
      </c>
      <c r="L151" s="1172">
        <v>7.0820881825151272</v>
      </c>
      <c r="M151" s="1173">
        <v>2.8588795260492059</v>
      </c>
      <c r="N151" s="1174">
        <f t="shared" si="120"/>
        <v>10.453781794162916</v>
      </c>
      <c r="O151" s="1171">
        <v>10.453781794162916</v>
      </c>
      <c r="P151" s="1172">
        <v>0</v>
      </c>
      <c r="Q151" s="1175">
        <v>5.3912234709382894</v>
      </c>
    </row>
    <row r="152" spans="2:17" x14ac:dyDescent="0.3">
      <c r="B152" s="1179" t="s">
        <v>687</v>
      </c>
      <c r="C152" s="1178" t="s">
        <v>1046</v>
      </c>
      <c r="D152" s="1053">
        <f t="shared" si="117"/>
        <v>100.00000000000001</v>
      </c>
      <c r="E152" s="1229">
        <f t="shared" si="118"/>
        <v>27.950332875920246</v>
      </c>
      <c r="F152" s="1170">
        <v>3.0039717400295056</v>
      </c>
      <c r="G152" s="1171">
        <v>9.1869474445820245</v>
      </c>
      <c r="H152" s="1172">
        <v>15.759413691308714</v>
      </c>
      <c r="I152" s="1169">
        <f t="shared" si="119"/>
        <v>53.345782332929353</v>
      </c>
      <c r="J152" s="1170">
        <v>19.950579303264064</v>
      </c>
      <c r="K152" s="1171">
        <v>26.31311484715016</v>
      </c>
      <c r="L152" s="1172">
        <v>7.0820881825151272</v>
      </c>
      <c r="M152" s="1173">
        <v>2.8588795260492059</v>
      </c>
      <c r="N152" s="1174">
        <f t="shared" si="120"/>
        <v>10.453781794162916</v>
      </c>
      <c r="O152" s="1171">
        <v>10.453781794162916</v>
      </c>
      <c r="P152" s="1172">
        <v>0</v>
      </c>
      <c r="Q152" s="1175">
        <v>5.3912234709382894</v>
      </c>
    </row>
    <row r="153" spans="2:17" x14ac:dyDescent="0.3">
      <c r="B153" s="1179" t="s">
        <v>689</v>
      </c>
      <c r="C153" s="1178" t="s">
        <v>690</v>
      </c>
      <c r="D153" s="1053">
        <f t="shared" si="117"/>
        <v>100.00000000000001</v>
      </c>
      <c r="E153" s="1229">
        <f t="shared" si="118"/>
        <v>27.950332875920246</v>
      </c>
      <c r="F153" s="1170">
        <v>3.0039717400295056</v>
      </c>
      <c r="G153" s="1171">
        <v>9.1869474445820245</v>
      </c>
      <c r="H153" s="1172">
        <v>15.759413691308714</v>
      </c>
      <c r="I153" s="1169">
        <f t="shared" si="119"/>
        <v>53.345782332929353</v>
      </c>
      <c r="J153" s="1170">
        <v>19.950579303264064</v>
      </c>
      <c r="K153" s="1171">
        <v>26.31311484715016</v>
      </c>
      <c r="L153" s="1172">
        <v>7.0820881825151272</v>
      </c>
      <c r="M153" s="1173">
        <v>2.8588795260492059</v>
      </c>
      <c r="N153" s="1174">
        <f t="shared" si="120"/>
        <v>10.453781794162916</v>
      </c>
      <c r="O153" s="1171">
        <v>10.453781794162916</v>
      </c>
      <c r="P153" s="1172">
        <v>0</v>
      </c>
      <c r="Q153" s="1175">
        <v>5.3912234709382894</v>
      </c>
    </row>
    <row r="154" spans="2:17" x14ac:dyDescent="0.3">
      <c r="B154" s="1179" t="s">
        <v>691</v>
      </c>
      <c r="C154" s="1178" t="s">
        <v>692</v>
      </c>
      <c r="D154" s="1053">
        <f t="shared" si="117"/>
        <v>100.00000000000001</v>
      </c>
      <c r="E154" s="1229">
        <f t="shared" si="118"/>
        <v>27.950332875920246</v>
      </c>
      <c r="F154" s="1170">
        <v>3.0039717400295056</v>
      </c>
      <c r="G154" s="1171">
        <v>9.1869474445820245</v>
      </c>
      <c r="H154" s="1172">
        <v>15.759413691308714</v>
      </c>
      <c r="I154" s="1169">
        <f t="shared" si="119"/>
        <v>53.345782332929353</v>
      </c>
      <c r="J154" s="1170">
        <v>19.950579303264064</v>
      </c>
      <c r="K154" s="1171">
        <v>26.31311484715016</v>
      </c>
      <c r="L154" s="1172">
        <v>7.0820881825151272</v>
      </c>
      <c r="M154" s="1173">
        <v>2.8588795260492059</v>
      </c>
      <c r="N154" s="1174">
        <f t="shared" si="120"/>
        <v>10.453781794162916</v>
      </c>
      <c r="O154" s="1171">
        <v>10.453781794162916</v>
      </c>
      <c r="P154" s="1172">
        <v>0</v>
      </c>
      <c r="Q154" s="1175">
        <v>5.3912234709382894</v>
      </c>
    </row>
    <row r="155" spans="2:17" x14ac:dyDescent="0.3">
      <c r="B155" s="1179" t="s">
        <v>693</v>
      </c>
      <c r="C155" s="1178" t="s">
        <v>694</v>
      </c>
      <c r="D155" s="1053">
        <f t="shared" si="117"/>
        <v>100.00000000000001</v>
      </c>
      <c r="E155" s="1229">
        <f t="shared" si="118"/>
        <v>27.950332875920246</v>
      </c>
      <c r="F155" s="1170">
        <v>3.0039717400295056</v>
      </c>
      <c r="G155" s="1171">
        <v>9.1869474445820245</v>
      </c>
      <c r="H155" s="1172">
        <v>15.759413691308714</v>
      </c>
      <c r="I155" s="1169">
        <f t="shared" si="119"/>
        <v>53.345782332929353</v>
      </c>
      <c r="J155" s="1170">
        <v>19.950579303264064</v>
      </c>
      <c r="K155" s="1171">
        <v>26.31311484715016</v>
      </c>
      <c r="L155" s="1172">
        <v>7.0820881825151272</v>
      </c>
      <c r="M155" s="1173">
        <v>2.8588795260492059</v>
      </c>
      <c r="N155" s="1174">
        <f t="shared" si="120"/>
        <v>10.453781794162916</v>
      </c>
      <c r="O155" s="1171">
        <v>10.453781794162916</v>
      </c>
      <c r="P155" s="1172">
        <v>0</v>
      </c>
      <c r="Q155" s="1175">
        <v>5.3912234709382894</v>
      </c>
    </row>
    <row r="156" spans="2:17" x14ac:dyDescent="0.3">
      <c r="B156" s="1177" t="s">
        <v>695</v>
      </c>
      <c r="C156" s="1178" t="s">
        <v>1047</v>
      </c>
      <c r="D156" s="1053">
        <f t="shared" si="117"/>
        <v>100.00000000000001</v>
      </c>
      <c r="E156" s="1229">
        <f t="shared" si="118"/>
        <v>27.950332875920246</v>
      </c>
      <c r="F156" s="1170">
        <v>3.0039717400295056</v>
      </c>
      <c r="G156" s="1171">
        <v>9.1869474445820245</v>
      </c>
      <c r="H156" s="1172">
        <v>15.759413691308714</v>
      </c>
      <c r="I156" s="1169">
        <f t="shared" si="119"/>
        <v>53.345782332929353</v>
      </c>
      <c r="J156" s="1170">
        <v>19.950579303264064</v>
      </c>
      <c r="K156" s="1171">
        <v>26.31311484715016</v>
      </c>
      <c r="L156" s="1172">
        <v>7.0820881825151272</v>
      </c>
      <c r="M156" s="1173">
        <v>2.8588795260492059</v>
      </c>
      <c r="N156" s="1174">
        <f t="shared" si="120"/>
        <v>10.453781794162916</v>
      </c>
      <c r="O156" s="1171">
        <v>10.453781794162916</v>
      </c>
      <c r="P156" s="1172">
        <v>0</v>
      </c>
      <c r="Q156" s="1175">
        <v>5.3912234709382894</v>
      </c>
    </row>
    <row r="157" spans="2:17" x14ac:dyDescent="0.3">
      <c r="B157" s="1179" t="s">
        <v>697</v>
      </c>
      <c r="C157" s="1178" t="s">
        <v>1048</v>
      </c>
      <c r="D157" s="1053">
        <f t="shared" si="117"/>
        <v>100.00000000000001</v>
      </c>
      <c r="E157" s="1229">
        <f t="shared" si="118"/>
        <v>27.950332875920246</v>
      </c>
      <c r="F157" s="1170">
        <v>3.0039717400295056</v>
      </c>
      <c r="G157" s="1171">
        <v>9.1869474445820245</v>
      </c>
      <c r="H157" s="1172">
        <v>15.759413691308714</v>
      </c>
      <c r="I157" s="1169">
        <f t="shared" si="119"/>
        <v>53.345782332929353</v>
      </c>
      <c r="J157" s="1170">
        <v>19.950579303264064</v>
      </c>
      <c r="K157" s="1171">
        <v>26.31311484715016</v>
      </c>
      <c r="L157" s="1172">
        <v>7.0820881825151272</v>
      </c>
      <c r="M157" s="1173">
        <v>2.8588795260492059</v>
      </c>
      <c r="N157" s="1174">
        <f t="shared" si="120"/>
        <v>10.453781794162916</v>
      </c>
      <c r="O157" s="1171">
        <v>10.453781794162916</v>
      </c>
      <c r="P157" s="1172">
        <v>0</v>
      </c>
      <c r="Q157" s="1175">
        <v>5.3912234709382894</v>
      </c>
    </row>
    <row r="158" spans="2:17" x14ac:dyDescent="0.3">
      <c r="B158" s="1179" t="s">
        <v>699</v>
      </c>
      <c r="C158" s="1178" t="s">
        <v>1049</v>
      </c>
      <c r="D158" s="1053">
        <f t="shared" si="117"/>
        <v>100.00000000000001</v>
      </c>
      <c r="E158" s="1229">
        <f t="shared" si="118"/>
        <v>27.950332875920246</v>
      </c>
      <c r="F158" s="1170">
        <v>3.0039717400295056</v>
      </c>
      <c r="G158" s="1171">
        <v>9.1869474445820245</v>
      </c>
      <c r="H158" s="1172">
        <v>15.759413691308714</v>
      </c>
      <c r="I158" s="1169">
        <f t="shared" si="119"/>
        <v>53.345782332929353</v>
      </c>
      <c r="J158" s="1170">
        <v>19.950579303264064</v>
      </c>
      <c r="K158" s="1171">
        <v>26.31311484715016</v>
      </c>
      <c r="L158" s="1172">
        <v>7.0820881825151272</v>
      </c>
      <c r="M158" s="1173">
        <v>2.8588795260492059</v>
      </c>
      <c r="N158" s="1174">
        <f t="shared" si="120"/>
        <v>10.453781794162916</v>
      </c>
      <c r="O158" s="1171">
        <v>10.453781794162916</v>
      </c>
      <c r="P158" s="1172">
        <v>0</v>
      </c>
      <c r="Q158" s="1175">
        <v>5.3912234709382894</v>
      </c>
    </row>
    <row r="159" spans="2:17" x14ac:dyDescent="0.3">
      <c r="B159" s="1180" t="s">
        <v>701</v>
      </c>
      <c r="C159" s="1178" t="s">
        <v>702</v>
      </c>
      <c r="D159" s="1053">
        <f t="shared" si="117"/>
        <v>100.00000000000001</v>
      </c>
      <c r="E159" s="1229">
        <f t="shared" si="118"/>
        <v>27.950332875920246</v>
      </c>
      <c r="F159" s="1170">
        <v>3.0039717400295056</v>
      </c>
      <c r="G159" s="1171">
        <v>9.1869474445820245</v>
      </c>
      <c r="H159" s="1172">
        <v>15.759413691308714</v>
      </c>
      <c r="I159" s="1169">
        <f t="shared" si="119"/>
        <v>53.345782332929353</v>
      </c>
      <c r="J159" s="1170">
        <v>19.950579303264064</v>
      </c>
      <c r="K159" s="1171">
        <v>26.31311484715016</v>
      </c>
      <c r="L159" s="1172">
        <v>7.0820881825151272</v>
      </c>
      <c r="M159" s="1173">
        <v>2.8588795260492059</v>
      </c>
      <c r="N159" s="1174">
        <f t="shared" si="120"/>
        <v>10.453781794162916</v>
      </c>
      <c r="O159" s="1171">
        <v>10.453781794162916</v>
      </c>
      <c r="P159" s="1172">
        <v>0</v>
      </c>
      <c r="Q159" s="1175">
        <v>5.3912234709382894</v>
      </c>
    </row>
    <row r="160" spans="2:17" x14ac:dyDescent="0.3">
      <c r="B160" s="1180" t="s">
        <v>703</v>
      </c>
      <c r="C160" s="1178" t="s">
        <v>704</v>
      </c>
      <c r="D160" s="1053">
        <f t="shared" si="117"/>
        <v>100.00000000000001</v>
      </c>
      <c r="E160" s="1229">
        <f t="shared" si="118"/>
        <v>27.950332875920246</v>
      </c>
      <c r="F160" s="1170">
        <v>3.0039717400295056</v>
      </c>
      <c r="G160" s="1171">
        <v>9.1869474445820245</v>
      </c>
      <c r="H160" s="1172">
        <v>15.759413691308714</v>
      </c>
      <c r="I160" s="1169">
        <f t="shared" si="119"/>
        <v>53.345782332929353</v>
      </c>
      <c r="J160" s="1170">
        <v>19.950579303264064</v>
      </c>
      <c r="K160" s="1171">
        <v>26.31311484715016</v>
      </c>
      <c r="L160" s="1172">
        <v>7.0820881825151272</v>
      </c>
      <c r="M160" s="1173">
        <v>2.8588795260492059</v>
      </c>
      <c r="N160" s="1174">
        <f t="shared" si="120"/>
        <v>10.453781794162916</v>
      </c>
      <c r="O160" s="1171">
        <v>10.453781794162916</v>
      </c>
      <c r="P160" s="1172">
        <v>0</v>
      </c>
      <c r="Q160" s="1175">
        <v>5.3912234709382894</v>
      </c>
    </row>
    <row r="161" spans="2:17" x14ac:dyDescent="0.3">
      <c r="B161" s="1231" t="s">
        <v>705</v>
      </c>
      <c r="C161" s="1168" t="s">
        <v>706</v>
      </c>
      <c r="D161" s="1036">
        <f t="shared" si="117"/>
        <v>100.00000000000001</v>
      </c>
      <c r="E161" s="1169">
        <f t="shared" si="118"/>
        <v>27.950332875920246</v>
      </c>
      <c r="F161" s="1170">
        <v>3.0039717400295056</v>
      </c>
      <c r="G161" s="1171">
        <v>9.1869474445820245</v>
      </c>
      <c r="H161" s="1172">
        <v>15.759413691308714</v>
      </c>
      <c r="I161" s="1169">
        <f t="shared" si="119"/>
        <v>53.345782332929353</v>
      </c>
      <c r="J161" s="1170">
        <v>19.950579303264064</v>
      </c>
      <c r="K161" s="1171">
        <v>26.31311484715016</v>
      </c>
      <c r="L161" s="1172">
        <v>7.0820881825151272</v>
      </c>
      <c r="M161" s="1173">
        <v>2.8588795260492059</v>
      </c>
      <c r="N161" s="1174">
        <f t="shared" si="120"/>
        <v>10.453781794162916</v>
      </c>
      <c r="O161" s="1171">
        <v>10.453781794162916</v>
      </c>
      <c r="P161" s="1172">
        <v>0</v>
      </c>
      <c r="Q161" s="1175">
        <v>5.3912234709382894</v>
      </c>
    </row>
    <row r="162" spans="2:17" x14ac:dyDescent="0.3">
      <c r="B162" s="1232" t="s">
        <v>707</v>
      </c>
      <c r="C162" s="1233" t="s">
        <v>708</v>
      </c>
      <c r="D162" s="1036">
        <f t="shared" si="117"/>
        <v>100.00000000000001</v>
      </c>
      <c r="E162" s="1184">
        <f t="shared" si="118"/>
        <v>27.950332875920246</v>
      </c>
      <c r="F162" s="1185">
        <v>3.0039717400295056</v>
      </c>
      <c r="G162" s="1186">
        <v>9.1869474445820245</v>
      </c>
      <c r="H162" s="1187">
        <v>15.759413691308714</v>
      </c>
      <c r="I162" s="1184">
        <f t="shared" si="119"/>
        <v>53.345782332929353</v>
      </c>
      <c r="J162" s="1185">
        <v>19.950579303264064</v>
      </c>
      <c r="K162" s="1186">
        <v>26.31311484715016</v>
      </c>
      <c r="L162" s="1187">
        <v>7.0820881825151272</v>
      </c>
      <c r="M162" s="1188">
        <v>2.8588795260492059</v>
      </c>
      <c r="N162" s="1189">
        <f t="shared" si="120"/>
        <v>10.453781794162916</v>
      </c>
      <c r="O162" s="1186">
        <v>10.453781794162916</v>
      </c>
      <c r="P162" s="1187">
        <v>0</v>
      </c>
      <c r="Q162" s="1190">
        <v>5.3912234709382894</v>
      </c>
    </row>
    <row r="163" spans="2:17" x14ac:dyDescent="0.3">
      <c r="B163" s="1234" t="s">
        <v>709</v>
      </c>
      <c r="C163" s="1235" t="s">
        <v>710</v>
      </c>
      <c r="D163" s="1236">
        <f t="shared" si="117"/>
        <v>100.00000000000001</v>
      </c>
      <c r="E163" s="1237">
        <f t="shared" si="118"/>
        <v>27.950332875920246</v>
      </c>
      <c r="F163" s="1238">
        <v>3.0039717400295056</v>
      </c>
      <c r="G163" s="1239">
        <v>9.1869474445820245</v>
      </c>
      <c r="H163" s="1240">
        <v>15.759413691308714</v>
      </c>
      <c r="I163" s="1237">
        <f t="shared" si="119"/>
        <v>53.345782332929353</v>
      </c>
      <c r="J163" s="1238">
        <v>19.950579303264064</v>
      </c>
      <c r="K163" s="1239">
        <v>26.31311484715016</v>
      </c>
      <c r="L163" s="1240">
        <v>7.0820881825151272</v>
      </c>
      <c r="M163" s="1241">
        <v>2.8588795260492059</v>
      </c>
      <c r="N163" s="1242">
        <f t="shared" si="120"/>
        <v>10.453781794162916</v>
      </c>
      <c r="O163" s="1239">
        <v>10.453781794162916</v>
      </c>
      <c r="P163" s="1240">
        <v>0</v>
      </c>
      <c r="Q163" s="1243">
        <v>5.3912234709382894</v>
      </c>
    </row>
    <row r="164" spans="2:17" ht="26.4" x14ac:dyDescent="0.3">
      <c r="B164" s="1244" t="s">
        <v>211</v>
      </c>
      <c r="C164" s="1018" t="s">
        <v>711</v>
      </c>
      <c r="D164" s="1245">
        <f t="shared" si="117"/>
        <v>100.00000000000001</v>
      </c>
      <c r="E164" s="1246">
        <f t="shared" si="118"/>
        <v>27.950332875920246</v>
      </c>
      <c r="F164" s="1247">
        <f>IFERROR(F116/$D$116*100, 0)</f>
        <v>3.0039717400295056</v>
      </c>
      <c r="G164" s="1248">
        <f>IFERROR(G116/$D$116*100, 0)</f>
        <v>9.1869474445820245</v>
      </c>
      <c r="H164" s="1249">
        <f>IFERROR(H116/$D$116*100, 0)</f>
        <v>15.759413691308715</v>
      </c>
      <c r="I164" s="1250">
        <f t="shared" si="119"/>
        <v>53.345782332929353</v>
      </c>
      <c r="J164" s="1247">
        <f t="shared" ref="J164:Q164" si="121">IFERROR(J116/$D$116*100, 0)</f>
        <v>19.950579303264064</v>
      </c>
      <c r="K164" s="1248">
        <f t="shared" si="121"/>
        <v>26.31311484715016</v>
      </c>
      <c r="L164" s="1249">
        <f t="shared" si="121"/>
        <v>7.0820881825151272</v>
      </c>
      <c r="M164" s="1250">
        <f t="shared" si="121"/>
        <v>2.8588795260492059</v>
      </c>
      <c r="N164" s="1250">
        <f>SUM(O164:P164)</f>
        <v>10.453781794162916</v>
      </c>
      <c r="O164" s="1248">
        <f t="shared" si="121"/>
        <v>10.453781794162916</v>
      </c>
      <c r="P164" s="1249">
        <f t="shared" si="121"/>
        <v>0</v>
      </c>
      <c r="Q164" s="1250">
        <f t="shared" si="121"/>
        <v>5.3912234709382902</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01"/>
  <sheetViews>
    <sheetView tabSelected="1" topLeftCell="A15" zoomScale="80" zoomScaleNormal="80" workbookViewId="0">
      <selection activeCell="E32" sqref="E32"/>
    </sheetView>
  </sheetViews>
  <sheetFormatPr defaultColWidth="9.109375" defaultRowHeight="14.4" x14ac:dyDescent="0.3"/>
  <cols>
    <col min="1" max="1" width="9.109375" style="514"/>
    <col min="2" max="2" width="8.6640625" style="514" customWidth="1"/>
    <col min="3" max="3" width="78.33203125" style="514" customWidth="1"/>
    <col min="4" max="4" width="16.44140625" style="514" customWidth="1"/>
    <col min="5" max="5" width="21.109375" style="514" customWidth="1"/>
    <col min="6" max="6" width="19" style="1251" customWidth="1"/>
    <col min="7" max="7" width="43" style="1251" customWidth="1"/>
    <col min="8" max="16384" width="9.109375" style="514"/>
  </cols>
  <sheetData>
    <row r="1" spans="1:7" x14ac:dyDescent="0.3">
      <c r="A1" s="516" t="s">
        <v>0</v>
      </c>
      <c r="B1" s="517"/>
      <c r="C1" s="517"/>
      <c r="D1" s="517"/>
      <c r="E1" s="517"/>
      <c r="F1" s="1252"/>
    </row>
    <row r="2" spans="1:7" x14ac:dyDescent="0.3">
      <c r="A2" s="516" t="s">
        <v>1</v>
      </c>
      <c r="B2" s="517"/>
      <c r="C2" s="517"/>
      <c r="D2" s="517"/>
      <c r="E2" s="517"/>
      <c r="F2" s="1252"/>
    </row>
    <row r="3" spans="1:7" x14ac:dyDescent="0.3">
      <c r="A3" s="517"/>
      <c r="B3" s="517"/>
      <c r="C3" s="517"/>
      <c r="D3" s="517"/>
      <c r="E3" s="517"/>
      <c r="F3" s="1252"/>
    </row>
    <row r="4" spans="1:7" x14ac:dyDescent="0.3">
      <c r="A4" s="517"/>
      <c r="B4" s="517"/>
      <c r="C4" s="517"/>
      <c r="D4" s="517"/>
      <c r="E4" s="517"/>
      <c r="F4" s="1252"/>
    </row>
    <row r="5" spans="1:7" x14ac:dyDescent="0.3">
      <c r="A5" s="519" t="s">
        <v>1050</v>
      </c>
      <c r="B5" s="517"/>
      <c r="C5" s="517"/>
      <c r="D5" s="517"/>
      <c r="E5" s="517"/>
      <c r="F5" s="1252"/>
    </row>
    <row r="6" spans="1:7" x14ac:dyDescent="0.3">
      <c r="A6" s="517"/>
      <c r="B6" s="517"/>
      <c r="C6" s="517"/>
      <c r="D6" s="517"/>
      <c r="E6" s="517"/>
      <c r="F6" s="1252"/>
    </row>
    <row r="8" spans="1:7" x14ac:dyDescent="0.3">
      <c r="B8" s="1468" t="s">
        <v>1051</v>
      </c>
      <c r="C8" s="1468"/>
      <c r="D8" s="1468"/>
      <c r="E8" s="1468"/>
    </row>
    <row r="9" spans="1:7" ht="26.4" x14ac:dyDescent="0.3">
      <c r="B9" s="1253" t="s">
        <v>4</v>
      </c>
      <c r="C9" s="784" t="s">
        <v>1052</v>
      </c>
      <c r="D9" s="1254" t="s">
        <v>715</v>
      </c>
      <c r="E9" s="1255" t="s">
        <v>65</v>
      </c>
      <c r="G9" s="1256"/>
    </row>
    <row r="10" spans="1:7" x14ac:dyDescent="0.3">
      <c r="B10" s="783"/>
      <c r="C10" s="784" t="s">
        <v>1053</v>
      </c>
      <c r="D10" s="784"/>
      <c r="E10" s="1257"/>
      <c r="F10" s="1258"/>
      <c r="G10" s="1256"/>
    </row>
    <row r="11" spans="1:7" ht="15.6" x14ac:dyDescent="0.3">
      <c r="B11" s="927" t="s">
        <v>70</v>
      </c>
      <c r="C11" s="861" t="s">
        <v>1054</v>
      </c>
      <c r="D11" s="861" t="s">
        <v>1055</v>
      </c>
      <c r="E11" s="1259">
        <v>4331</v>
      </c>
      <c r="F11" s="1260"/>
      <c r="G11" s="1256"/>
    </row>
    <row r="12" spans="1:7" ht="15.6" x14ac:dyDescent="0.3">
      <c r="B12" s="1261" t="s">
        <v>76</v>
      </c>
      <c r="C12" s="881" t="s">
        <v>1056</v>
      </c>
      <c r="D12" s="852" t="s">
        <v>1055</v>
      </c>
      <c r="E12" s="1262">
        <v>1894</v>
      </c>
      <c r="F12" s="1260"/>
      <c r="G12" s="1256"/>
    </row>
    <row r="13" spans="1:7" ht="15.6" x14ac:dyDescent="0.3">
      <c r="B13" s="1261" t="s">
        <v>104</v>
      </c>
      <c r="C13" s="881" t="s">
        <v>1057</v>
      </c>
      <c r="D13" s="881" t="s">
        <v>1055</v>
      </c>
      <c r="E13" s="1262">
        <v>1241</v>
      </c>
      <c r="F13" s="1260"/>
      <c r="G13" s="1256"/>
    </row>
    <row r="14" spans="1:7" ht="15.6" x14ac:dyDescent="0.3">
      <c r="B14" s="1261" t="s">
        <v>264</v>
      </c>
      <c r="C14" s="881" t="s">
        <v>1058</v>
      </c>
      <c r="D14" s="881" t="s">
        <v>1055</v>
      </c>
      <c r="E14" s="1262">
        <v>25851.85</v>
      </c>
      <c r="F14" s="1263"/>
      <c r="G14" s="1256"/>
    </row>
    <row r="15" spans="1:7" ht="15.6" x14ac:dyDescent="0.3">
      <c r="B15" s="1261" t="s">
        <v>266</v>
      </c>
      <c r="C15" s="881" t="s">
        <v>1059</v>
      </c>
      <c r="D15" s="881" t="s">
        <v>1055</v>
      </c>
      <c r="E15" s="1262">
        <v>0</v>
      </c>
      <c r="F15" s="1263"/>
      <c r="G15" s="1256"/>
    </row>
    <row r="16" spans="1:7" ht="15.6" x14ac:dyDescent="0.3">
      <c r="B16" s="1261" t="s">
        <v>274</v>
      </c>
      <c r="C16" s="881" t="s">
        <v>1060</v>
      </c>
      <c r="D16" s="881" t="s">
        <v>1055</v>
      </c>
      <c r="E16" s="1262">
        <v>2076.19</v>
      </c>
      <c r="F16" s="1263"/>
      <c r="G16" s="1256"/>
    </row>
    <row r="17" spans="2:7" ht="15.6" x14ac:dyDescent="0.3">
      <c r="B17" s="928" t="s">
        <v>276</v>
      </c>
      <c r="C17" s="865" t="s">
        <v>1061</v>
      </c>
      <c r="D17" s="865" t="s">
        <v>1062</v>
      </c>
      <c r="E17" s="1007">
        <v>388.81</v>
      </c>
      <c r="F17" s="1263"/>
      <c r="G17" s="1256"/>
    </row>
    <row r="18" spans="2:7" x14ac:dyDescent="0.3">
      <c r="B18" s="928" t="s">
        <v>610</v>
      </c>
      <c r="C18" s="865" t="s">
        <v>1063</v>
      </c>
      <c r="D18" s="865" t="s">
        <v>1064</v>
      </c>
      <c r="E18" s="1007">
        <v>406.75</v>
      </c>
      <c r="F18" s="1263"/>
      <c r="G18" s="1256"/>
    </row>
    <row r="19" spans="2:7" x14ac:dyDescent="0.3">
      <c r="B19" s="928" t="s">
        <v>611</v>
      </c>
      <c r="C19" s="865" t="s">
        <v>1065</v>
      </c>
      <c r="D19" s="865" t="s">
        <v>1064</v>
      </c>
      <c r="E19" s="1007">
        <v>65.23</v>
      </c>
      <c r="F19" s="1263"/>
      <c r="G19" s="1256"/>
    </row>
    <row r="20" spans="2:7" x14ac:dyDescent="0.3">
      <c r="B20" s="928" t="s">
        <v>1066</v>
      </c>
      <c r="C20" s="865" t="s">
        <v>1067</v>
      </c>
      <c r="D20" s="932" t="s">
        <v>1064</v>
      </c>
      <c r="E20" s="1007">
        <v>14.5</v>
      </c>
      <c r="F20" s="1263"/>
      <c r="G20" s="1256"/>
    </row>
    <row r="21" spans="2:7" ht="15.6" x14ac:dyDescent="0.3">
      <c r="B21" s="1261" t="s">
        <v>278</v>
      </c>
      <c r="C21" s="881" t="s">
        <v>1068</v>
      </c>
      <c r="D21" s="881" t="s">
        <v>1055</v>
      </c>
      <c r="E21" s="1262">
        <v>0</v>
      </c>
      <c r="F21" s="1263"/>
      <c r="G21" s="1256"/>
    </row>
    <row r="22" spans="2:7" ht="15.6" x14ac:dyDescent="0.3">
      <c r="B22" s="928" t="s">
        <v>1069</v>
      </c>
      <c r="C22" s="865" t="s">
        <v>1061</v>
      </c>
      <c r="D22" s="865" t="s">
        <v>1062</v>
      </c>
      <c r="E22" s="1007">
        <v>0</v>
      </c>
      <c r="F22" s="1263"/>
      <c r="G22" s="1256"/>
    </row>
    <row r="23" spans="2:7" x14ac:dyDescent="0.3">
      <c r="B23" s="928" t="s">
        <v>1070</v>
      </c>
      <c r="C23" s="865" t="s">
        <v>1063</v>
      </c>
      <c r="D23" s="865" t="s">
        <v>1064</v>
      </c>
      <c r="E23" s="1007">
        <v>0</v>
      </c>
      <c r="F23" s="1263"/>
      <c r="G23" s="1256"/>
    </row>
    <row r="24" spans="2:7" x14ac:dyDescent="0.3">
      <c r="B24" s="928" t="s">
        <v>1071</v>
      </c>
      <c r="C24" s="865" t="s">
        <v>1072</v>
      </c>
      <c r="D24" s="865" t="s">
        <v>1064</v>
      </c>
      <c r="E24" s="1007">
        <v>0</v>
      </c>
      <c r="F24" s="1263"/>
      <c r="G24" s="1256"/>
    </row>
    <row r="25" spans="2:7" x14ac:dyDescent="0.3">
      <c r="B25" s="1261" t="s">
        <v>1073</v>
      </c>
      <c r="C25" s="881" t="s">
        <v>1074</v>
      </c>
      <c r="D25" s="881" t="s">
        <v>1075</v>
      </c>
      <c r="E25" s="1262">
        <v>24.9</v>
      </c>
      <c r="F25" s="1263"/>
      <c r="G25" s="1256"/>
    </row>
    <row r="26" spans="2:7" x14ac:dyDescent="0.3">
      <c r="B26" s="928" t="s">
        <v>1076</v>
      </c>
      <c r="C26" s="865" t="s">
        <v>1077</v>
      </c>
      <c r="D26" s="865" t="s">
        <v>1075</v>
      </c>
      <c r="E26" s="1007">
        <v>13800</v>
      </c>
      <c r="F26" s="1263"/>
      <c r="G26" s="1256"/>
    </row>
    <row r="27" spans="2:7" x14ac:dyDescent="0.3">
      <c r="B27" s="928" t="s">
        <v>1078</v>
      </c>
      <c r="C27" s="865" t="s">
        <v>1079</v>
      </c>
      <c r="D27" s="865" t="s">
        <v>1075</v>
      </c>
      <c r="E27" s="1007">
        <v>11100</v>
      </c>
      <c r="F27" s="1263"/>
      <c r="G27" s="1256"/>
    </row>
    <row r="28" spans="2:7" x14ac:dyDescent="0.3">
      <c r="B28" s="928" t="s">
        <v>1080</v>
      </c>
      <c r="C28" s="865" t="s">
        <v>1081</v>
      </c>
      <c r="D28" s="865" t="s">
        <v>1075</v>
      </c>
      <c r="E28" s="1007">
        <v>0</v>
      </c>
      <c r="F28" s="1263"/>
      <c r="G28" s="1256"/>
    </row>
    <row r="29" spans="2:7" x14ac:dyDescent="0.3">
      <c r="B29" s="928" t="s">
        <v>1082</v>
      </c>
      <c r="C29" s="865" t="s">
        <v>1083</v>
      </c>
      <c r="D29" s="865" t="s">
        <v>1075</v>
      </c>
      <c r="E29" s="1007">
        <v>0</v>
      </c>
      <c r="F29" s="1263"/>
      <c r="G29" s="1256"/>
    </row>
    <row r="30" spans="2:7" x14ac:dyDescent="0.3">
      <c r="B30" s="1008" t="s">
        <v>1084</v>
      </c>
      <c r="C30" s="992" t="s">
        <v>1085</v>
      </c>
      <c r="D30" s="992" t="s">
        <v>1075</v>
      </c>
      <c r="E30" s="1264">
        <v>6453</v>
      </c>
      <c r="F30" s="1263"/>
      <c r="G30" s="1256"/>
    </row>
    <row r="31" spans="2:7" x14ac:dyDescent="0.3">
      <c r="B31" s="783"/>
      <c r="C31" s="784" t="s">
        <v>1086</v>
      </c>
      <c r="D31" s="784"/>
      <c r="E31" s="1257"/>
      <c r="F31" s="1258"/>
      <c r="G31" s="1265"/>
    </row>
    <row r="32" spans="2:7" x14ac:dyDescent="0.3">
      <c r="B32" s="1266" t="s">
        <v>111</v>
      </c>
      <c r="C32" s="1267" t="s">
        <v>1087</v>
      </c>
      <c r="D32" s="1268" t="s">
        <v>993</v>
      </c>
      <c r="E32" s="987">
        <v>33</v>
      </c>
      <c r="F32" s="1269"/>
      <c r="G32" s="1270"/>
    </row>
    <row r="33" spans="2:7" x14ac:dyDescent="0.3">
      <c r="B33" s="928" t="s">
        <v>120</v>
      </c>
      <c r="C33" s="1271" t="s">
        <v>1088</v>
      </c>
      <c r="D33" s="1268" t="s">
        <v>993</v>
      </c>
      <c r="E33" s="987">
        <v>42</v>
      </c>
      <c r="F33" s="1272"/>
      <c r="G33" s="1273"/>
    </row>
    <row r="34" spans="2:7" x14ac:dyDescent="0.3">
      <c r="B34" s="1274" t="s">
        <v>294</v>
      </c>
      <c r="C34" s="1275" t="s">
        <v>1089</v>
      </c>
      <c r="D34" s="1276" t="s">
        <v>1090</v>
      </c>
      <c r="E34" s="1277">
        <v>54</v>
      </c>
      <c r="F34" s="1272"/>
      <c r="G34" s="1273"/>
    </row>
    <row r="35" spans="2:7" x14ac:dyDescent="0.3">
      <c r="B35" s="783"/>
      <c r="C35" s="784" t="s">
        <v>1091</v>
      </c>
      <c r="D35" s="784"/>
      <c r="E35" s="1257"/>
      <c r="F35" s="1260"/>
      <c r="G35" s="1260"/>
    </row>
    <row r="36" spans="2:7" x14ac:dyDescent="0.3">
      <c r="B36" s="1261" t="s">
        <v>131</v>
      </c>
      <c r="C36" s="1278" t="s">
        <v>1092</v>
      </c>
      <c r="D36" s="881" t="s">
        <v>993</v>
      </c>
      <c r="E36" s="1279">
        <v>29</v>
      </c>
      <c r="F36" s="1280"/>
      <c r="G36" s="1281"/>
    </row>
    <row r="37" spans="2:7" x14ac:dyDescent="0.3">
      <c r="B37" s="928" t="s">
        <v>406</v>
      </c>
      <c r="C37" s="1271" t="s">
        <v>1093</v>
      </c>
      <c r="D37" s="865" t="s">
        <v>993</v>
      </c>
      <c r="E37" s="987">
        <v>24</v>
      </c>
      <c r="F37" s="1272"/>
      <c r="G37" s="1272"/>
    </row>
    <row r="38" spans="2:7" ht="15.6" x14ac:dyDescent="0.3">
      <c r="B38" s="1282" t="s">
        <v>407</v>
      </c>
      <c r="C38" s="1278" t="s">
        <v>1094</v>
      </c>
      <c r="D38" s="881" t="s">
        <v>864</v>
      </c>
      <c r="E38" s="1262">
        <v>521.55000000000007</v>
      </c>
      <c r="F38" s="1280"/>
      <c r="G38" s="1283"/>
    </row>
    <row r="39" spans="2:7" ht="26.4" x14ac:dyDescent="0.3">
      <c r="B39" s="1284" t="s">
        <v>1095</v>
      </c>
      <c r="C39" s="959" t="s">
        <v>1096</v>
      </c>
      <c r="D39" s="865" t="s">
        <v>869</v>
      </c>
      <c r="E39" s="1007">
        <v>438.17700000000002</v>
      </c>
      <c r="F39" s="1502"/>
      <c r="G39" s="1260"/>
    </row>
    <row r="40" spans="2:7" ht="15.6" x14ac:dyDescent="0.3">
      <c r="B40" s="1284" t="s">
        <v>1097</v>
      </c>
      <c r="C40" s="959" t="s">
        <v>1098</v>
      </c>
      <c r="D40" s="865" t="s">
        <v>869</v>
      </c>
      <c r="E40" s="1007">
        <v>83.373000000000005</v>
      </c>
      <c r="F40" s="1502"/>
      <c r="G40" s="1260"/>
    </row>
    <row r="41" spans="2:7" ht="26.4" x14ac:dyDescent="0.3">
      <c r="B41" s="1284" t="s">
        <v>1099</v>
      </c>
      <c r="C41" s="959" t="s">
        <v>1100</v>
      </c>
      <c r="D41" s="865" t="s">
        <v>869</v>
      </c>
      <c r="E41" s="1007">
        <v>0</v>
      </c>
      <c r="F41" s="1502"/>
      <c r="G41" s="1260"/>
    </row>
    <row r="42" spans="2:7" ht="15.6" x14ac:dyDescent="0.3">
      <c r="B42" s="928" t="s">
        <v>1101</v>
      </c>
      <c r="C42" s="910" t="s">
        <v>1102</v>
      </c>
      <c r="D42" s="865" t="s">
        <v>869</v>
      </c>
      <c r="E42" s="1007">
        <v>0</v>
      </c>
      <c r="F42" s="1285"/>
      <c r="G42" s="1260"/>
    </row>
    <row r="43" spans="2:7" ht="15.6" x14ac:dyDescent="0.3">
      <c r="B43" s="1261" t="s">
        <v>133</v>
      </c>
      <c r="C43" s="1286" t="s">
        <v>1103</v>
      </c>
      <c r="D43" s="881" t="s">
        <v>864</v>
      </c>
      <c r="E43" s="1262">
        <v>519.77599999999995</v>
      </c>
      <c r="F43" s="1260"/>
      <c r="G43" s="1256"/>
    </row>
    <row r="44" spans="2:7" ht="15.6" x14ac:dyDescent="0.3">
      <c r="B44" s="1261" t="s">
        <v>141</v>
      </c>
      <c r="C44" s="1278" t="s">
        <v>1104</v>
      </c>
      <c r="D44" s="881" t="s">
        <v>864</v>
      </c>
      <c r="E44" s="1262">
        <v>0</v>
      </c>
      <c r="F44" s="1260"/>
      <c r="G44" s="1256"/>
    </row>
    <row r="45" spans="2:7" x14ac:dyDescent="0.3">
      <c r="B45" s="928" t="s">
        <v>408</v>
      </c>
      <c r="C45" s="1271" t="s">
        <v>1105</v>
      </c>
      <c r="D45" s="865" t="s">
        <v>993</v>
      </c>
      <c r="E45" s="987">
        <v>10</v>
      </c>
      <c r="F45" s="1260"/>
      <c r="G45" s="1260"/>
    </row>
    <row r="46" spans="2:7" x14ac:dyDescent="0.3">
      <c r="B46" s="928" t="s">
        <v>1106</v>
      </c>
      <c r="C46" s="1271" t="s">
        <v>1107</v>
      </c>
      <c r="D46" s="865" t="s">
        <v>993</v>
      </c>
      <c r="E46" s="987">
        <v>10</v>
      </c>
      <c r="F46" s="1272"/>
      <c r="G46" s="1272"/>
    </row>
    <row r="47" spans="2:7" ht="15.6" x14ac:dyDescent="0.3">
      <c r="B47" s="928" t="s">
        <v>1108</v>
      </c>
      <c r="C47" s="985" t="s">
        <v>1109</v>
      </c>
      <c r="D47" s="887" t="s">
        <v>872</v>
      </c>
      <c r="E47" s="1287">
        <v>0</v>
      </c>
      <c r="F47" s="1288"/>
      <c r="G47" s="1288"/>
    </row>
    <row r="48" spans="2:7" x14ac:dyDescent="0.3">
      <c r="B48" s="928" t="s">
        <v>626</v>
      </c>
      <c r="C48" s="1271" t="s">
        <v>1110</v>
      </c>
      <c r="D48" s="865" t="s">
        <v>993</v>
      </c>
      <c r="E48" s="987">
        <v>0</v>
      </c>
      <c r="F48" s="1272"/>
      <c r="G48" s="1272"/>
    </row>
    <row r="49" spans="2:7" ht="15.6" x14ac:dyDescent="0.3">
      <c r="B49" s="928" t="s">
        <v>1111</v>
      </c>
      <c r="C49" s="985" t="s">
        <v>1112</v>
      </c>
      <c r="D49" s="887" t="s">
        <v>872</v>
      </c>
      <c r="E49" s="1287">
        <v>0</v>
      </c>
      <c r="F49" s="1288"/>
      <c r="G49" s="1288"/>
    </row>
    <row r="50" spans="2:7" x14ac:dyDescent="0.3">
      <c r="B50" s="1261" t="s">
        <v>409</v>
      </c>
      <c r="C50" s="1278" t="s">
        <v>1113</v>
      </c>
      <c r="D50" s="881" t="s">
        <v>993</v>
      </c>
      <c r="E50" s="1279">
        <v>2</v>
      </c>
      <c r="F50" s="1272"/>
      <c r="G50" s="1272"/>
    </row>
    <row r="51" spans="2:7" x14ac:dyDescent="0.3">
      <c r="B51" s="1261" t="s">
        <v>415</v>
      </c>
      <c r="C51" s="1278" t="s">
        <v>1114</v>
      </c>
      <c r="D51" s="881" t="s">
        <v>993</v>
      </c>
      <c r="E51" s="1279">
        <v>4</v>
      </c>
      <c r="F51" s="1272"/>
      <c r="G51" s="1272"/>
    </row>
    <row r="52" spans="2:7" x14ac:dyDescent="0.3">
      <c r="B52" s="1261" t="s">
        <v>416</v>
      </c>
      <c r="C52" s="1278" t="s">
        <v>1115</v>
      </c>
      <c r="D52" s="881" t="s">
        <v>993</v>
      </c>
      <c r="E52" s="1279">
        <v>28</v>
      </c>
      <c r="F52" s="1288"/>
      <c r="G52" s="1288"/>
    </row>
    <row r="53" spans="2:7" x14ac:dyDescent="0.3">
      <c r="B53" s="1261" t="s">
        <v>422</v>
      </c>
      <c r="C53" s="1278" t="s">
        <v>1116</v>
      </c>
      <c r="D53" s="881" t="s">
        <v>993</v>
      </c>
      <c r="E53" s="1279">
        <v>0</v>
      </c>
      <c r="F53" s="1288"/>
      <c r="G53" s="1288"/>
    </row>
    <row r="54" spans="2:7" x14ac:dyDescent="0.3">
      <c r="B54" s="1261" t="s">
        <v>426</v>
      </c>
      <c r="C54" s="1278" t="s">
        <v>1117</v>
      </c>
      <c r="D54" s="865" t="s">
        <v>993</v>
      </c>
      <c r="E54" s="987">
        <v>85</v>
      </c>
      <c r="F54" s="1288"/>
      <c r="G54" s="1288"/>
    </row>
    <row r="55" spans="2:7" x14ac:dyDescent="0.3">
      <c r="B55" s="1282" t="s">
        <v>429</v>
      </c>
      <c r="C55" s="1278" t="s">
        <v>1118</v>
      </c>
      <c r="D55" s="881" t="s">
        <v>993</v>
      </c>
      <c r="E55" s="1279">
        <v>0</v>
      </c>
      <c r="F55" s="1288"/>
      <c r="G55" s="1288"/>
    </row>
    <row r="56" spans="2:7" x14ac:dyDescent="0.3">
      <c r="B56" s="1274" t="s">
        <v>444</v>
      </c>
      <c r="C56" s="1275" t="s">
        <v>764</v>
      </c>
      <c r="D56" s="1276" t="s">
        <v>1119</v>
      </c>
      <c r="E56" s="1277">
        <v>36</v>
      </c>
      <c r="F56" s="1260"/>
      <c r="G56" s="1260"/>
    </row>
    <row r="57" spans="2:7" x14ac:dyDescent="0.3">
      <c r="B57" s="783"/>
      <c r="C57" s="784" t="s">
        <v>1120</v>
      </c>
      <c r="D57" s="784"/>
      <c r="E57" s="1257"/>
      <c r="F57" s="1260"/>
      <c r="G57" s="1260"/>
    </row>
    <row r="58" spans="2:7" x14ac:dyDescent="0.3">
      <c r="B58" s="928" t="s">
        <v>145</v>
      </c>
      <c r="C58" s="865" t="s">
        <v>1121</v>
      </c>
      <c r="D58" s="865" t="s">
        <v>993</v>
      </c>
      <c r="E58" s="987">
        <v>38</v>
      </c>
      <c r="F58" s="1260"/>
      <c r="G58" s="1260"/>
    </row>
    <row r="59" spans="2:7" x14ac:dyDescent="0.3">
      <c r="B59" s="928" t="s">
        <v>147</v>
      </c>
      <c r="C59" s="865" t="s">
        <v>1122</v>
      </c>
      <c r="D59" s="865" t="s">
        <v>993</v>
      </c>
      <c r="E59" s="987">
        <v>33</v>
      </c>
      <c r="F59" s="1260"/>
      <c r="G59" s="1260"/>
    </row>
    <row r="60" spans="2:7" x14ac:dyDescent="0.3">
      <c r="B60" s="928" t="s">
        <v>149</v>
      </c>
      <c r="C60" s="865" t="s">
        <v>1123</v>
      </c>
      <c r="D60" s="865" t="s">
        <v>993</v>
      </c>
      <c r="E60" s="987">
        <v>43</v>
      </c>
      <c r="F60" s="1260"/>
      <c r="G60" s="1260"/>
    </row>
    <row r="61" spans="2:7" x14ac:dyDescent="0.3">
      <c r="B61" s="1261" t="s">
        <v>458</v>
      </c>
      <c r="C61" s="881" t="s">
        <v>1124</v>
      </c>
      <c r="D61" s="1289" t="s">
        <v>1119</v>
      </c>
      <c r="E61" s="1262">
        <v>57</v>
      </c>
      <c r="F61" s="1290"/>
      <c r="G61" s="1260"/>
    </row>
    <row r="62" spans="2:7" x14ac:dyDescent="0.3">
      <c r="B62" s="928" t="s">
        <v>462</v>
      </c>
      <c r="C62" s="865" t="s">
        <v>1125</v>
      </c>
      <c r="D62" s="997" t="s">
        <v>1126</v>
      </c>
      <c r="E62" s="1291">
        <f>SUM(E63:E64)</f>
        <v>194.9</v>
      </c>
      <c r="F62" s="1288"/>
      <c r="G62" s="1288"/>
    </row>
    <row r="63" spans="2:7" x14ac:dyDescent="0.3">
      <c r="B63" s="885" t="s">
        <v>849</v>
      </c>
      <c r="C63" s="985" t="s">
        <v>1127</v>
      </c>
      <c r="D63" s="887" t="s">
        <v>1126</v>
      </c>
      <c r="E63" s="1287">
        <v>5.5</v>
      </c>
      <c r="F63" s="1288"/>
      <c r="G63" s="1288"/>
    </row>
    <row r="64" spans="2:7" x14ac:dyDescent="0.3">
      <c r="B64" s="885" t="s">
        <v>1128</v>
      </c>
      <c r="C64" s="985" t="s">
        <v>1129</v>
      </c>
      <c r="D64" s="887" t="s">
        <v>1126</v>
      </c>
      <c r="E64" s="1287">
        <v>189.4</v>
      </c>
      <c r="F64" s="1260"/>
      <c r="G64" s="1260"/>
    </row>
    <row r="65" spans="2:7" x14ac:dyDescent="0.3">
      <c r="B65" s="928" t="s">
        <v>463</v>
      </c>
      <c r="C65" s="865" t="s">
        <v>1130</v>
      </c>
      <c r="D65" s="865" t="s">
        <v>993</v>
      </c>
      <c r="E65" s="987">
        <v>4930</v>
      </c>
      <c r="F65" s="1260"/>
      <c r="G65" s="1260"/>
    </row>
    <row r="66" spans="2:7" x14ac:dyDescent="0.3">
      <c r="B66" s="928" t="s">
        <v>467</v>
      </c>
      <c r="C66" s="865" t="s">
        <v>1131</v>
      </c>
      <c r="D66" s="865" t="s">
        <v>993</v>
      </c>
      <c r="E66" s="987">
        <v>301</v>
      </c>
      <c r="F66" s="1260"/>
      <c r="G66" s="1260"/>
    </row>
    <row r="67" spans="2:7" x14ac:dyDescent="0.3">
      <c r="B67" s="928" t="s">
        <v>471</v>
      </c>
      <c r="C67" s="865" t="s">
        <v>1132</v>
      </c>
      <c r="D67" s="865" t="s">
        <v>993</v>
      </c>
      <c r="E67" s="987">
        <v>1</v>
      </c>
      <c r="F67" s="1260"/>
      <c r="G67" s="1260"/>
    </row>
    <row r="68" spans="2:7" x14ac:dyDescent="0.3">
      <c r="B68" s="928" t="s">
        <v>475</v>
      </c>
      <c r="C68" s="865" t="s">
        <v>1133</v>
      </c>
      <c r="D68" s="865" t="s">
        <v>993</v>
      </c>
      <c r="E68" s="987">
        <v>110</v>
      </c>
      <c r="F68" s="1290"/>
      <c r="G68" s="1260"/>
    </row>
    <row r="69" spans="2:7" x14ac:dyDescent="0.3">
      <c r="B69" s="928" t="s">
        <v>491</v>
      </c>
      <c r="C69" s="865" t="s">
        <v>1134</v>
      </c>
      <c r="D69" s="865" t="s">
        <v>993</v>
      </c>
      <c r="E69" s="984">
        <f>SUM(E70:E72)</f>
        <v>4998</v>
      </c>
      <c r="F69" s="1288"/>
      <c r="G69" s="1288"/>
    </row>
    <row r="70" spans="2:7" x14ac:dyDescent="0.3">
      <c r="B70" s="885" t="s">
        <v>1135</v>
      </c>
      <c r="C70" s="985" t="s">
        <v>1136</v>
      </c>
      <c r="D70" s="887" t="s">
        <v>993</v>
      </c>
      <c r="E70" s="986">
        <v>4055</v>
      </c>
      <c r="F70" s="1288"/>
      <c r="G70" s="1288"/>
    </row>
    <row r="71" spans="2:7" x14ac:dyDescent="0.3">
      <c r="B71" s="885" t="s">
        <v>1137</v>
      </c>
      <c r="C71" s="985" t="s">
        <v>1138</v>
      </c>
      <c r="D71" s="887" t="s">
        <v>993</v>
      </c>
      <c r="E71" s="986">
        <v>178</v>
      </c>
      <c r="F71" s="1288"/>
      <c r="G71" s="1288"/>
    </row>
    <row r="72" spans="2:7" x14ac:dyDescent="0.3">
      <c r="B72" s="885" t="s">
        <v>1139</v>
      </c>
      <c r="C72" s="985" t="s">
        <v>1140</v>
      </c>
      <c r="D72" s="887" t="s">
        <v>993</v>
      </c>
      <c r="E72" s="986">
        <v>765</v>
      </c>
      <c r="F72" s="1260"/>
      <c r="G72" s="1260"/>
    </row>
    <row r="73" spans="2:7" x14ac:dyDescent="0.3">
      <c r="B73" s="928" t="s">
        <v>492</v>
      </c>
      <c r="C73" s="865" t="s">
        <v>1141</v>
      </c>
      <c r="D73" s="865" t="s">
        <v>993</v>
      </c>
      <c r="E73" s="987">
        <v>6616</v>
      </c>
      <c r="F73" s="1260"/>
      <c r="G73" s="1260"/>
    </row>
    <row r="74" spans="2:7" x14ac:dyDescent="0.3">
      <c r="B74" s="1008" t="s">
        <v>641</v>
      </c>
      <c r="C74" s="992" t="s">
        <v>1142</v>
      </c>
      <c r="D74" s="992" t="s">
        <v>993</v>
      </c>
      <c r="E74" s="993">
        <v>165</v>
      </c>
      <c r="F74" s="1292"/>
      <c r="G74" s="1292"/>
    </row>
    <row r="75" spans="2:7" x14ac:dyDescent="0.3">
      <c r="B75" s="783"/>
      <c r="C75" s="784" t="s">
        <v>1143</v>
      </c>
      <c r="D75" s="784"/>
      <c r="E75" s="1257"/>
      <c r="F75" s="1263"/>
      <c r="G75" s="1263"/>
    </row>
    <row r="76" spans="2:7" x14ac:dyDescent="0.3">
      <c r="B76" s="928" t="s">
        <v>495</v>
      </c>
      <c r="C76" s="865" t="s">
        <v>1144</v>
      </c>
      <c r="D76" s="865" t="s">
        <v>993</v>
      </c>
      <c r="E76" s="987">
        <v>26</v>
      </c>
      <c r="F76" s="1263"/>
      <c r="G76" s="1263"/>
    </row>
    <row r="77" spans="2:7" x14ac:dyDescent="0.3">
      <c r="B77" s="928" t="s">
        <v>155</v>
      </c>
      <c r="C77" s="865" t="s">
        <v>1145</v>
      </c>
      <c r="D77" s="865" t="s">
        <v>993</v>
      </c>
      <c r="E77" s="987">
        <v>67</v>
      </c>
      <c r="F77" s="1263"/>
      <c r="G77" s="1263"/>
    </row>
    <row r="78" spans="2:7" x14ac:dyDescent="0.3">
      <c r="B78" s="928" t="s">
        <v>157</v>
      </c>
      <c r="C78" s="865" t="s">
        <v>1146</v>
      </c>
      <c r="D78" s="865" t="s">
        <v>993</v>
      </c>
      <c r="E78" s="987">
        <v>113</v>
      </c>
      <c r="F78" s="1263"/>
      <c r="G78" s="1263"/>
    </row>
    <row r="79" spans="2:7" x14ac:dyDescent="0.3">
      <c r="B79" s="1261" t="s">
        <v>159</v>
      </c>
      <c r="C79" s="881" t="s">
        <v>1147</v>
      </c>
      <c r="D79" s="1289" t="s">
        <v>1119</v>
      </c>
      <c r="E79" s="1262">
        <v>46</v>
      </c>
      <c r="F79" s="1263"/>
      <c r="G79" s="1263"/>
    </row>
    <row r="80" spans="2:7" x14ac:dyDescent="0.3">
      <c r="B80" s="928" t="s">
        <v>161</v>
      </c>
      <c r="C80" s="865" t="s">
        <v>1148</v>
      </c>
      <c r="D80" s="865" t="s">
        <v>1126</v>
      </c>
      <c r="E80" s="1007">
        <v>199.4</v>
      </c>
      <c r="F80" s="1293"/>
      <c r="G80" s="1293"/>
    </row>
    <row r="81" spans="2:7" x14ac:dyDescent="0.3">
      <c r="B81" s="885" t="s">
        <v>670</v>
      </c>
      <c r="C81" s="985" t="s">
        <v>1149</v>
      </c>
      <c r="D81" s="887" t="s">
        <v>1126</v>
      </c>
      <c r="E81" s="1287">
        <v>49.3</v>
      </c>
      <c r="F81" s="1263"/>
      <c r="G81" s="1263"/>
    </row>
    <row r="82" spans="2:7" x14ac:dyDescent="0.3">
      <c r="B82" s="928" t="s">
        <v>163</v>
      </c>
      <c r="C82" s="865" t="s">
        <v>1150</v>
      </c>
      <c r="D82" s="865" t="s">
        <v>993</v>
      </c>
      <c r="E82" s="987">
        <v>4753</v>
      </c>
      <c r="F82" s="1263"/>
      <c r="G82" s="1263"/>
    </row>
    <row r="83" spans="2:7" x14ac:dyDescent="0.3">
      <c r="B83" s="928" t="s">
        <v>165</v>
      </c>
      <c r="C83" s="865" t="s">
        <v>1151</v>
      </c>
      <c r="D83" s="865" t="s">
        <v>993</v>
      </c>
      <c r="E83" s="984">
        <f>SUM(E84:E86)</f>
        <v>9176</v>
      </c>
      <c r="F83" s="1263"/>
      <c r="G83" s="1263"/>
    </row>
    <row r="84" spans="2:7" x14ac:dyDescent="0.3">
      <c r="B84" s="885" t="s">
        <v>512</v>
      </c>
      <c r="C84" s="985" t="s">
        <v>1152</v>
      </c>
      <c r="D84" s="887" t="s">
        <v>993</v>
      </c>
      <c r="E84" s="986">
        <v>6117</v>
      </c>
      <c r="F84" s="1293"/>
      <c r="G84" s="1293"/>
    </row>
    <row r="85" spans="2:7" x14ac:dyDescent="0.3">
      <c r="B85" s="885" t="s">
        <v>513</v>
      </c>
      <c r="C85" s="985" t="s">
        <v>1153</v>
      </c>
      <c r="D85" s="887" t="s">
        <v>993</v>
      </c>
      <c r="E85" s="986">
        <v>2814</v>
      </c>
      <c r="F85" s="1293"/>
      <c r="G85" s="1293"/>
    </row>
    <row r="86" spans="2:7" x14ac:dyDescent="0.3">
      <c r="B86" s="885" t="s">
        <v>514</v>
      </c>
      <c r="C86" s="985" t="s">
        <v>1154</v>
      </c>
      <c r="D86" s="887" t="s">
        <v>993</v>
      </c>
      <c r="E86" s="986">
        <v>245</v>
      </c>
      <c r="F86" s="1263"/>
      <c r="G86" s="1263"/>
    </row>
    <row r="87" spans="2:7" x14ac:dyDescent="0.3">
      <c r="B87" s="1008" t="s">
        <v>167</v>
      </c>
      <c r="C87" s="992" t="s">
        <v>1155</v>
      </c>
      <c r="D87" s="992" t="s">
        <v>993</v>
      </c>
      <c r="E87" s="993">
        <v>108</v>
      </c>
      <c r="F87" s="1263"/>
      <c r="G87" s="1263"/>
    </row>
    <row r="88" spans="2:7" x14ac:dyDescent="0.3">
      <c r="B88" s="783"/>
      <c r="C88" s="784" t="s">
        <v>1156</v>
      </c>
      <c r="D88" s="784"/>
      <c r="E88" s="1257"/>
      <c r="F88" s="1263"/>
      <c r="G88" s="1263"/>
    </row>
    <row r="89" spans="2:7" x14ac:dyDescent="0.3">
      <c r="B89" s="928" t="s">
        <v>199</v>
      </c>
      <c r="C89" s="865" t="s">
        <v>1157</v>
      </c>
      <c r="D89" s="865" t="s">
        <v>993</v>
      </c>
      <c r="E89" s="987">
        <v>25</v>
      </c>
      <c r="F89" s="1263"/>
      <c r="G89" s="1263"/>
    </row>
    <row r="90" spans="2:7" x14ac:dyDescent="0.3">
      <c r="B90" s="928" t="s">
        <v>201</v>
      </c>
      <c r="C90" s="865" t="s">
        <v>1158</v>
      </c>
      <c r="D90" s="865" t="s">
        <v>993</v>
      </c>
      <c r="E90" s="987">
        <v>0</v>
      </c>
      <c r="F90" s="1263"/>
      <c r="G90" s="1263"/>
    </row>
    <row r="91" spans="2:7" x14ac:dyDescent="0.3">
      <c r="B91" s="928" t="s">
        <v>209</v>
      </c>
      <c r="C91" s="865" t="s">
        <v>1159</v>
      </c>
      <c r="D91" s="865" t="s">
        <v>993</v>
      </c>
      <c r="E91" s="987">
        <v>0</v>
      </c>
      <c r="F91" s="1263"/>
      <c r="G91" s="1263"/>
    </row>
    <row r="92" spans="2:7" x14ac:dyDescent="0.3">
      <c r="B92" s="928" t="s">
        <v>677</v>
      </c>
      <c r="C92" s="881" t="s">
        <v>1160</v>
      </c>
      <c r="D92" s="1289" t="s">
        <v>1119</v>
      </c>
      <c r="E92" s="1279">
        <v>0</v>
      </c>
      <c r="F92" s="1263"/>
      <c r="G92" s="1263"/>
    </row>
    <row r="93" spans="2:7" x14ac:dyDescent="0.3">
      <c r="B93" s="928" t="s">
        <v>679</v>
      </c>
      <c r="C93" s="865" t="s">
        <v>1161</v>
      </c>
      <c r="D93" s="865" t="s">
        <v>1126</v>
      </c>
      <c r="E93" s="1007">
        <v>64.400000000000006</v>
      </c>
      <c r="F93" s="1263"/>
      <c r="G93" s="1263"/>
    </row>
    <row r="94" spans="2:7" x14ac:dyDescent="0.3">
      <c r="B94" s="885" t="s">
        <v>1162</v>
      </c>
      <c r="C94" s="985" t="s">
        <v>1149</v>
      </c>
      <c r="D94" s="887" t="s">
        <v>1126</v>
      </c>
      <c r="E94" s="986">
        <v>0</v>
      </c>
      <c r="F94" s="1263"/>
      <c r="G94" s="1263"/>
    </row>
    <row r="95" spans="2:7" x14ac:dyDescent="0.3">
      <c r="B95" s="928" t="s">
        <v>681</v>
      </c>
      <c r="C95" s="865" t="s">
        <v>1163</v>
      </c>
      <c r="D95" s="865" t="s">
        <v>993</v>
      </c>
      <c r="E95" s="987">
        <v>59</v>
      </c>
      <c r="F95" s="1263"/>
      <c r="G95" s="1263"/>
    </row>
    <row r="96" spans="2:7" x14ac:dyDescent="0.3">
      <c r="B96" s="928" t="s">
        <v>683</v>
      </c>
      <c r="C96" s="865" t="s">
        <v>1164</v>
      </c>
      <c r="D96" s="865" t="s">
        <v>993</v>
      </c>
      <c r="E96" s="987">
        <v>46</v>
      </c>
      <c r="F96" s="1263"/>
      <c r="G96" s="1263"/>
    </row>
    <row r="97" spans="2:7" x14ac:dyDescent="0.3">
      <c r="B97" s="1008" t="s">
        <v>685</v>
      </c>
      <c r="C97" s="992" t="s">
        <v>1165</v>
      </c>
      <c r="D97" s="992" t="s">
        <v>993</v>
      </c>
      <c r="E97" s="993">
        <v>650</v>
      </c>
      <c r="F97" s="1292"/>
      <c r="G97" s="1292"/>
    </row>
    <row r="98" spans="2:7" x14ac:dyDescent="0.3">
      <c r="B98" s="783"/>
      <c r="C98" s="784" t="s">
        <v>1166</v>
      </c>
      <c r="D98" s="784"/>
      <c r="E98" s="1257"/>
      <c r="F98" s="1294"/>
      <c r="G98" s="1294"/>
    </row>
    <row r="99" spans="2:7" x14ac:dyDescent="0.3">
      <c r="B99" s="928" t="s">
        <v>213</v>
      </c>
      <c r="C99" s="1295" t="s">
        <v>1167</v>
      </c>
      <c r="D99" s="997" t="s">
        <v>993</v>
      </c>
      <c r="E99" s="998">
        <v>1</v>
      </c>
      <c r="F99" s="1294"/>
      <c r="G99" s="1294"/>
    </row>
    <row r="100" spans="2:7" x14ac:dyDescent="0.3">
      <c r="B100" s="928" t="s">
        <v>215</v>
      </c>
      <c r="C100" s="1296" t="s">
        <v>1168</v>
      </c>
      <c r="D100" s="865" t="s">
        <v>1169</v>
      </c>
      <c r="E100" s="987">
        <v>0.21</v>
      </c>
      <c r="F100" s="1263"/>
      <c r="G100" s="1263"/>
    </row>
    <row r="101" spans="2:7" ht="15.6" x14ac:dyDescent="0.3">
      <c r="B101" s="928" t="s">
        <v>217</v>
      </c>
      <c r="C101" s="1297" t="s">
        <v>1170</v>
      </c>
      <c r="D101" s="865" t="s">
        <v>869</v>
      </c>
      <c r="E101" s="1007">
        <v>1.923</v>
      </c>
      <c r="F101" s="1294"/>
      <c r="G101" s="1294"/>
    </row>
    <row r="102" spans="2:7" x14ac:dyDescent="0.3">
      <c r="B102" s="928" t="s">
        <v>1171</v>
      </c>
      <c r="C102" s="1296" t="s">
        <v>1172</v>
      </c>
      <c r="D102" s="865" t="s">
        <v>993</v>
      </c>
      <c r="E102" s="987">
        <v>0</v>
      </c>
      <c r="F102" s="1263"/>
      <c r="G102" s="1263"/>
    </row>
    <row r="103" spans="2:7" ht="15.6" x14ac:dyDescent="0.3">
      <c r="B103" s="928" t="s">
        <v>1173</v>
      </c>
      <c r="C103" s="1297" t="s">
        <v>1174</v>
      </c>
      <c r="D103" s="865" t="s">
        <v>869</v>
      </c>
      <c r="E103" s="1007">
        <v>0</v>
      </c>
      <c r="F103" s="1294"/>
      <c r="G103" s="1294"/>
    </row>
    <row r="104" spans="2:7" x14ac:dyDescent="0.3">
      <c r="B104" s="928" t="s">
        <v>1175</v>
      </c>
      <c r="C104" s="1296" t="s">
        <v>1176</v>
      </c>
      <c r="D104" s="865" t="s">
        <v>993</v>
      </c>
      <c r="E104" s="987">
        <v>12</v>
      </c>
      <c r="F104" s="1263"/>
      <c r="G104" s="1263"/>
    </row>
    <row r="105" spans="2:7" ht="15.6" x14ac:dyDescent="0.3">
      <c r="B105" s="928" t="s">
        <v>1177</v>
      </c>
      <c r="C105" s="1297" t="s">
        <v>1178</v>
      </c>
      <c r="D105" s="865" t="s">
        <v>869</v>
      </c>
      <c r="E105" s="1007">
        <v>122.744</v>
      </c>
      <c r="F105" s="1294"/>
      <c r="G105" s="1294"/>
    </row>
    <row r="106" spans="2:7" x14ac:dyDescent="0.3">
      <c r="B106" s="928" t="s">
        <v>1179</v>
      </c>
      <c r="C106" s="1296" t="s">
        <v>1180</v>
      </c>
      <c r="D106" s="865" t="s">
        <v>993</v>
      </c>
      <c r="E106" s="987">
        <v>3</v>
      </c>
      <c r="F106" s="1298"/>
      <c r="G106" s="1294"/>
    </row>
    <row r="107" spans="2:7" ht="15.6" x14ac:dyDescent="0.3">
      <c r="B107" s="928" t="s">
        <v>1181</v>
      </c>
      <c r="C107" s="1297" t="s">
        <v>1182</v>
      </c>
      <c r="D107" s="865" t="s">
        <v>869</v>
      </c>
      <c r="E107" s="1007">
        <v>1251.44</v>
      </c>
      <c r="F107" s="1281"/>
      <c r="G107" s="1281"/>
    </row>
    <row r="108" spans="2:7" x14ac:dyDescent="0.3">
      <c r="B108" s="928" t="s">
        <v>1183</v>
      </c>
      <c r="C108" s="1297" t="s">
        <v>1184</v>
      </c>
      <c r="D108" s="865" t="s">
        <v>993</v>
      </c>
      <c r="E108" s="987">
        <v>38</v>
      </c>
      <c r="F108" s="1293"/>
      <c r="G108" s="1293"/>
    </row>
    <row r="109" spans="2:7" x14ac:dyDescent="0.3">
      <c r="B109" s="928" t="s">
        <v>1185</v>
      </c>
      <c r="C109" s="1297" t="s">
        <v>1186</v>
      </c>
      <c r="D109" s="865" t="s">
        <v>993</v>
      </c>
      <c r="E109" s="987">
        <v>100</v>
      </c>
      <c r="F109" s="1293"/>
      <c r="G109" s="1293"/>
    </row>
    <row r="110" spans="2:7" x14ac:dyDescent="0.3">
      <c r="B110" s="1299" t="s">
        <v>1187</v>
      </c>
      <c r="C110" s="1300" t="s">
        <v>1188</v>
      </c>
      <c r="D110" s="932" t="s">
        <v>993</v>
      </c>
      <c r="E110" s="980">
        <v>132</v>
      </c>
      <c r="F110" s="1263"/>
      <c r="G110" s="1263"/>
    </row>
    <row r="111" spans="2:7" x14ac:dyDescent="0.3">
      <c r="B111" s="1301" t="s">
        <v>1189</v>
      </c>
      <c r="C111" s="789" t="s">
        <v>1190</v>
      </c>
      <c r="D111" s="1302"/>
      <c r="E111" s="1303"/>
      <c r="F111" s="1294"/>
      <c r="G111" s="1294"/>
    </row>
    <row r="112" spans="2:7" x14ac:dyDescent="0.3">
      <c r="B112" s="1003" t="s">
        <v>1191</v>
      </c>
      <c r="C112" s="1295" t="s">
        <v>1192</v>
      </c>
      <c r="D112" s="997" t="s">
        <v>1064</v>
      </c>
      <c r="E112" s="1304">
        <v>144.41999999999999</v>
      </c>
      <c r="F112" s="1294"/>
      <c r="G112" s="1294"/>
    </row>
    <row r="113" spans="2:7" x14ac:dyDescent="0.3">
      <c r="B113" s="928" t="s">
        <v>1193</v>
      </c>
      <c r="C113" s="1296" t="s">
        <v>1194</v>
      </c>
      <c r="D113" s="865" t="s">
        <v>1064</v>
      </c>
      <c r="E113" s="1007">
        <v>165.49</v>
      </c>
      <c r="F113" s="1294"/>
      <c r="G113" s="1294"/>
    </row>
    <row r="114" spans="2:7" x14ac:dyDescent="0.3">
      <c r="B114" s="928" t="s">
        <v>1195</v>
      </c>
      <c r="C114" s="1296" t="s">
        <v>1196</v>
      </c>
      <c r="D114" s="865" t="s">
        <v>1064</v>
      </c>
      <c r="E114" s="1007">
        <v>0</v>
      </c>
      <c r="F114" s="1294"/>
      <c r="G114" s="1294"/>
    </row>
    <row r="115" spans="2:7" x14ac:dyDescent="0.3">
      <c r="B115" s="928" t="s">
        <v>1197</v>
      </c>
      <c r="C115" s="1296" t="s">
        <v>1198</v>
      </c>
      <c r="D115" s="865" t="s">
        <v>1064</v>
      </c>
      <c r="E115" s="1007">
        <v>53.05</v>
      </c>
      <c r="F115" s="1294"/>
      <c r="G115" s="1294"/>
    </row>
    <row r="116" spans="2:7" x14ac:dyDescent="0.3">
      <c r="B116" s="1299" t="s">
        <v>1199</v>
      </c>
      <c r="C116" s="1305" t="s">
        <v>1200</v>
      </c>
      <c r="D116" s="932" t="s">
        <v>1064</v>
      </c>
      <c r="E116" s="1306">
        <v>6.8</v>
      </c>
      <c r="F116" s="1263"/>
      <c r="G116" s="1263"/>
    </row>
    <row r="117" spans="2:7" x14ac:dyDescent="0.3">
      <c r="B117" s="1301" t="s">
        <v>1201</v>
      </c>
      <c r="C117" s="789" t="s">
        <v>1202</v>
      </c>
      <c r="D117" s="1302"/>
      <c r="E117" s="939"/>
      <c r="F117" s="1294"/>
      <c r="G117" s="1294"/>
    </row>
    <row r="118" spans="2:7" x14ac:dyDescent="0.3">
      <c r="B118" s="1003" t="s">
        <v>1203</v>
      </c>
      <c r="C118" s="1295" t="s">
        <v>1204</v>
      </c>
      <c r="D118" s="997" t="s">
        <v>1064</v>
      </c>
      <c r="E118" s="1304">
        <v>6.03</v>
      </c>
      <c r="F118" s="1294"/>
      <c r="G118" s="1294"/>
    </row>
    <row r="119" spans="2:7" x14ac:dyDescent="0.3">
      <c r="B119" s="928" t="s">
        <v>1205</v>
      </c>
      <c r="C119" s="1296" t="s">
        <v>1194</v>
      </c>
      <c r="D119" s="865" t="s">
        <v>1064</v>
      </c>
      <c r="E119" s="1007">
        <v>5.43</v>
      </c>
      <c r="F119" s="1294"/>
      <c r="G119" s="1294"/>
    </row>
    <row r="120" spans="2:7" x14ac:dyDescent="0.3">
      <c r="B120" s="928" t="s">
        <v>1206</v>
      </c>
      <c r="C120" s="1296" t="s">
        <v>1196</v>
      </c>
      <c r="D120" s="865" t="s">
        <v>1064</v>
      </c>
      <c r="E120" s="1007">
        <v>0</v>
      </c>
      <c r="F120" s="1294"/>
      <c r="G120" s="1294"/>
    </row>
    <row r="121" spans="2:7" x14ac:dyDescent="0.3">
      <c r="B121" s="928" t="s">
        <v>1207</v>
      </c>
      <c r="C121" s="1296" t="s">
        <v>1198</v>
      </c>
      <c r="D121" s="865" t="s">
        <v>1064</v>
      </c>
      <c r="E121" s="1007">
        <v>9.35</v>
      </c>
      <c r="F121" s="1294"/>
      <c r="G121" s="1294"/>
    </row>
    <row r="122" spans="2:7" x14ac:dyDescent="0.3">
      <c r="B122" s="928" t="s">
        <v>1208</v>
      </c>
      <c r="C122" s="1296" t="s">
        <v>1200</v>
      </c>
      <c r="D122" s="865" t="s">
        <v>1064</v>
      </c>
      <c r="E122" s="1007">
        <v>1.18</v>
      </c>
      <c r="F122" s="1263"/>
      <c r="G122" s="1263"/>
    </row>
    <row r="123" spans="2:7" x14ac:dyDescent="0.3">
      <c r="B123" s="1307" t="s">
        <v>1209</v>
      </c>
      <c r="C123" s="789" t="s">
        <v>1210</v>
      </c>
      <c r="D123" s="1302"/>
      <c r="E123" s="1308"/>
      <c r="F123" s="1263"/>
      <c r="G123" s="1263"/>
    </row>
    <row r="124" spans="2:7" x14ac:dyDescent="0.3">
      <c r="B124" s="928" t="s">
        <v>1211</v>
      </c>
      <c r="C124" s="1296" t="s">
        <v>1212</v>
      </c>
      <c r="D124" s="865" t="s">
        <v>799</v>
      </c>
      <c r="E124" s="1007">
        <v>0</v>
      </c>
      <c r="F124" s="1263"/>
      <c r="G124" s="1263"/>
    </row>
    <row r="125" spans="2:7" x14ac:dyDescent="0.3">
      <c r="B125" s="928" t="s">
        <v>1213</v>
      </c>
      <c r="C125" s="1296" t="s">
        <v>1214</v>
      </c>
      <c r="D125" s="865" t="s">
        <v>799</v>
      </c>
      <c r="E125" s="1007">
        <v>0</v>
      </c>
      <c r="F125" s="1263"/>
      <c r="G125" s="1263"/>
    </row>
    <row r="126" spans="2:7" x14ac:dyDescent="0.3">
      <c r="B126" s="928" t="s">
        <v>1215</v>
      </c>
      <c r="C126" s="1296" t="s">
        <v>1216</v>
      </c>
      <c r="D126" s="865" t="s">
        <v>799</v>
      </c>
      <c r="E126" s="1007">
        <v>0</v>
      </c>
      <c r="F126" s="1263"/>
      <c r="G126" s="1263"/>
    </row>
    <row r="127" spans="2:7" x14ac:dyDescent="0.3">
      <c r="B127" s="1299" t="s">
        <v>1217</v>
      </c>
      <c r="C127" s="1305" t="s">
        <v>1218</v>
      </c>
      <c r="D127" s="932" t="s">
        <v>799</v>
      </c>
      <c r="E127" s="1306">
        <v>0</v>
      </c>
      <c r="F127" s="1263"/>
      <c r="G127" s="1263"/>
    </row>
    <row r="128" spans="2:7" x14ac:dyDescent="0.3">
      <c r="B128" s="1301" t="s">
        <v>1219</v>
      </c>
      <c r="C128" s="789" t="s">
        <v>1220</v>
      </c>
      <c r="D128" s="1302"/>
      <c r="E128" s="1303"/>
      <c r="F128" s="1263"/>
      <c r="G128" s="1263"/>
    </row>
    <row r="129" spans="2:7" x14ac:dyDescent="0.3">
      <c r="B129" s="1299" t="s">
        <v>1221</v>
      </c>
      <c r="C129" s="1305" t="s">
        <v>1192</v>
      </c>
      <c r="D129" s="932" t="s">
        <v>799</v>
      </c>
      <c r="E129" s="1309">
        <f>(E112-E118)*E130/1000</f>
        <v>190.43930933999999</v>
      </c>
      <c r="F129" s="1263"/>
      <c r="G129" s="1263"/>
    </row>
    <row r="130" spans="2:7" ht="15.6" x14ac:dyDescent="0.3">
      <c r="B130" s="1310" t="s">
        <v>1222</v>
      </c>
      <c r="C130" s="1311" t="s">
        <v>1223</v>
      </c>
      <c r="D130" s="992" t="s">
        <v>869</v>
      </c>
      <c r="E130" s="1312">
        <f>VAS077_F_Isvalytasbuiti1AtaskaitinisLaikotarpis</f>
        <v>1376.1060000000002</v>
      </c>
      <c r="F130" s="1263"/>
      <c r="G130" s="1263"/>
    </row>
    <row r="131" spans="2:7" x14ac:dyDescent="0.3">
      <c r="B131" s="783"/>
      <c r="C131" s="784" t="s">
        <v>1224</v>
      </c>
      <c r="D131" s="784"/>
      <c r="E131" s="1257"/>
      <c r="F131" s="1263"/>
      <c r="G131" s="1263"/>
    </row>
    <row r="132" spans="2:7" ht="15.6" x14ac:dyDescent="0.3">
      <c r="B132" s="1313" t="s">
        <v>1225</v>
      </c>
      <c r="C132" s="1314" t="s">
        <v>1226</v>
      </c>
      <c r="D132" s="865" t="s">
        <v>869</v>
      </c>
      <c r="E132" s="1315">
        <v>0</v>
      </c>
      <c r="F132" s="1263"/>
      <c r="G132" s="1263"/>
    </row>
    <row r="133" spans="2:7" x14ac:dyDescent="0.3">
      <c r="B133" s="928" t="s">
        <v>1227</v>
      </c>
      <c r="C133" s="1297" t="s">
        <v>1228</v>
      </c>
      <c r="D133" s="865" t="s">
        <v>993</v>
      </c>
      <c r="E133" s="987">
        <v>0</v>
      </c>
      <c r="F133" s="1263"/>
      <c r="G133" s="1263"/>
    </row>
    <row r="134" spans="2:7" x14ac:dyDescent="0.3">
      <c r="B134" s="1316" t="s">
        <v>1229</v>
      </c>
      <c r="C134" s="1317" t="s">
        <v>1230</v>
      </c>
      <c r="D134" s="870" t="s">
        <v>993</v>
      </c>
      <c r="E134" s="980">
        <v>0</v>
      </c>
      <c r="F134" s="1263"/>
      <c r="G134" s="1263"/>
    </row>
    <row r="135" spans="2:7" x14ac:dyDescent="0.3">
      <c r="B135" s="1301" t="s">
        <v>1231</v>
      </c>
      <c r="C135" s="789" t="s">
        <v>1232</v>
      </c>
      <c r="D135" s="1302"/>
      <c r="E135" s="1303"/>
      <c r="F135" s="1263"/>
      <c r="G135" s="1263"/>
    </row>
    <row r="136" spans="2:7" x14ac:dyDescent="0.3">
      <c r="B136" s="1003" t="s">
        <v>1233</v>
      </c>
      <c r="C136" s="1295" t="s">
        <v>1192</v>
      </c>
      <c r="D136" s="997" t="s">
        <v>1064</v>
      </c>
      <c r="E136" s="1304">
        <v>0</v>
      </c>
      <c r="F136" s="1263"/>
      <c r="G136" s="1263"/>
    </row>
    <row r="137" spans="2:7" x14ac:dyDescent="0.3">
      <c r="B137" s="928" t="s">
        <v>1234</v>
      </c>
      <c r="C137" s="1296" t="s">
        <v>1194</v>
      </c>
      <c r="D137" s="865" t="s">
        <v>1064</v>
      </c>
      <c r="E137" s="1007">
        <v>0</v>
      </c>
      <c r="F137" s="1263"/>
      <c r="G137" s="1263"/>
    </row>
    <row r="138" spans="2:7" x14ac:dyDescent="0.3">
      <c r="B138" s="928" t="s">
        <v>1235</v>
      </c>
      <c r="C138" s="1296" t="s">
        <v>1236</v>
      </c>
      <c r="D138" s="865" t="s">
        <v>1064</v>
      </c>
      <c r="E138" s="1007">
        <v>0</v>
      </c>
      <c r="F138" s="1263"/>
      <c r="G138" s="1263"/>
    </row>
    <row r="139" spans="2:7" x14ac:dyDescent="0.3">
      <c r="B139" s="1301" t="s">
        <v>1237</v>
      </c>
      <c r="C139" s="789" t="s">
        <v>1238</v>
      </c>
      <c r="D139" s="1302"/>
      <c r="E139" s="939"/>
      <c r="F139" s="1263"/>
      <c r="G139" s="1263"/>
    </row>
    <row r="140" spans="2:7" x14ac:dyDescent="0.3">
      <c r="B140" s="1003" t="s">
        <v>1239</v>
      </c>
      <c r="C140" s="1295" t="s">
        <v>1204</v>
      </c>
      <c r="D140" s="997" t="s">
        <v>1064</v>
      </c>
      <c r="E140" s="1304">
        <v>0</v>
      </c>
      <c r="F140" s="1263"/>
      <c r="G140" s="1263"/>
    </row>
    <row r="141" spans="2:7" x14ac:dyDescent="0.3">
      <c r="B141" s="928" t="s">
        <v>1240</v>
      </c>
      <c r="C141" s="1296" t="s">
        <v>1194</v>
      </c>
      <c r="D141" s="865" t="s">
        <v>1064</v>
      </c>
      <c r="E141" s="1007">
        <v>0</v>
      </c>
      <c r="F141" s="1263"/>
      <c r="G141" s="1263"/>
    </row>
    <row r="142" spans="2:7" x14ac:dyDescent="0.3">
      <c r="B142" s="1299" t="s">
        <v>1241</v>
      </c>
      <c r="C142" s="1305" t="s">
        <v>1236</v>
      </c>
      <c r="D142" s="932" t="s">
        <v>1064</v>
      </c>
      <c r="E142" s="1306">
        <v>0</v>
      </c>
      <c r="F142" s="1263"/>
      <c r="G142" s="1263"/>
    </row>
    <row r="143" spans="2:7" x14ac:dyDescent="0.3">
      <c r="B143" s="1301" t="s">
        <v>1242</v>
      </c>
      <c r="C143" s="789" t="s">
        <v>1220</v>
      </c>
      <c r="D143" s="789"/>
      <c r="E143" s="1303"/>
      <c r="F143" s="1263"/>
      <c r="G143" s="1263"/>
    </row>
    <row r="144" spans="2:7" x14ac:dyDescent="0.3">
      <c r="B144" s="1008" t="s">
        <v>1243</v>
      </c>
      <c r="C144" s="1296" t="s">
        <v>1192</v>
      </c>
      <c r="D144" s="865" t="s">
        <v>799</v>
      </c>
      <c r="E144" s="1291">
        <f>(E136-E140)*E132/1000</f>
        <v>0</v>
      </c>
      <c r="F144" s="1292"/>
      <c r="G144" s="1292"/>
    </row>
    <row r="145" spans="2:7" x14ac:dyDescent="0.3">
      <c r="B145" s="783"/>
      <c r="C145" s="784" t="s">
        <v>1244</v>
      </c>
      <c r="D145" s="784"/>
      <c r="E145" s="1257"/>
      <c r="F145" s="1292"/>
      <c r="G145" s="1292"/>
    </row>
    <row r="146" spans="2:7" ht="15.6" x14ac:dyDescent="0.3">
      <c r="B146" s="1313" t="s">
        <v>9</v>
      </c>
      <c r="C146" s="1318" t="s">
        <v>1245</v>
      </c>
      <c r="D146" s="865" t="s">
        <v>869</v>
      </c>
      <c r="E146" s="1315">
        <v>40</v>
      </c>
      <c r="F146" s="1292"/>
      <c r="G146" s="1292"/>
    </row>
    <row r="147" spans="2:7" x14ac:dyDescent="0.3">
      <c r="B147" s="928" t="s">
        <v>1246</v>
      </c>
      <c r="C147" s="1319" t="s">
        <v>1247</v>
      </c>
      <c r="D147" s="1320" t="s">
        <v>972</v>
      </c>
      <c r="E147" s="1321">
        <v>0.995</v>
      </c>
      <c r="F147" s="1292"/>
      <c r="G147" s="1292"/>
    </row>
    <row r="148" spans="2:7" x14ac:dyDescent="0.3">
      <c r="B148" s="928" t="s">
        <v>1248</v>
      </c>
      <c r="C148" s="1319" t="s">
        <v>1249</v>
      </c>
      <c r="D148" s="865" t="s">
        <v>1250</v>
      </c>
      <c r="E148" s="1007">
        <v>0.2</v>
      </c>
      <c r="F148" s="1292"/>
      <c r="G148" s="1292"/>
    </row>
    <row r="149" spans="2:7" x14ac:dyDescent="0.3">
      <c r="B149" s="1322" t="s">
        <v>1251</v>
      </c>
      <c r="C149" s="1323" t="s">
        <v>1252</v>
      </c>
      <c r="D149" s="989" t="s">
        <v>993</v>
      </c>
      <c r="E149" s="990">
        <v>39</v>
      </c>
      <c r="F149" s="1292"/>
      <c r="G149" s="1292"/>
    </row>
    <row r="150" spans="2:7" x14ac:dyDescent="0.3">
      <c r="B150" s="1324" t="s">
        <v>1253</v>
      </c>
      <c r="C150" s="1325" t="s">
        <v>1254</v>
      </c>
      <c r="D150" s="1325"/>
      <c r="E150" s="746"/>
      <c r="F150" s="1263"/>
      <c r="G150" s="1263"/>
    </row>
    <row r="151" spans="2:7" ht="15.6" x14ac:dyDescent="0.3">
      <c r="B151" s="1003" t="s">
        <v>1255</v>
      </c>
      <c r="C151" s="1326" t="s">
        <v>1256</v>
      </c>
      <c r="D151" s="865" t="s">
        <v>869</v>
      </c>
      <c r="E151" s="1007">
        <v>1.3</v>
      </c>
      <c r="F151" s="1293"/>
      <c r="G151" s="1293"/>
    </row>
    <row r="152" spans="2:7" x14ac:dyDescent="0.3">
      <c r="B152" s="928" t="s">
        <v>1257</v>
      </c>
      <c r="C152" s="1319" t="s">
        <v>1258</v>
      </c>
      <c r="D152" s="1320" t="s">
        <v>972</v>
      </c>
      <c r="E152" s="1321">
        <v>0.84</v>
      </c>
      <c r="F152" s="1263"/>
      <c r="G152" s="1263"/>
    </row>
    <row r="153" spans="2:7" x14ac:dyDescent="0.3">
      <c r="B153" s="1003" t="s">
        <v>1259</v>
      </c>
      <c r="C153" s="1327" t="s">
        <v>1260</v>
      </c>
      <c r="D153" s="989" t="s">
        <v>1250</v>
      </c>
      <c r="E153" s="1007">
        <v>0.2</v>
      </c>
      <c r="F153" s="1263"/>
      <c r="G153" s="1263"/>
    </row>
    <row r="154" spans="2:7" x14ac:dyDescent="0.3">
      <c r="B154" s="1299" t="s">
        <v>1261</v>
      </c>
      <c r="C154" s="1328" t="s">
        <v>1262</v>
      </c>
      <c r="D154" s="932" t="s">
        <v>993</v>
      </c>
      <c r="E154" s="980">
        <v>39</v>
      </c>
      <c r="F154" s="1263"/>
      <c r="G154" s="1263"/>
    </row>
    <row r="155" spans="2:7" x14ac:dyDescent="0.3">
      <c r="B155" s="1324" t="s">
        <v>1263</v>
      </c>
      <c r="C155" s="1325" t="s">
        <v>1264</v>
      </c>
      <c r="D155" s="1325"/>
      <c r="E155" s="1329"/>
      <c r="F155" s="1263"/>
      <c r="G155" s="1263"/>
    </row>
    <row r="156" spans="2:7" ht="15.6" x14ac:dyDescent="0.3">
      <c r="B156" s="928" t="s">
        <v>1265</v>
      </c>
      <c r="C156" s="1319" t="s">
        <v>1266</v>
      </c>
      <c r="D156" s="865" t="s">
        <v>869</v>
      </c>
      <c r="E156" s="1007">
        <v>0</v>
      </c>
      <c r="F156" s="1263"/>
      <c r="G156" s="1263"/>
    </row>
    <row r="157" spans="2:7" x14ac:dyDescent="0.3">
      <c r="B157" s="928" t="s">
        <v>1267</v>
      </c>
      <c r="C157" s="1319" t="s">
        <v>1268</v>
      </c>
      <c r="D157" s="1320" t="s">
        <v>972</v>
      </c>
      <c r="E157" s="1321">
        <v>0</v>
      </c>
      <c r="F157" s="1263"/>
      <c r="G157" s="1263"/>
    </row>
    <row r="158" spans="2:7" x14ac:dyDescent="0.3">
      <c r="B158" s="928" t="s">
        <v>1269</v>
      </c>
      <c r="C158" s="1327" t="s">
        <v>1270</v>
      </c>
      <c r="D158" s="989" t="s">
        <v>1250</v>
      </c>
      <c r="E158" s="1007">
        <v>0</v>
      </c>
      <c r="F158" s="1263"/>
      <c r="G158" s="1263"/>
    </row>
    <row r="159" spans="2:7" x14ac:dyDescent="0.3">
      <c r="B159" s="1299" t="s">
        <v>1271</v>
      </c>
      <c r="C159" s="1328" t="s">
        <v>1272</v>
      </c>
      <c r="D159" s="932" t="s">
        <v>993</v>
      </c>
      <c r="E159" s="980">
        <v>0</v>
      </c>
      <c r="F159" s="1263"/>
      <c r="G159" s="1263"/>
    </row>
    <row r="160" spans="2:7" x14ac:dyDescent="0.3">
      <c r="B160" s="1324" t="s">
        <v>1273</v>
      </c>
      <c r="C160" s="1325" t="s">
        <v>1274</v>
      </c>
      <c r="D160" s="1325"/>
      <c r="E160" s="1330"/>
      <c r="F160" s="1263"/>
      <c r="G160" s="1263"/>
    </row>
    <row r="161" spans="2:7" ht="15.6" x14ac:dyDescent="0.3">
      <c r="B161" s="928" t="s">
        <v>1275</v>
      </c>
      <c r="C161" s="1331" t="s">
        <v>1276</v>
      </c>
      <c r="D161" s="865" t="s">
        <v>869</v>
      </c>
      <c r="E161" s="1007">
        <v>0</v>
      </c>
      <c r="F161" s="1263"/>
      <c r="G161" s="1263"/>
    </row>
    <row r="162" spans="2:7" x14ac:dyDescent="0.3">
      <c r="B162" s="928" t="s">
        <v>1277</v>
      </c>
      <c r="C162" s="1331" t="s">
        <v>1278</v>
      </c>
      <c r="D162" s="865" t="s">
        <v>972</v>
      </c>
      <c r="E162" s="1321">
        <v>0</v>
      </c>
      <c r="F162" s="1263"/>
      <c r="G162" s="1263"/>
    </row>
    <row r="163" spans="2:7" x14ac:dyDescent="0.3">
      <c r="B163" s="928" t="s">
        <v>1279</v>
      </c>
      <c r="C163" s="1331" t="s">
        <v>1280</v>
      </c>
      <c r="D163" s="865" t="s">
        <v>1281</v>
      </c>
      <c r="E163" s="1007">
        <v>0</v>
      </c>
      <c r="F163" s="1263"/>
      <c r="G163" s="1263"/>
    </row>
    <row r="164" spans="2:7" x14ac:dyDescent="0.3">
      <c r="B164" s="1299" t="s">
        <v>1282</v>
      </c>
      <c r="C164" s="1328" t="s">
        <v>1283</v>
      </c>
      <c r="D164" s="932" t="s">
        <v>993</v>
      </c>
      <c r="E164" s="980">
        <v>0</v>
      </c>
      <c r="F164" s="1263"/>
      <c r="G164" s="1263"/>
    </row>
    <row r="165" spans="2:7" x14ac:dyDescent="0.3">
      <c r="B165" s="1324" t="s">
        <v>1284</v>
      </c>
      <c r="C165" s="1332" t="s">
        <v>1285</v>
      </c>
      <c r="D165" s="1333"/>
      <c r="E165" s="1334"/>
      <c r="F165" s="1263"/>
      <c r="G165" s="1263"/>
    </row>
    <row r="166" spans="2:7" ht="15.6" x14ac:dyDescent="0.3">
      <c r="B166" s="928" t="s">
        <v>1286</v>
      </c>
      <c r="C166" s="1319" t="s">
        <v>1287</v>
      </c>
      <c r="D166" s="865" t="s">
        <v>869</v>
      </c>
      <c r="E166" s="1007">
        <v>0</v>
      </c>
      <c r="F166" s="1263"/>
      <c r="G166" s="1263"/>
    </row>
    <row r="167" spans="2:7" x14ac:dyDescent="0.3">
      <c r="B167" s="928" t="s">
        <v>1288</v>
      </c>
      <c r="C167" s="1319" t="s">
        <v>1289</v>
      </c>
      <c r="D167" s="1320" t="s">
        <v>972</v>
      </c>
      <c r="E167" s="1321">
        <v>0</v>
      </c>
      <c r="F167" s="1263"/>
      <c r="G167" s="1263"/>
    </row>
    <row r="168" spans="2:7" x14ac:dyDescent="0.3">
      <c r="B168" s="1003" t="s">
        <v>1290</v>
      </c>
      <c r="C168" s="1327" t="s">
        <v>1291</v>
      </c>
      <c r="D168" s="989" t="s">
        <v>1250</v>
      </c>
      <c r="E168" s="1007">
        <v>0</v>
      </c>
      <c r="F168" s="1263"/>
      <c r="G168" s="1263"/>
    </row>
    <row r="169" spans="2:7" x14ac:dyDescent="0.3">
      <c r="B169" s="1299" t="s">
        <v>1292</v>
      </c>
      <c r="C169" s="1328" t="s">
        <v>1293</v>
      </c>
      <c r="D169" s="932" t="s">
        <v>993</v>
      </c>
      <c r="E169" s="980">
        <v>0</v>
      </c>
      <c r="F169" s="1263"/>
      <c r="G169" s="1263"/>
    </row>
    <row r="170" spans="2:7" x14ac:dyDescent="0.3">
      <c r="B170" s="1324" t="s">
        <v>1294</v>
      </c>
      <c r="C170" s="1325" t="s">
        <v>1295</v>
      </c>
      <c r="D170" s="1325"/>
      <c r="E170" s="1329"/>
      <c r="F170" s="1263"/>
      <c r="G170" s="1263"/>
    </row>
    <row r="171" spans="2:7" ht="15.6" x14ac:dyDescent="0.3">
      <c r="B171" s="928" t="s">
        <v>1296</v>
      </c>
      <c r="C171" s="1335" t="s">
        <v>1297</v>
      </c>
      <c r="D171" s="865" t="s">
        <v>869</v>
      </c>
      <c r="E171" s="1007">
        <v>0.9</v>
      </c>
      <c r="F171" s="1263"/>
      <c r="G171" s="1263"/>
    </row>
    <row r="172" spans="2:7" x14ac:dyDescent="0.3">
      <c r="B172" s="928" t="s">
        <v>1298</v>
      </c>
      <c r="C172" s="1336" t="s">
        <v>1299</v>
      </c>
      <c r="D172" s="1320" t="s">
        <v>972</v>
      </c>
      <c r="E172" s="1321">
        <v>0.2</v>
      </c>
      <c r="F172" s="1263"/>
      <c r="G172" s="1263"/>
    </row>
    <row r="173" spans="2:7" x14ac:dyDescent="0.3">
      <c r="B173" s="928" t="s">
        <v>1300</v>
      </c>
      <c r="C173" s="1336" t="s">
        <v>1301</v>
      </c>
      <c r="D173" s="997" t="s">
        <v>1250</v>
      </c>
      <c r="E173" s="1007">
        <v>0.2</v>
      </c>
      <c r="F173" s="1263"/>
      <c r="G173" s="1263"/>
    </row>
    <row r="174" spans="2:7" x14ac:dyDescent="0.3">
      <c r="B174" s="928" t="s">
        <v>1302</v>
      </c>
      <c r="C174" s="1337" t="s">
        <v>1303</v>
      </c>
      <c r="D174" s="989" t="s">
        <v>1250</v>
      </c>
      <c r="E174" s="1007">
        <v>0.9</v>
      </c>
      <c r="F174" s="1263"/>
      <c r="G174" s="1263"/>
    </row>
    <row r="175" spans="2:7" x14ac:dyDescent="0.3">
      <c r="B175" s="1299" t="s">
        <v>1304</v>
      </c>
      <c r="C175" s="1328" t="s">
        <v>1252</v>
      </c>
      <c r="D175" s="932" t="s">
        <v>993</v>
      </c>
      <c r="E175" s="980">
        <v>8</v>
      </c>
      <c r="F175" s="1263"/>
      <c r="G175" s="1263"/>
    </row>
    <row r="176" spans="2:7" x14ac:dyDescent="0.3">
      <c r="B176" s="1324" t="s">
        <v>1305</v>
      </c>
      <c r="C176" s="1325" t="s">
        <v>1306</v>
      </c>
      <c r="D176" s="1325"/>
      <c r="E176" s="1329"/>
      <c r="F176" s="1263"/>
      <c r="G176" s="1263"/>
    </row>
    <row r="177" spans="2:7" ht="15.6" x14ac:dyDescent="0.3">
      <c r="B177" s="1338" t="s">
        <v>1307</v>
      </c>
      <c r="C177" s="1335" t="s">
        <v>1308</v>
      </c>
      <c r="D177" s="865" t="s">
        <v>869</v>
      </c>
      <c r="E177" s="1007">
        <v>0</v>
      </c>
      <c r="F177" s="1263"/>
      <c r="G177" s="1263"/>
    </row>
    <row r="178" spans="2:7" x14ac:dyDescent="0.3">
      <c r="B178" s="1338" t="s">
        <v>1309</v>
      </c>
      <c r="C178" s="1336" t="s">
        <v>1310</v>
      </c>
      <c r="D178" s="1320" t="s">
        <v>972</v>
      </c>
      <c r="E178" s="1321">
        <v>0</v>
      </c>
      <c r="F178" s="1263"/>
      <c r="G178" s="1263"/>
    </row>
    <row r="179" spans="2:7" x14ac:dyDescent="0.3">
      <c r="B179" s="1338" t="s">
        <v>1311</v>
      </c>
      <c r="C179" s="1336" t="s">
        <v>1312</v>
      </c>
      <c r="D179" s="997" t="s">
        <v>1250</v>
      </c>
      <c r="E179" s="1007">
        <v>0</v>
      </c>
      <c r="F179" s="1263"/>
      <c r="G179" s="1263"/>
    </row>
    <row r="180" spans="2:7" x14ac:dyDescent="0.3">
      <c r="B180" s="1338" t="s">
        <v>1313</v>
      </c>
      <c r="C180" s="1336" t="s">
        <v>1314</v>
      </c>
      <c r="D180" s="997" t="s">
        <v>1250</v>
      </c>
      <c r="E180" s="1007">
        <v>0</v>
      </c>
      <c r="F180" s="1263"/>
      <c r="G180" s="1263"/>
    </row>
    <row r="181" spans="2:7" x14ac:dyDescent="0.3">
      <c r="B181" s="1338" t="s">
        <v>1315</v>
      </c>
      <c r="C181" s="1336" t="s">
        <v>1316</v>
      </c>
      <c r="D181" s="997" t="s">
        <v>1250</v>
      </c>
      <c r="E181" s="1007">
        <v>0</v>
      </c>
      <c r="F181" s="1263"/>
      <c r="G181" s="1263"/>
    </row>
    <row r="182" spans="2:7" x14ac:dyDescent="0.3">
      <c r="B182" s="1338" t="s">
        <v>1317</v>
      </c>
      <c r="C182" s="1336" t="s">
        <v>1303</v>
      </c>
      <c r="D182" s="997" t="s">
        <v>1250</v>
      </c>
      <c r="E182" s="1007">
        <v>0</v>
      </c>
      <c r="F182" s="1263"/>
      <c r="G182" s="1263"/>
    </row>
    <row r="183" spans="2:7" x14ac:dyDescent="0.3">
      <c r="B183" s="1008" t="s">
        <v>1318</v>
      </c>
      <c r="C183" s="1339" t="s">
        <v>1252</v>
      </c>
      <c r="D183" s="992" t="s">
        <v>993</v>
      </c>
      <c r="E183" s="993">
        <v>0</v>
      </c>
      <c r="F183" s="1263"/>
      <c r="G183" s="1263"/>
    </row>
    <row r="184" spans="2:7" x14ac:dyDescent="0.3">
      <c r="B184" s="783"/>
      <c r="C184" s="784" t="s">
        <v>1319</v>
      </c>
      <c r="D184" s="784"/>
      <c r="E184" s="1257"/>
      <c r="F184" s="1340"/>
      <c r="G184" s="1263"/>
    </row>
    <row r="185" spans="2:7" x14ac:dyDescent="0.3">
      <c r="B185" s="1313" t="s">
        <v>1320</v>
      </c>
      <c r="C185" s="1341" t="s">
        <v>1321</v>
      </c>
      <c r="D185" s="1342" t="s">
        <v>993</v>
      </c>
      <c r="E185" s="996">
        <f>SUM(E186:E190)</f>
        <v>51</v>
      </c>
      <c r="F185" s="1263"/>
      <c r="G185" s="1263"/>
    </row>
    <row r="186" spans="2:7" x14ac:dyDescent="0.3">
      <c r="B186" s="928" t="s">
        <v>1322</v>
      </c>
      <c r="C186" s="1271" t="s">
        <v>1323</v>
      </c>
      <c r="D186" s="1343" t="s">
        <v>993</v>
      </c>
      <c r="E186" s="987">
        <v>1</v>
      </c>
      <c r="F186" s="1294"/>
      <c r="G186" s="1294"/>
    </row>
    <row r="187" spans="2:7" x14ac:dyDescent="0.3">
      <c r="B187" s="928" t="s">
        <v>1324</v>
      </c>
      <c r="C187" s="1271" t="s">
        <v>1325</v>
      </c>
      <c r="D187" s="1343" t="s">
        <v>993</v>
      </c>
      <c r="E187" s="987">
        <v>4</v>
      </c>
      <c r="F187" s="1294"/>
      <c r="G187" s="1294"/>
    </row>
    <row r="188" spans="2:7" x14ac:dyDescent="0.3">
      <c r="B188" s="928" t="s">
        <v>1326</v>
      </c>
      <c r="C188" s="1271" t="s">
        <v>1327</v>
      </c>
      <c r="D188" s="1343" t="s">
        <v>993</v>
      </c>
      <c r="E188" s="987">
        <v>1</v>
      </c>
      <c r="F188" s="1294"/>
      <c r="G188" s="1294"/>
    </row>
    <row r="189" spans="2:7" x14ac:dyDescent="0.3">
      <c r="B189" s="928" t="s">
        <v>1328</v>
      </c>
      <c r="C189" s="1271" t="s">
        <v>1329</v>
      </c>
      <c r="D189" s="1343" t="s">
        <v>993</v>
      </c>
      <c r="E189" s="987">
        <v>22</v>
      </c>
      <c r="F189" s="1294"/>
      <c r="G189" s="1294"/>
    </row>
    <row r="190" spans="2:7" x14ac:dyDescent="0.3">
      <c r="B190" s="928" t="s">
        <v>1330</v>
      </c>
      <c r="C190" s="1271" t="s">
        <v>1331</v>
      </c>
      <c r="D190" s="1343" t="s">
        <v>993</v>
      </c>
      <c r="E190" s="984">
        <f>SUM(E191:E195)</f>
        <v>23</v>
      </c>
      <c r="F190" s="1294"/>
      <c r="G190" s="1294"/>
    </row>
    <row r="191" spans="2:7" x14ac:dyDescent="0.3">
      <c r="B191" s="885" t="s">
        <v>1332</v>
      </c>
      <c r="C191" s="985" t="s">
        <v>1333</v>
      </c>
      <c r="D191" s="1320" t="s">
        <v>993</v>
      </c>
      <c r="E191" s="986">
        <v>0</v>
      </c>
      <c r="F191" s="1294"/>
      <c r="G191" s="1294"/>
    </row>
    <row r="192" spans="2:7" x14ac:dyDescent="0.3">
      <c r="B192" s="885" t="s">
        <v>1334</v>
      </c>
      <c r="C192" s="985" t="s">
        <v>1335</v>
      </c>
      <c r="D192" s="1320" t="s">
        <v>993</v>
      </c>
      <c r="E192" s="986">
        <v>1</v>
      </c>
      <c r="F192" s="1294"/>
      <c r="G192" s="1294"/>
    </row>
    <row r="193" spans="2:7" x14ac:dyDescent="0.3">
      <c r="B193" s="885" t="s">
        <v>1336</v>
      </c>
      <c r="C193" s="985" t="s">
        <v>1337</v>
      </c>
      <c r="D193" s="1320" t="s">
        <v>993</v>
      </c>
      <c r="E193" s="986">
        <v>5</v>
      </c>
      <c r="F193" s="1294"/>
      <c r="G193" s="1294"/>
    </row>
    <row r="194" spans="2:7" x14ac:dyDescent="0.3">
      <c r="B194" s="885" t="s">
        <v>1338</v>
      </c>
      <c r="C194" s="985" t="s">
        <v>1339</v>
      </c>
      <c r="D194" s="1320" t="s">
        <v>993</v>
      </c>
      <c r="E194" s="986">
        <v>1</v>
      </c>
      <c r="F194" s="1294"/>
      <c r="G194" s="1294"/>
    </row>
    <row r="195" spans="2:7" x14ac:dyDescent="0.3">
      <c r="B195" s="1344" t="s">
        <v>1340</v>
      </c>
      <c r="C195" s="1345" t="s">
        <v>1341</v>
      </c>
      <c r="D195" s="1346" t="s">
        <v>993</v>
      </c>
      <c r="E195" s="1347">
        <v>16</v>
      </c>
      <c r="F195" s="1348"/>
      <c r="G195" s="1348"/>
    </row>
    <row r="196" spans="2:7" x14ac:dyDescent="0.3">
      <c r="B196" s="1349"/>
      <c r="C196" s="1349"/>
      <c r="D196" s="1349"/>
      <c r="E196" s="1350"/>
    </row>
    <row r="197" spans="2:7" x14ac:dyDescent="0.3">
      <c r="B197" s="1351" t="s">
        <v>1342</v>
      </c>
      <c r="C197" s="1" t="s">
        <v>1343</v>
      </c>
    </row>
    <row r="198" spans="2:7" x14ac:dyDescent="0.3">
      <c r="B198" s="1352" t="s">
        <v>1344</v>
      </c>
      <c r="C198" s="1" t="s">
        <v>1345</v>
      </c>
    </row>
    <row r="199" spans="2:7" x14ac:dyDescent="0.3">
      <c r="C199" s="1353"/>
    </row>
    <row r="200" spans="2:7" x14ac:dyDescent="0.3">
      <c r="B200" s="1354"/>
    </row>
    <row r="201" spans="2:7" x14ac:dyDescent="0.3">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59"/>
  <sheetViews>
    <sheetView zoomScale="85" zoomScaleNormal="85" workbookViewId="0">
      <selection activeCell="F18" sqref="F18"/>
    </sheetView>
  </sheetViews>
  <sheetFormatPr defaultColWidth="9.109375" defaultRowHeight="14.4" x14ac:dyDescent="0.3"/>
  <cols>
    <col min="1" max="1" width="4.88671875" style="5" customWidth="1"/>
    <col min="2" max="2" width="9.109375" style="5"/>
    <col min="3" max="3" width="54.6640625" style="5" customWidth="1"/>
    <col min="4" max="4" width="45.6640625" style="5" customWidth="1"/>
    <col min="5" max="6" width="30.6640625" style="5" customWidth="1"/>
    <col min="7" max="16" width="21.6640625" style="5" customWidth="1"/>
    <col min="17" max="16384" width="9.109375" style="5"/>
  </cols>
  <sheetData>
    <row r="1" spans="1:16" x14ac:dyDescent="0.3">
      <c r="A1" s="6" t="s">
        <v>0</v>
      </c>
      <c r="B1" s="7"/>
      <c r="C1" s="7"/>
      <c r="D1" s="7"/>
      <c r="E1" s="7"/>
      <c r="F1" s="7"/>
      <c r="G1" s="7"/>
      <c r="H1" s="7"/>
      <c r="I1" s="7"/>
      <c r="J1" s="7"/>
      <c r="K1" s="7"/>
      <c r="L1" s="7"/>
      <c r="M1" s="7"/>
      <c r="N1" s="7"/>
      <c r="O1" s="7"/>
      <c r="P1" s="7"/>
    </row>
    <row r="2" spans="1:16" x14ac:dyDescent="0.3">
      <c r="A2" s="6" t="s">
        <v>1</v>
      </c>
      <c r="B2" s="7"/>
      <c r="C2" s="7"/>
      <c r="D2" s="7"/>
      <c r="E2" s="7"/>
      <c r="F2" s="7"/>
      <c r="G2" s="7"/>
      <c r="H2" s="7"/>
      <c r="I2" s="7"/>
      <c r="J2" s="7"/>
      <c r="K2" s="7"/>
      <c r="L2" s="7"/>
      <c r="M2" s="7"/>
      <c r="N2" s="7"/>
      <c r="O2" s="7"/>
      <c r="P2" s="7"/>
    </row>
    <row r="3" spans="1:16" x14ac:dyDescent="0.3">
      <c r="A3" s="7"/>
      <c r="B3" s="7"/>
      <c r="C3" s="7"/>
      <c r="D3" s="7"/>
      <c r="E3" s="7"/>
      <c r="F3" s="7"/>
      <c r="G3" s="7"/>
      <c r="H3" s="7"/>
      <c r="I3" s="7"/>
      <c r="J3" s="7"/>
      <c r="K3" s="7"/>
      <c r="L3" s="7"/>
      <c r="M3" s="7"/>
      <c r="N3" s="7"/>
      <c r="O3" s="7"/>
      <c r="P3" s="7"/>
    </row>
    <row r="4" spans="1:16" x14ac:dyDescent="0.3">
      <c r="A4" s="7"/>
      <c r="B4" s="7"/>
      <c r="C4" s="7"/>
      <c r="D4" s="7"/>
      <c r="E4" s="7"/>
      <c r="F4" s="7"/>
      <c r="G4" s="7"/>
      <c r="H4" s="7"/>
      <c r="I4" s="7"/>
      <c r="J4" s="7"/>
      <c r="K4" s="7"/>
      <c r="L4" s="7"/>
      <c r="M4" s="7"/>
      <c r="N4" s="7"/>
      <c r="O4" s="7"/>
      <c r="P4" s="7"/>
    </row>
    <row r="5" spans="1:16" x14ac:dyDescent="0.3">
      <c r="A5" s="8" t="s">
        <v>1346</v>
      </c>
      <c r="B5" s="7"/>
      <c r="C5" s="7"/>
      <c r="D5" s="7"/>
      <c r="E5" s="7"/>
      <c r="F5" s="7"/>
      <c r="G5" s="7"/>
      <c r="H5" s="7"/>
      <c r="I5" s="7"/>
      <c r="J5" s="7"/>
      <c r="K5" s="7"/>
      <c r="L5" s="7"/>
      <c r="M5" s="7"/>
      <c r="N5" s="7"/>
      <c r="O5" s="7"/>
      <c r="P5" s="7"/>
    </row>
    <row r="6" spans="1:16" x14ac:dyDescent="0.3">
      <c r="A6" s="7"/>
      <c r="B6" s="7"/>
      <c r="C6" s="7"/>
      <c r="D6" s="7"/>
      <c r="E6" s="7"/>
      <c r="F6" s="7"/>
      <c r="G6" s="7"/>
      <c r="H6" s="7"/>
      <c r="I6" s="7"/>
      <c r="J6" s="7"/>
      <c r="K6" s="7"/>
      <c r="L6" s="7"/>
      <c r="M6" s="7"/>
      <c r="N6" s="7"/>
      <c r="O6" s="7"/>
      <c r="P6" s="7"/>
    </row>
    <row r="8" spans="1:16" x14ac:dyDescent="0.3">
      <c r="B8" s="1503" t="s">
        <v>1347</v>
      </c>
      <c r="C8" s="1503"/>
      <c r="D8" s="1503"/>
      <c r="E8" s="1503"/>
      <c r="F8" s="1503"/>
      <c r="G8" s="1503"/>
      <c r="H8" s="1503"/>
      <c r="I8" s="1503"/>
      <c r="J8" s="1503"/>
      <c r="K8" s="1503"/>
      <c r="L8" s="1503"/>
      <c r="M8" s="1503"/>
      <c r="N8" s="1503"/>
      <c r="O8" s="1503"/>
      <c r="P8" s="1503"/>
    </row>
    <row r="9" spans="1:16" ht="154.5" customHeight="1" x14ac:dyDescent="0.3">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3">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3">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3">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3">
      <c r="B13" s="1392"/>
      <c r="C13" s="1393" t="s">
        <v>1362</v>
      </c>
      <c r="D13" s="1394"/>
      <c r="E13" s="1395"/>
      <c r="F13" s="1396"/>
      <c r="G13" s="1397"/>
      <c r="H13" s="1398"/>
      <c r="I13" s="1399"/>
      <c r="J13" s="1397"/>
      <c r="K13" s="1398"/>
      <c r="L13" s="1399"/>
      <c r="M13" s="1400"/>
      <c r="N13" s="1397"/>
      <c r="O13" s="1401"/>
      <c r="P13" s="1401"/>
    </row>
    <row r="14" spans="1:16" x14ac:dyDescent="0.3">
      <c r="B14" s="1392"/>
      <c r="C14" s="1393" t="s">
        <v>1362</v>
      </c>
      <c r="D14" s="1394"/>
      <c r="E14" s="1395"/>
      <c r="F14" s="1396"/>
      <c r="G14" s="1397"/>
      <c r="H14" s="1398"/>
      <c r="I14" s="1399"/>
      <c r="J14" s="1397"/>
      <c r="K14" s="1398"/>
      <c r="L14" s="1399"/>
      <c r="M14" s="1400"/>
      <c r="N14" s="1397"/>
      <c r="O14" s="1401"/>
      <c r="P14" s="1401"/>
    </row>
    <row r="15" spans="1:16" x14ac:dyDescent="0.3">
      <c r="B15" s="1392"/>
      <c r="C15" s="1393" t="s">
        <v>1362</v>
      </c>
      <c r="D15" s="1394"/>
      <c r="E15" s="1395"/>
      <c r="F15" s="1396"/>
      <c r="G15" s="1397"/>
      <c r="H15" s="1398"/>
      <c r="I15" s="1399"/>
      <c r="J15" s="1397"/>
      <c r="K15" s="1398"/>
      <c r="L15" s="1399"/>
      <c r="M15" s="1400"/>
      <c r="N15" s="1397"/>
      <c r="O15" s="1401"/>
      <c r="P15" s="1401"/>
    </row>
    <row r="16" spans="1:16" x14ac:dyDescent="0.3">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3">
      <c r="B17" s="1392"/>
      <c r="C17" s="1393" t="s">
        <v>1362</v>
      </c>
      <c r="D17" s="1394"/>
      <c r="E17" s="1395"/>
      <c r="F17" s="1396"/>
      <c r="G17" s="1397"/>
      <c r="H17" s="1398"/>
      <c r="I17" s="1399"/>
      <c r="J17" s="1397"/>
      <c r="K17" s="1398"/>
      <c r="L17" s="1399"/>
      <c r="M17" s="1400"/>
      <c r="N17" s="1397"/>
      <c r="O17" s="1401"/>
      <c r="P17" s="1401"/>
    </row>
    <row r="18" spans="2:16" x14ac:dyDescent="0.3">
      <c r="B18" s="1392"/>
      <c r="C18" s="1393" t="s">
        <v>1362</v>
      </c>
      <c r="D18" s="1394"/>
      <c r="E18" s="1395"/>
      <c r="F18" s="1396"/>
      <c r="G18" s="1397"/>
      <c r="H18" s="1398"/>
      <c r="I18" s="1399"/>
      <c r="J18" s="1397"/>
      <c r="K18" s="1398"/>
      <c r="L18" s="1399"/>
      <c r="M18" s="1400"/>
      <c r="N18" s="1397"/>
      <c r="O18" s="1401"/>
      <c r="P18" s="1401"/>
    </row>
    <row r="19" spans="2:16" x14ac:dyDescent="0.3">
      <c r="B19" s="1392"/>
      <c r="C19" s="1393" t="s">
        <v>1362</v>
      </c>
      <c r="D19" s="1394"/>
      <c r="E19" s="1395"/>
      <c r="F19" s="1396"/>
      <c r="G19" s="1397"/>
      <c r="H19" s="1398"/>
      <c r="I19" s="1399"/>
      <c r="J19" s="1397"/>
      <c r="K19" s="1398"/>
      <c r="L19" s="1399"/>
      <c r="M19" s="1400"/>
      <c r="N19" s="1397"/>
      <c r="O19" s="1401"/>
      <c r="P19" s="1401"/>
    </row>
    <row r="20" spans="2:16" x14ac:dyDescent="0.3">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3">
      <c r="B21" s="1392"/>
      <c r="C21" s="1393" t="s">
        <v>1362</v>
      </c>
      <c r="D21" s="1394"/>
      <c r="E21" s="1395"/>
      <c r="F21" s="1396"/>
      <c r="G21" s="1397"/>
      <c r="H21" s="1398"/>
      <c r="I21" s="1399"/>
      <c r="J21" s="1397"/>
      <c r="K21" s="1398"/>
      <c r="L21" s="1399"/>
      <c r="M21" s="1400"/>
      <c r="N21" s="1397"/>
      <c r="O21" s="1401"/>
      <c r="P21" s="1401"/>
    </row>
    <row r="22" spans="2:16" x14ac:dyDescent="0.3">
      <c r="B22" s="1392"/>
      <c r="C22" s="1393" t="s">
        <v>1362</v>
      </c>
      <c r="D22" s="1394"/>
      <c r="E22" s="1395"/>
      <c r="F22" s="1396"/>
      <c r="G22" s="1397"/>
      <c r="H22" s="1398"/>
      <c r="I22" s="1399"/>
      <c r="J22" s="1397"/>
      <c r="K22" s="1398"/>
      <c r="L22" s="1399"/>
      <c r="M22" s="1400"/>
      <c r="N22" s="1397"/>
      <c r="O22" s="1401"/>
      <c r="P22" s="1401"/>
    </row>
    <row r="23" spans="2:16" x14ac:dyDescent="0.3">
      <c r="B23" s="1392"/>
      <c r="C23" s="1393" t="s">
        <v>1362</v>
      </c>
      <c r="D23" s="1394"/>
      <c r="E23" s="1395"/>
      <c r="F23" s="1396"/>
      <c r="G23" s="1397"/>
      <c r="H23" s="1398"/>
      <c r="I23" s="1399"/>
      <c r="J23" s="1397"/>
      <c r="K23" s="1398"/>
      <c r="L23" s="1399"/>
      <c r="M23" s="1400"/>
      <c r="N23" s="1397"/>
      <c r="O23" s="1401"/>
      <c r="P23" s="1401"/>
    </row>
    <row r="24" spans="2:16" x14ac:dyDescent="0.3">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3">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3">
      <c r="B26" s="1392"/>
      <c r="C26" s="1393" t="s">
        <v>1362</v>
      </c>
      <c r="D26" s="1394"/>
      <c r="E26" s="1395"/>
      <c r="F26" s="1396"/>
      <c r="G26" s="1397"/>
      <c r="H26" s="1398"/>
      <c r="I26" s="1399"/>
      <c r="J26" s="1397"/>
      <c r="K26" s="1398"/>
      <c r="L26" s="1399"/>
      <c r="M26" s="1400"/>
      <c r="N26" s="1409"/>
      <c r="O26" s="1410"/>
      <c r="P26" s="1410"/>
    </row>
    <row r="27" spans="2:16" x14ac:dyDescent="0.3">
      <c r="B27" s="1392"/>
      <c r="C27" s="1393" t="s">
        <v>1362</v>
      </c>
      <c r="D27" s="1394"/>
      <c r="E27" s="1395"/>
      <c r="F27" s="1396"/>
      <c r="G27" s="1397"/>
      <c r="H27" s="1398"/>
      <c r="I27" s="1399"/>
      <c r="J27" s="1397"/>
      <c r="K27" s="1398"/>
      <c r="L27" s="1399"/>
      <c r="M27" s="1400"/>
      <c r="N27" s="1409"/>
      <c r="O27" s="1410"/>
      <c r="P27" s="1410"/>
    </row>
    <row r="28" spans="2:16" x14ac:dyDescent="0.3">
      <c r="B28" s="1392"/>
      <c r="C28" s="1393" t="s">
        <v>1362</v>
      </c>
      <c r="D28" s="1394"/>
      <c r="E28" s="1395"/>
      <c r="F28" s="1396"/>
      <c r="G28" s="1397"/>
      <c r="H28" s="1398"/>
      <c r="I28" s="1399"/>
      <c r="J28" s="1397"/>
      <c r="K28" s="1398"/>
      <c r="L28" s="1399"/>
      <c r="M28" s="1400"/>
      <c r="N28" s="1409"/>
      <c r="O28" s="1410"/>
      <c r="P28" s="1410"/>
    </row>
    <row r="29" spans="2:16" x14ac:dyDescent="0.3">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3">
      <c r="B30" s="1392"/>
      <c r="C30" s="1393" t="s">
        <v>1362</v>
      </c>
      <c r="D30" s="1394"/>
      <c r="E30" s="1395"/>
      <c r="F30" s="1396"/>
      <c r="G30" s="1397"/>
      <c r="H30" s="1398"/>
      <c r="I30" s="1399"/>
      <c r="J30" s="1397"/>
      <c r="K30" s="1398"/>
      <c r="L30" s="1399"/>
      <c r="M30" s="1400"/>
      <c r="N30" s="1409"/>
      <c r="O30" s="1410"/>
      <c r="P30" s="1410"/>
    </row>
    <row r="31" spans="2:16" x14ac:dyDescent="0.3">
      <c r="B31" s="1392"/>
      <c r="C31" s="1393" t="s">
        <v>1362</v>
      </c>
      <c r="D31" s="1394"/>
      <c r="E31" s="1395"/>
      <c r="F31" s="1396"/>
      <c r="G31" s="1397"/>
      <c r="H31" s="1398"/>
      <c r="I31" s="1399"/>
      <c r="J31" s="1397"/>
      <c r="K31" s="1398"/>
      <c r="L31" s="1399"/>
      <c r="M31" s="1400"/>
      <c r="N31" s="1409"/>
      <c r="O31" s="1410"/>
      <c r="P31" s="1410"/>
    </row>
    <row r="32" spans="2:16" x14ac:dyDescent="0.3">
      <c r="B32" s="1392"/>
      <c r="C32" s="1393" t="s">
        <v>1362</v>
      </c>
      <c r="D32" s="1394"/>
      <c r="E32" s="1395"/>
      <c r="F32" s="1396"/>
      <c r="G32" s="1397"/>
      <c r="H32" s="1398"/>
      <c r="I32" s="1399"/>
      <c r="J32" s="1397"/>
      <c r="K32" s="1398"/>
      <c r="L32" s="1399"/>
      <c r="M32" s="1400"/>
      <c r="N32" s="1409"/>
      <c r="O32" s="1410"/>
      <c r="P32" s="1410"/>
    </row>
    <row r="33" spans="2:16" x14ac:dyDescent="0.3">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3">
      <c r="B34" s="1392"/>
      <c r="C34" s="1393" t="s">
        <v>1362</v>
      </c>
      <c r="D34" s="1394"/>
      <c r="E34" s="1395"/>
      <c r="F34" s="1396"/>
      <c r="G34" s="1397"/>
      <c r="H34" s="1398"/>
      <c r="I34" s="1399"/>
      <c r="J34" s="1397"/>
      <c r="K34" s="1398"/>
      <c r="L34" s="1399"/>
      <c r="M34" s="1400"/>
      <c r="N34" s="1409"/>
      <c r="O34" s="1410"/>
      <c r="P34" s="1410"/>
    </row>
    <row r="35" spans="2:16" x14ac:dyDescent="0.3">
      <c r="B35" s="1392"/>
      <c r="C35" s="1393" t="s">
        <v>1362</v>
      </c>
      <c r="D35" s="1394"/>
      <c r="E35" s="1395"/>
      <c r="F35" s="1396"/>
      <c r="G35" s="1397"/>
      <c r="H35" s="1398"/>
      <c r="I35" s="1399"/>
      <c r="J35" s="1397"/>
      <c r="K35" s="1398"/>
      <c r="L35" s="1399"/>
      <c r="M35" s="1400"/>
      <c r="N35" s="1409"/>
      <c r="O35" s="1410"/>
      <c r="P35" s="1410"/>
    </row>
    <row r="36" spans="2:16" x14ac:dyDescent="0.3">
      <c r="B36" s="1392"/>
      <c r="C36" s="1393" t="s">
        <v>1362</v>
      </c>
      <c r="D36" s="1394"/>
      <c r="E36" s="1395"/>
      <c r="F36" s="1396"/>
      <c r="G36" s="1397"/>
      <c r="H36" s="1398"/>
      <c r="I36" s="1399"/>
      <c r="J36" s="1397"/>
      <c r="K36" s="1398"/>
      <c r="L36" s="1399"/>
      <c r="M36" s="1400"/>
      <c r="N36" s="1409"/>
      <c r="O36" s="1410"/>
      <c r="P36" s="1410"/>
    </row>
    <row r="37" spans="2:16" x14ac:dyDescent="0.3">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3">
      <c r="B38" s="1392"/>
      <c r="C38" s="1393" t="s">
        <v>1362</v>
      </c>
      <c r="D38" s="1394"/>
      <c r="E38" s="1395"/>
      <c r="F38" s="1396"/>
      <c r="G38" s="1397"/>
      <c r="H38" s="1398"/>
      <c r="I38" s="1399"/>
      <c r="J38" s="1397"/>
      <c r="K38" s="1398"/>
      <c r="L38" s="1399"/>
      <c r="M38" s="1400"/>
      <c r="N38" s="1409"/>
      <c r="O38" s="1410"/>
      <c r="P38" s="1410"/>
    </row>
    <row r="39" spans="2:16" x14ac:dyDescent="0.3">
      <c r="B39" s="1392"/>
      <c r="C39" s="1393" t="s">
        <v>1362</v>
      </c>
      <c r="D39" s="1394"/>
      <c r="E39" s="1395"/>
      <c r="F39" s="1396"/>
      <c r="G39" s="1397"/>
      <c r="H39" s="1398"/>
      <c r="I39" s="1399"/>
      <c r="J39" s="1397"/>
      <c r="K39" s="1398"/>
      <c r="L39" s="1399"/>
      <c r="M39" s="1400"/>
      <c r="N39" s="1409"/>
      <c r="O39" s="1410"/>
      <c r="P39" s="1410"/>
    </row>
    <row r="40" spans="2:16" x14ac:dyDescent="0.3">
      <c r="B40" s="1392"/>
      <c r="C40" s="1393" t="s">
        <v>1362</v>
      </c>
      <c r="D40" s="1394"/>
      <c r="E40" s="1395"/>
      <c r="F40" s="1396"/>
      <c r="G40" s="1397"/>
      <c r="H40" s="1398"/>
      <c r="I40" s="1399"/>
      <c r="J40" s="1397"/>
      <c r="K40" s="1398"/>
      <c r="L40" s="1399"/>
      <c r="M40" s="1400"/>
      <c r="N40" s="1409"/>
      <c r="O40" s="1410"/>
      <c r="P40" s="1410"/>
    </row>
    <row r="41" spans="2:16" x14ac:dyDescent="0.3">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3">
      <c r="B42" s="1392"/>
      <c r="C42" s="1393" t="s">
        <v>1362</v>
      </c>
      <c r="D42" s="1394"/>
      <c r="E42" s="1395"/>
      <c r="F42" s="1396"/>
      <c r="G42" s="1397"/>
      <c r="H42" s="1398"/>
      <c r="I42" s="1399"/>
      <c r="J42" s="1397"/>
      <c r="K42" s="1398"/>
      <c r="L42" s="1399"/>
      <c r="M42" s="1400"/>
      <c r="N42" s="1409"/>
      <c r="O42" s="1410"/>
      <c r="P42" s="1410"/>
    </row>
    <row r="43" spans="2:16" x14ac:dyDescent="0.3">
      <c r="B43" s="1392"/>
      <c r="C43" s="1393" t="s">
        <v>1362</v>
      </c>
      <c r="D43" s="1394"/>
      <c r="E43" s="1395"/>
      <c r="F43" s="1396"/>
      <c r="G43" s="1397"/>
      <c r="H43" s="1398"/>
      <c r="I43" s="1399"/>
      <c r="J43" s="1397"/>
      <c r="K43" s="1398"/>
      <c r="L43" s="1399"/>
      <c r="M43" s="1400"/>
      <c r="N43" s="1409"/>
      <c r="O43" s="1410"/>
      <c r="P43" s="1410"/>
    </row>
    <row r="44" spans="2:16" x14ac:dyDescent="0.3">
      <c r="B44" s="1392"/>
      <c r="C44" s="1393" t="s">
        <v>1362</v>
      </c>
      <c r="D44" s="1394"/>
      <c r="E44" s="1395"/>
      <c r="F44" s="1396"/>
      <c r="G44" s="1397"/>
      <c r="H44" s="1398"/>
      <c r="I44" s="1399"/>
      <c r="J44" s="1397"/>
      <c r="K44" s="1398"/>
      <c r="L44" s="1399"/>
      <c r="M44" s="1400"/>
      <c r="N44" s="1409"/>
      <c r="O44" s="1410"/>
      <c r="P44" s="1410"/>
    </row>
    <row r="45" spans="2:16" ht="52.8" x14ac:dyDescent="0.3">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3">
      <c r="B46" s="1392"/>
      <c r="C46" s="1393" t="s">
        <v>1362</v>
      </c>
      <c r="D46" s="1394"/>
      <c r="E46" s="1395"/>
      <c r="F46" s="1396"/>
      <c r="G46" s="1397"/>
      <c r="H46" s="1398"/>
      <c r="I46" s="1399"/>
      <c r="J46" s="1397"/>
      <c r="K46" s="1398"/>
      <c r="L46" s="1399"/>
      <c r="M46" s="1400"/>
      <c r="N46" s="1409"/>
      <c r="O46" s="1410"/>
      <c r="P46" s="1410"/>
    </row>
    <row r="47" spans="2:16" x14ac:dyDescent="0.3">
      <c r="B47" s="1392"/>
      <c r="C47" s="1393" t="s">
        <v>1362</v>
      </c>
      <c r="D47" s="1394"/>
      <c r="E47" s="1395"/>
      <c r="F47" s="1396"/>
      <c r="G47" s="1397"/>
      <c r="H47" s="1398"/>
      <c r="I47" s="1399"/>
      <c r="J47" s="1397"/>
      <c r="K47" s="1398"/>
      <c r="L47" s="1399"/>
      <c r="M47" s="1400"/>
      <c r="N47" s="1409"/>
      <c r="O47" s="1410"/>
      <c r="P47" s="1410"/>
    </row>
    <row r="48" spans="2:16" x14ac:dyDescent="0.3">
      <c r="B48" s="1392"/>
      <c r="C48" s="1393" t="s">
        <v>1362</v>
      </c>
      <c r="D48" s="1394"/>
      <c r="E48" s="1395"/>
      <c r="F48" s="1396"/>
      <c r="G48" s="1397"/>
      <c r="H48" s="1398"/>
      <c r="I48" s="1399"/>
      <c r="J48" s="1397"/>
      <c r="K48" s="1398"/>
      <c r="L48" s="1399"/>
      <c r="M48" s="1400"/>
      <c r="N48" s="1409"/>
      <c r="O48" s="1410"/>
      <c r="P48" s="1410"/>
    </row>
    <row r="49" spans="2:16" x14ac:dyDescent="0.3">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6.599999999999994" x14ac:dyDescent="0.3">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3">
      <c r="B51" s="1392"/>
      <c r="C51" s="1393" t="s">
        <v>1362</v>
      </c>
      <c r="D51" s="1394"/>
      <c r="E51" s="1395"/>
      <c r="F51" s="1396"/>
      <c r="G51" s="1397"/>
      <c r="H51" s="1398"/>
      <c r="I51" s="1399"/>
      <c r="J51" s="1397"/>
      <c r="K51" s="1398"/>
      <c r="L51" s="1399"/>
      <c r="M51" s="1400"/>
      <c r="N51" s="1409"/>
      <c r="O51" s="1410"/>
      <c r="P51" s="1410"/>
    </row>
    <row r="52" spans="2:16" x14ac:dyDescent="0.3">
      <c r="B52" s="1392"/>
      <c r="C52" s="1393" t="s">
        <v>1362</v>
      </c>
      <c r="D52" s="1394"/>
      <c r="E52" s="1395"/>
      <c r="F52" s="1396"/>
      <c r="G52" s="1397"/>
      <c r="H52" s="1398"/>
      <c r="I52" s="1399"/>
      <c r="J52" s="1397"/>
      <c r="K52" s="1398"/>
      <c r="L52" s="1399"/>
      <c r="M52" s="1400"/>
      <c r="N52" s="1409"/>
      <c r="O52" s="1410"/>
      <c r="P52" s="1410"/>
    </row>
    <row r="53" spans="2:16" x14ac:dyDescent="0.3">
      <c r="B53" s="1392"/>
      <c r="C53" s="1393" t="s">
        <v>1362</v>
      </c>
      <c r="D53" s="1394"/>
      <c r="E53" s="1395"/>
      <c r="F53" s="1396"/>
      <c r="G53" s="1397"/>
      <c r="H53" s="1398"/>
      <c r="I53" s="1399"/>
      <c r="J53" s="1397"/>
      <c r="K53" s="1398"/>
      <c r="L53" s="1399"/>
      <c r="M53" s="1400"/>
      <c r="N53" s="1409"/>
      <c r="O53" s="1410"/>
      <c r="P53" s="1410"/>
    </row>
    <row r="54" spans="2:16" x14ac:dyDescent="0.3">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3">
      <c r="B55" s="1392"/>
      <c r="C55" s="1393" t="s">
        <v>1362</v>
      </c>
      <c r="D55" s="1394"/>
      <c r="E55" s="1395"/>
      <c r="F55" s="1396"/>
      <c r="G55" s="1397"/>
      <c r="H55" s="1398"/>
      <c r="I55" s="1399"/>
      <c r="J55" s="1397"/>
      <c r="K55" s="1398"/>
      <c r="L55" s="1399"/>
      <c r="M55" s="1400"/>
      <c r="N55" s="1409"/>
      <c r="O55" s="1410"/>
      <c r="P55" s="1410"/>
    </row>
    <row r="56" spans="2:16" x14ac:dyDescent="0.3">
      <c r="B56" s="1392"/>
      <c r="C56" s="1393" t="s">
        <v>1362</v>
      </c>
      <c r="D56" s="1394"/>
      <c r="E56" s="1395"/>
      <c r="F56" s="1396"/>
      <c r="G56" s="1397"/>
      <c r="H56" s="1398"/>
      <c r="I56" s="1399"/>
      <c r="J56" s="1397"/>
      <c r="K56" s="1398"/>
      <c r="L56" s="1399"/>
      <c r="M56" s="1400"/>
      <c r="N56" s="1409"/>
      <c r="O56" s="1410"/>
      <c r="P56" s="1410"/>
    </row>
    <row r="57" spans="2:16" x14ac:dyDescent="0.3">
      <c r="B57" s="1392"/>
      <c r="C57" s="1393" t="s">
        <v>1362</v>
      </c>
      <c r="D57" s="1394"/>
      <c r="E57" s="1395"/>
      <c r="F57" s="1396"/>
      <c r="G57" s="1397"/>
      <c r="H57" s="1398"/>
      <c r="I57" s="1399"/>
      <c r="J57" s="1397"/>
      <c r="K57" s="1398"/>
      <c r="L57" s="1399"/>
      <c r="M57" s="1400"/>
      <c r="N57" s="1409"/>
      <c r="O57" s="1410"/>
      <c r="P57" s="1410"/>
    </row>
    <row r="58" spans="2:16" x14ac:dyDescent="0.3">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3">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3">
      <c r="B60" s="1392"/>
      <c r="C60" s="1393" t="s">
        <v>1362</v>
      </c>
      <c r="D60" s="1394"/>
      <c r="E60" s="1395"/>
      <c r="F60" s="1396"/>
      <c r="G60" s="1397"/>
      <c r="H60" s="1398"/>
      <c r="I60" s="1399"/>
      <c r="J60" s="1397"/>
      <c r="K60" s="1398"/>
      <c r="L60" s="1399"/>
      <c r="M60" s="1400"/>
      <c r="N60" s="1397"/>
      <c r="O60" s="1401"/>
      <c r="P60" s="1401"/>
    </row>
    <row r="61" spans="2:16" x14ac:dyDescent="0.3">
      <c r="B61" s="1392"/>
      <c r="C61" s="1393" t="s">
        <v>1362</v>
      </c>
      <c r="D61" s="1394"/>
      <c r="E61" s="1395"/>
      <c r="F61" s="1396"/>
      <c r="G61" s="1397"/>
      <c r="H61" s="1398"/>
      <c r="I61" s="1399"/>
      <c r="J61" s="1397"/>
      <c r="K61" s="1398"/>
      <c r="L61" s="1399"/>
      <c r="M61" s="1400"/>
      <c r="N61" s="1397"/>
      <c r="O61" s="1401"/>
      <c r="P61" s="1401"/>
    </row>
    <row r="62" spans="2:16" x14ac:dyDescent="0.3">
      <c r="B62" s="1392"/>
      <c r="C62" s="1393" t="s">
        <v>1362</v>
      </c>
      <c r="D62" s="1394"/>
      <c r="E62" s="1395"/>
      <c r="F62" s="1396"/>
      <c r="G62" s="1397"/>
      <c r="H62" s="1398"/>
      <c r="I62" s="1399"/>
      <c r="J62" s="1397"/>
      <c r="K62" s="1398"/>
      <c r="L62" s="1399"/>
      <c r="M62" s="1400"/>
      <c r="N62" s="1397"/>
      <c r="O62" s="1401"/>
      <c r="P62" s="1401"/>
    </row>
    <row r="63" spans="2:16" x14ac:dyDescent="0.3">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3">
      <c r="B64" s="1392"/>
      <c r="C64" s="1393" t="s">
        <v>1362</v>
      </c>
      <c r="D64" s="1394"/>
      <c r="E64" s="1395"/>
      <c r="F64" s="1396"/>
      <c r="G64" s="1397"/>
      <c r="H64" s="1398"/>
      <c r="I64" s="1399"/>
      <c r="J64" s="1397"/>
      <c r="K64" s="1398"/>
      <c r="L64" s="1399"/>
      <c r="M64" s="1400"/>
      <c r="N64" s="1397"/>
      <c r="O64" s="1401"/>
      <c r="P64" s="1401"/>
    </row>
    <row r="65" spans="2:16" x14ac:dyDescent="0.3">
      <c r="B65" s="1392"/>
      <c r="C65" s="1393" t="s">
        <v>1362</v>
      </c>
      <c r="D65" s="1394"/>
      <c r="E65" s="1395"/>
      <c r="F65" s="1396"/>
      <c r="G65" s="1397"/>
      <c r="H65" s="1398"/>
      <c r="I65" s="1399"/>
      <c r="J65" s="1397"/>
      <c r="K65" s="1398"/>
      <c r="L65" s="1399"/>
      <c r="M65" s="1400"/>
      <c r="N65" s="1397"/>
      <c r="O65" s="1401"/>
      <c r="P65" s="1401"/>
    </row>
    <row r="66" spans="2:16" x14ac:dyDescent="0.3">
      <c r="B66" s="1392"/>
      <c r="C66" s="1393" t="s">
        <v>1362</v>
      </c>
      <c r="D66" s="1394"/>
      <c r="E66" s="1395"/>
      <c r="F66" s="1396"/>
      <c r="G66" s="1397"/>
      <c r="H66" s="1398"/>
      <c r="I66" s="1399"/>
      <c r="J66" s="1397"/>
      <c r="K66" s="1398"/>
      <c r="L66" s="1399"/>
      <c r="M66" s="1400"/>
      <c r="N66" s="1397"/>
      <c r="O66" s="1401"/>
      <c r="P66" s="1401"/>
    </row>
    <row r="67" spans="2:16" ht="33" customHeight="1" x14ac:dyDescent="0.3">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3">
      <c r="B68" s="1392"/>
      <c r="C68" s="1393" t="s">
        <v>1362</v>
      </c>
      <c r="D68" s="1394"/>
      <c r="E68" s="1395"/>
      <c r="F68" s="1396"/>
      <c r="G68" s="1397"/>
      <c r="H68" s="1398"/>
      <c r="I68" s="1399"/>
      <c r="J68" s="1397"/>
      <c r="K68" s="1398"/>
      <c r="L68" s="1399"/>
      <c r="M68" s="1400"/>
      <c r="N68" s="1397"/>
      <c r="O68" s="1401"/>
      <c r="P68" s="1401"/>
    </row>
    <row r="69" spans="2:16" x14ac:dyDescent="0.3">
      <c r="B69" s="1392"/>
      <c r="C69" s="1393" t="s">
        <v>1362</v>
      </c>
      <c r="D69" s="1394"/>
      <c r="E69" s="1395"/>
      <c r="F69" s="1396"/>
      <c r="G69" s="1397"/>
      <c r="H69" s="1398"/>
      <c r="I69" s="1399"/>
      <c r="J69" s="1397"/>
      <c r="K69" s="1398"/>
      <c r="L69" s="1399"/>
      <c r="M69" s="1400"/>
      <c r="N69" s="1397"/>
      <c r="O69" s="1401"/>
      <c r="P69" s="1401"/>
    </row>
    <row r="70" spans="2:16" x14ac:dyDescent="0.3">
      <c r="B70" s="1392"/>
      <c r="C70" s="1393" t="s">
        <v>1362</v>
      </c>
      <c r="D70" s="1394"/>
      <c r="E70" s="1395"/>
      <c r="F70" s="1396"/>
      <c r="G70" s="1397"/>
      <c r="H70" s="1398"/>
      <c r="I70" s="1399"/>
      <c r="J70" s="1397"/>
      <c r="K70" s="1398"/>
      <c r="L70" s="1399"/>
      <c r="M70" s="1400"/>
      <c r="N70" s="1397"/>
      <c r="O70" s="1401"/>
      <c r="P70" s="1401"/>
    </row>
    <row r="71" spans="2:16" ht="27" x14ac:dyDescent="0.3">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3">
      <c r="B72" s="1392"/>
      <c r="C72" s="1393" t="s">
        <v>1362</v>
      </c>
      <c r="D72" s="1394"/>
      <c r="E72" s="1395"/>
      <c r="F72" s="1396"/>
      <c r="G72" s="1397"/>
      <c r="H72" s="1398"/>
      <c r="I72" s="1399"/>
      <c r="J72" s="1397"/>
      <c r="K72" s="1398"/>
      <c r="L72" s="1399"/>
      <c r="M72" s="1400"/>
      <c r="N72" s="1397"/>
      <c r="O72" s="1401"/>
      <c r="P72" s="1401"/>
    </row>
    <row r="73" spans="2:16" x14ac:dyDescent="0.3">
      <c r="B73" s="1392"/>
      <c r="C73" s="1393" t="s">
        <v>1362</v>
      </c>
      <c r="D73" s="1394"/>
      <c r="E73" s="1395"/>
      <c r="F73" s="1396"/>
      <c r="G73" s="1397"/>
      <c r="H73" s="1398"/>
      <c r="I73" s="1399"/>
      <c r="J73" s="1397"/>
      <c r="K73" s="1398"/>
      <c r="L73" s="1399"/>
      <c r="M73" s="1400"/>
      <c r="N73" s="1397"/>
      <c r="O73" s="1401"/>
      <c r="P73" s="1401"/>
    </row>
    <row r="74" spans="2:16" x14ac:dyDescent="0.3">
      <c r="B74" s="1392"/>
      <c r="C74" s="1393" t="s">
        <v>1362</v>
      </c>
      <c r="D74" s="1394"/>
      <c r="E74" s="1395"/>
      <c r="F74" s="1396"/>
      <c r="G74" s="1397"/>
      <c r="H74" s="1398"/>
      <c r="I74" s="1399"/>
      <c r="J74" s="1397"/>
      <c r="K74" s="1398"/>
      <c r="L74" s="1399"/>
      <c r="M74" s="1400"/>
      <c r="N74" s="1397"/>
      <c r="O74" s="1401"/>
      <c r="P74" s="1401"/>
    </row>
    <row r="75" spans="2:16" ht="27" x14ac:dyDescent="0.3">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3">
      <c r="B76" s="1392"/>
      <c r="C76" s="1393" t="s">
        <v>1362</v>
      </c>
      <c r="D76" s="1394"/>
      <c r="E76" s="1395"/>
      <c r="F76" s="1396"/>
      <c r="G76" s="1397"/>
      <c r="H76" s="1398"/>
      <c r="I76" s="1399"/>
      <c r="J76" s="1397"/>
      <c r="K76" s="1398"/>
      <c r="L76" s="1399"/>
      <c r="M76" s="1400"/>
      <c r="N76" s="1397"/>
      <c r="O76" s="1401"/>
      <c r="P76" s="1401"/>
    </row>
    <row r="77" spans="2:16" x14ac:dyDescent="0.3">
      <c r="B77" s="1392"/>
      <c r="C77" s="1393" t="s">
        <v>1362</v>
      </c>
      <c r="D77" s="1394"/>
      <c r="E77" s="1395"/>
      <c r="F77" s="1396"/>
      <c r="G77" s="1397"/>
      <c r="H77" s="1398"/>
      <c r="I77" s="1399"/>
      <c r="J77" s="1397"/>
      <c r="K77" s="1398"/>
      <c r="L77" s="1399"/>
      <c r="M77" s="1400"/>
      <c r="N77" s="1397"/>
      <c r="O77" s="1401"/>
      <c r="P77" s="1401"/>
    </row>
    <row r="78" spans="2:16" x14ac:dyDescent="0.3">
      <c r="B78" s="1392"/>
      <c r="C78" s="1393" t="s">
        <v>1362</v>
      </c>
      <c r="D78" s="1394"/>
      <c r="E78" s="1395"/>
      <c r="F78" s="1396"/>
      <c r="G78" s="1397"/>
      <c r="H78" s="1398"/>
      <c r="I78" s="1399"/>
      <c r="J78" s="1397"/>
      <c r="K78" s="1398"/>
      <c r="L78" s="1399"/>
      <c r="M78" s="1400"/>
      <c r="N78" s="1397"/>
      <c r="O78" s="1401"/>
      <c r="P78" s="1401"/>
    </row>
    <row r="79" spans="2:16" x14ac:dyDescent="0.3">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3">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3">
      <c r="B81" s="1392"/>
      <c r="C81" s="1393" t="s">
        <v>1362</v>
      </c>
      <c r="D81" s="1394"/>
      <c r="E81" s="1430"/>
      <c r="F81" s="1431"/>
      <c r="G81" s="1432"/>
      <c r="H81" s="1433"/>
      <c r="I81" s="1434"/>
      <c r="J81" s="1432"/>
      <c r="K81" s="1433"/>
      <c r="L81" s="1434"/>
      <c r="M81" s="1435"/>
      <c r="N81" s="1432"/>
      <c r="O81" s="1436"/>
      <c r="P81" s="1436"/>
    </row>
    <row r="82" spans="2:16" x14ac:dyDescent="0.3">
      <c r="B82" s="1392"/>
      <c r="C82" s="1393" t="s">
        <v>1362</v>
      </c>
      <c r="D82" s="1394"/>
      <c r="E82" s="1430"/>
      <c r="F82" s="1431"/>
      <c r="G82" s="1432"/>
      <c r="H82" s="1433"/>
      <c r="I82" s="1434"/>
      <c r="J82" s="1432"/>
      <c r="K82" s="1433"/>
      <c r="L82" s="1434"/>
      <c r="M82" s="1435"/>
      <c r="N82" s="1432"/>
      <c r="O82" s="1436"/>
      <c r="P82" s="1436"/>
    </row>
    <row r="83" spans="2:16" x14ac:dyDescent="0.3">
      <c r="B83" s="1392"/>
      <c r="C83" s="1393" t="s">
        <v>1362</v>
      </c>
      <c r="D83" s="1394"/>
      <c r="E83" s="1430"/>
      <c r="F83" s="1431"/>
      <c r="G83" s="1437"/>
      <c r="H83" s="1438"/>
      <c r="I83" s="1439"/>
      <c r="J83" s="1437"/>
      <c r="K83" s="1438"/>
      <c r="L83" s="1439"/>
      <c r="M83" s="1440"/>
      <c r="N83" s="1437"/>
      <c r="O83" s="1441"/>
      <c r="P83" s="1441"/>
    </row>
    <row r="84" spans="2:16" ht="27" x14ac:dyDescent="0.3">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3">
      <c r="B85" s="1443"/>
      <c r="C85" s="1393" t="s">
        <v>1362</v>
      </c>
      <c r="D85" s="1394"/>
      <c r="E85" s="1444"/>
      <c r="F85" s="1445"/>
      <c r="G85" s="1437"/>
      <c r="H85" s="1438"/>
      <c r="I85" s="1439"/>
      <c r="J85" s="1437"/>
      <c r="K85" s="1438"/>
      <c r="L85" s="1439"/>
      <c r="M85" s="1440"/>
      <c r="N85" s="1437"/>
      <c r="O85" s="1441"/>
      <c r="P85" s="1441"/>
    </row>
    <row r="86" spans="2:16" x14ac:dyDescent="0.3">
      <c r="B86" s="1443"/>
      <c r="C86" s="1393" t="s">
        <v>1362</v>
      </c>
      <c r="D86" s="1394"/>
      <c r="E86" s="1444"/>
      <c r="F86" s="1445"/>
      <c r="G86" s="1437"/>
      <c r="H86" s="1438"/>
      <c r="I86" s="1439"/>
      <c r="J86" s="1437"/>
      <c r="K86" s="1438"/>
      <c r="L86" s="1439"/>
      <c r="M86" s="1440"/>
      <c r="N86" s="1437"/>
      <c r="O86" s="1441"/>
      <c r="P86" s="1441"/>
    </row>
    <row r="87" spans="2:16" x14ac:dyDescent="0.3">
      <c r="B87" s="1443"/>
      <c r="C87" s="1393" t="s">
        <v>1362</v>
      </c>
      <c r="D87" s="1394"/>
      <c r="E87" s="1444"/>
      <c r="F87" s="1445"/>
      <c r="G87" s="1437"/>
      <c r="H87" s="1438"/>
      <c r="I87" s="1439"/>
      <c r="J87" s="1437"/>
      <c r="K87" s="1438"/>
      <c r="L87" s="1439"/>
      <c r="M87" s="1440"/>
      <c r="N87" s="1437"/>
      <c r="O87" s="1441"/>
      <c r="P87" s="1441"/>
    </row>
    <row r="88" spans="2:16" x14ac:dyDescent="0.3">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3">
      <c r="B89" s="1443"/>
      <c r="C89" s="1393" t="s">
        <v>1362</v>
      </c>
      <c r="D89" s="1394"/>
      <c r="E89" s="1444"/>
      <c r="F89" s="1445"/>
      <c r="G89" s="1437"/>
      <c r="H89" s="1438"/>
      <c r="I89" s="1439"/>
      <c r="J89" s="1437"/>
      <c r="K89" s="1438"/>
      <c r="L89" s="1439"/>
      <c r="M89" s="1440"/>
      <c r="N89" s="1437"/>
      <c r="O89" s="1441"/>
      <c r="P89" s="1441"/>
    </row>
    <row r="90" spans="2:16" x14ac:dyDescent="0.3">
      <c r="B90" s="1392"/>
      <c r="C90" s="1393" t="s">
        <v>1362</v>
      </c>
      <c r="D90" s="1394"/>
      <c r="E90" s="1444"/>
      <c r="F90" s="1445"/>
      <c r="G90" s="1437"/>
      <c r="H90" s="1438"/>
      <c r="I90" s="1439"/>
      <c r="J90" s="1437"/>
      <c r="K90" s="1438"/>
      <c r="L90" s="1439"/>
      <c r="M90" s="1440"/>
      <c r="N90" s="1437"/>
      <c r="O90" s="1441"/>
      <c r="P90" s="1441"/>
    </row>
    <row r="91" spans="2:16" x14ac:dyDescent="0.3">
      <c r="B91" s="1392"/>
      <c r="C91" s="1393" t="s">
        <v>1362</v>
      </c>
      <c r="D91" s="1394"/>
      <c r="E91" s="1444"/>
      <c r="F91" s="1445"/>
      <c r="G91" s="1437"/>
      <c r="H91" s="1438"/>
      <c r="I91" s="1439"/>
      <c r="J91" s="1437"/>
      <c r="K91" s="1438"/>
      <c r="L91" s="1439"/>
      <c r="M91" s="1440"/>
      <c r="N91" s="1437"/>
      <c r="O91" s="1441"/>
      <c r="P91" s="1441"/>
    </row>
    <row r="92" spans="2:16" x14ac:dyDescent="0.3">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3">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3">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3">
      <c r="B95" s="1392"/>
      <c r="C95" s="1393" t="s">
        <v>1362</v>
      </c>
      <c r="D95" s="1394"/>
      <c r="E95" s="1395"/>
      <c r="F95" s="1396"/>
      <c r="G95" s="1397"/>
      <c r="H95" s="1398"/>
      <c r="I95" s="1399"/>
      <c r="J95" s="1397"/>
      <c r="K95" s="1398"/>
      <c r="L95" s="1399"/>
      <c r="M95" s="1400"/>
      <c r="N95" s="1397"/>
      <c r="O95" s="1401"/>
      <c r="P95" s="1401"/>
    </row>
    <row r="96" spans="2:16" x14ac:dyDescent="0.3">
      <c r="B96" s="1392"/>
      <c r="C96" s="1393" t="s">
        <v>1362</v>
      </c>
      <c r="D96" s="1394"/>
      <c r="E96" s="1395"/>
      <c r="F96" s="1396"/>
      <c r="G96" s="1397"/>
      <c r="H96" s="1398"/>
      <c r="I96" s="1399"/>
      <c r="J96" s="1397"/>
      <c r="K96" s="1398"/>
      <c r="L96" s="1399"/>
      <c r="M96" s="1400"/>
      <c r="N96" s="1397"/>
      <c r="O96" s="1401"/>
      <c r="P96" s="1401"/>
    </row>
    <row r="97" spans="2:16" x14ac:dyDescent="0.3">
      <c r="B97" s="1392"/>
      <c r="C97" s="1393" t="s">
        <v>1362</v>
      </c>
      <c r="D97" s="1394"/>
      <c r="E97" s="1395"/>
      <c r="F97" s="1396"/>
      <c r="G97" s="1397"/>
      <c r="H97" s="1398"/>
      <c r="I97" s="1399"/>
      <c r="J97" s="1397"/>
      <c r="K97" s="1398"/>
      <c r="L97" s="1399"/>
      <c r="M97" s="1400"/>
      <c r="N97" s="1397"/>
      <c r="O97" s="1401"/>
      <c r="P97" s="1401"/>
    </row>
    <row r="98" spans="2:16" x14ac:dyDescent="0.3">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3">
      <c r="B99" s="1392"/>
      <c r="C99" s="1393" t="s">
        <v>1362</v>
      </c>
      <c r="D99" s="1394"/>
      <c r="E99" s="1395"/>
      <c r="F99" s="1396"/>
      <c r="G99" s="1397"/>
      <c r="H99" s="1398"/>
      <c r="I99" s="1399"/>
      <c r="J99" s="1397"/>
      <c r="K99" s="1398"/>
      <c r="L99" s="1399"/>
      <c r="M99" s="1400"/>
      <c r="N99" s="1397"/>
      <c r="O99" s="1401"/>
      <c r="P99" s="1401"/>
    </row>
    <row r="100" spans="2:16" x14ac:dyDescent="0.3">
      <c r="B100" s="1392"/>
      <c r="C100" s="1393" t="s">
        <v>1362</v>
      </c>
      <c r="D100" s="1394"/>
      <c r="E100" s="1395"/>
      <c r="F100" s="1396"/>
      <c r="G100" s="1397"/>
      <c r="H100" s="1398"/>
      <c r="I100" s="1399"/>
      <c r="J100" s="1397"/>
      <c r="K100" s="1398"/>
      <c r="L100" s="1399"/>
      <c r="M100" s="1400"/>
      <c r="N100" s="1397"/>
      <c r="O100" s="1401"/>
      <c r="P100" s="1401"/>
    </row>
    <row r="101" spans="2:16" x14ac:dyDescent="0.3">
      <c r="B101" s="1392"/>
      <c r="C101" s="1393" t="s">
        <v>1362</v>
      </c>
      <c r="D101" s="1394"/>
      <c r="E101" s="1395"/>
      <c r="F101" s="1396"/>
      <c r="G101" s="1397"/>
      <c r="H101" s="1398"/>
      <c r="I101" s="1399"/>
      <c r="J101" s="1397"/>
      <c r="K101" s="1398"/>
      <c r="L101" s="1399"/>
      <c r="M101" s="1400"/>
      <c r="N101" s="1397"/>
      <c r="O101" s="1401"/>
      <c r="P101" s="1401"/>
    </row>
    <row r="102" spans="2:16" x14ac:dyDescent="0.3">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3">
      <c r="B103" s="1392"/>
      <c r="C103" s="1393" t="s">
        <v>1362</v>
      </c>
      <c r="D103" s="1394"/>
      <c r="E103" s="1395"/>
      <c r="F103" s="1396"/>
      <c r="G103" s="1397"/>
      <c r="H103" s="1398"/>
      <c r="I103" s="1399"/>
      <c r="J103" s="1397"/>
      <c r="K103" s="1398"/>
      <c r="L103" s="1399"/>
      <c r="M103" s="1400"/>
      <c r="N103" s="1397"/>
      <c r="O103" s="1401"/>
      <c r="P103" s="1401"/>
    </row>
    <row r="104" spans="2:16" x14ac:dyDescent="0.3">
      <c r="B104" s="1392"/>
      <c r="C104" s="1393" t="s">
        <v>1362</v>
      </c>
      <c r="D104" s="1394"/>
      <c r="E104" s="1395"/>
      <c r="F104" s="1396"/>
      <c r="G104" s="1397"/>
      <c r="H104" s="1398"/>
      <c r="I104" s="1399"/>
      <c r="J104" s="1397"/>
      <c r="K104" s="1398"/>
      <c r="L104" s="1399"/>
      <c r="M104" s="1400"/>
      <c r="N104" s="1397"/>
      <c r="O104" s="1401"/>
      <c r="P104" s="1401"/>
    </row>
    <row r="105" spans="2:16" x14ac:dyDescent="0.3">
      <c r="B105" s="1392"/>
      <c r="C105" s="1393" t="s">
        <v>1362</v>
      </c>
      <c r="D105" s="1394"/>
      <c r="E105" s="1395"/>
      <c r="F105" s="1396"/>
      <c r="G105" s="1397"/>
      <c r="H105" s="1398"/>
      <c r="I105" s="1399"/>
      <c r="J105" s="1397"/>
      <c r="K105" s="1398"/>
      <c r="L105" s="1399"/>
      <c r="M105" s="1400"/>
      <c r="N105" s="1397"/>
      <c r="O105" s="1401"/>
      <c r="P105" s="1401"/>
    </row>
    <row r="106" spans="2:16" x14ac:dyDescent="0.3">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3">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3">
      <c r="B108" s="1392"/>
      <c r="C108" s="1393" t="s">
        <v>1362</v>
      </c>
      <c r="D108" s="1394"/>
      <c r="E108" s="1395"/>
      <c r="F108" s="1396"/>
      <c r="G108" s="1397"/>
      <c r="H108" s="1398"/>
      <c r="I108" s="1399"/>
      <c r="J108" s="1397"/>
      <c r="K108" s="1398"/>
      <c r="L108" s="1399"/>
      <c r="M108" s="1400"/>
      <c r="N108" s="1409"/>
      <c r="O108" s="1410"/>
      <c r="P108" s="1410"/>
    </row>
    <row r="109" spans="2:16" x14ac:dyDescent="0.3">
      <c r="B109" s="1392"/>
      <c r="C109" s="1393" t="s">
        <v>1362</v>
      </c>
      <c r="D109" s="1394"/>
      <c r="E109" s="1395"/>
      <c r="F109" s="1396"/>
      <c r="G109" s="1397"/>
      <c r="H109" s="1398"/>
      <c r="I109" s="1399"/>
      <c r="J109" s="1397"/>
      <c r="K109" s="1398"/>
      <c r="L109" s="1399"/>
      <c r="M109" s="1400"/>
      <c r="N109" s="1409"/>
      <c r="O109" s="1410"/>
      <c r="P109" s="1410"/>
    </row>
    <row r="110" spans="2:16" x14ac:dyDescent="0.3">
      <c r="B110" s="1392"/>
      <c r="C110" s="1393" t="s">
        <v>1362</v>
      </c>
      <c r="D110" s="1394"/>
      <c r="E110" s="1395"/>
      <c r="F110" s="1396"/>
      <c r="G110" s="1397"/>
      <c r="H110" s="1398"/>
      <c r="I110" s="1399"/>
      <c r="J110" s="1397"/>
      <c r="K110" s="1398"/>
      <c r="L110" s="1399"/>
      <c r="M110" s="1400"/>
      <c r="N110" s="1409"/>
      <c r="O110" s="1410"/>
      <c r="P110" s="1410"/>
    </row>
    <row r="111" spans="2:16" x14ac:dyDescent="0.3">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3">
      <c r="B112" s="1392"/>
      <c r="C112" s="1393" t="s">
        <v>1362</v>
      </c>
      <c r="D112" s="1394"/>
      <c r="E112" s="1395"/>
      <c r="F112" s="1396"/>
      <c r="G112" s="1397"/>
      <c r="H112" s="1398"/>
      <c r="I112" s="1399"/>
      <c r="J112" s="1397"/>
      <c r="K112" s="1398"/>
      <c r="L112" s="1399"/>
      <c r="M112" s="1400"/>
      <c r="N112" s="1409"/>
      <c r="O112" s="1410"/>
      <c r="P112" s="1410"/>
    </row>
    <row r="113" spans="2:16" x14ac:dyDescent="0.3">
      <c r="B113" s="1392"/>
      <c r="C113" s="1393" t="s">
        <v>1362</v>
      </c>
      <c r="D113" s="1394"/>
      <c r="E113" s="1395"/>
      <c r="F113" s="1396"/>
      <c r="G113" s="1397"/>
      <c r="H113" s="1398"/>
      <c r="I113" s="1399"/>
      <c r="J113" s="1397"/>
      <c r="K113" s="1398"/>
      <c r="L113" s="1399"/>
      <c r="M113" s="1400"/>
      <c r="N113" s="1409"/>
      <c r="O113" s="1410"/>
      <c r="P113" s="1410"/>
    </row>
    <row r="114" spans="2:16" x14ac:dyDescent="0.3">
      <c r="B114" s="1392"/>
      <c r="C114" s="1393" t="s">
        <v>1362</v>
      </c>
      <c r="D114" s="1394"/>
      <c r="E114" s="1395"/>
      <c r="F114" s="1396"/>
      <c r="G114" s="1397"/>
      <c r="H114" s="1398"/>
      <c r="I114" s="1399"/>
      <c r="J114" s="1397"/>
      <c r="K114" s="1398"/>
      <c r="L114" s="1399"/>
      <c r="M114" s="1400"/>
      <c r="N114" s="1409"/>
      <c r="O114" s="1410"/>
      <c r="P114" s="1410"/>
    </row>
    <row r="115" spans="2:16" x14ac:dyDescent="0.3">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3">
      <c r="B116" s="1392"/>
      <c r="C116" s="1393" t="s">
        <v>1362</v>
      </c>
      <c r="D116" s="1394"/>
      <c r="E116" s="1395"/>
      <c r="F116" s="1396"/>
      <c r="G116" s="1397"/>
      <c r="H116" s="1398"/>
      <c r="I116" s="1399"/>
      <c r="J116" s="1397"/>
      <c r="K116" s="1398"/>
      <c r="L116" s="1399"/>
      <c r="M116" s="1400"/>
      <c r="N116" s="1409"/>
      <c r="O116" s="1410"/>
      <c r="P116" s="1410"/>
    </row>
    <row r="117" spans="2:16" x14ac:dyDescent="0.3">
      <c r="B117" s="1392"/>
      <c r="C117" s="1393" t="s">
        <v>1362</v>
      </c>
      <c r="D117" s="1394"/>
      <c r="E117" s="1395"/>
      <c r="F117" s="1396"/>
      <c r="G117" s="1397"/>
      <c r="H117" s="1398"/>
      <c r="I117" s="1399"/>
      <c r="J117" s="1397"/>
      <c r="K117" s="1398"/>
      <c r="L117" s="1399"/>
      <c r="M117" s="1400"/>
      <c r="N117" s="1409"/>
      <c r="O117" s="1410"/>
      <c r="P117" s="1410"/>
    </row>
    <row r="118" spans="2:16" x14ac:dyDescent="0.3">
      <c r="B118" s="1392"/>
      <c r="C118" s="1393" t="s">
        <v>1362</v>
      </c>
      <c r="D118" s="1394"/>
      <c r="E118" s="1395"/>
      <c r="F118" s="1396"/>
      <c r="G118" s="1397"/>
      <c r="H118" s="1398"/>
      <c r="I118" s="1399"/>
      <c r="J118" s="1397"/>
      <c r="K118" s="1398"/>
      <c r="L118" s="1399"/>
      <c r="M118" s="1400"/>
      <c r="N118" s="1409"/>
      <c r="O118" s="1410"/>
      <c r="P118" s="1410"/>
    </row>
    <row r="119" spans="2:16" x14ac:dyDescent="0.3">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3">
      <c r="B120" s="1392"/>
      <c r="C120" s="1393" t="s">
        <v>1362</v>
      </c>
      <c r="D120" s="1394"/>
      <c r="E120" s="1395"/>
      <c r="F120" s="1396"/>
      <c r="G120" s="1397"/>
      <c r="H120" s="1398"/>
      <c r="I120" s="1399"/>
      <c r="J120" s="1397"/>
      <c r="K120" s="1398"/>
      <c r="L120" s="1399"/>
      <c r="M120" s="1400"/>
      <c r="N120" s="1409"/>
      <c r="O120" s="1410"/>
      <c r="P120" s="1410"/>
    </row>
    <row r="121" spans="2:16" x14ac:dyDescent="0.3">
      <c r="B121" s="1392"/>
      <c r="C121" s="1393" t="s">
        <v>1362</v>
      </c>
      <c r="D121" s="1394"/>
      <c r="E121" s="1395"/>
      <c r="F121" s="1396"/>
      <c r="G121" s="1397"/>
      <c r="H121" s="1398"/>
      <c r="I121" s="1399"/>
      <c r="J121" s="1397"/>
      <c r="K121" s="1398"/>
      <c r="L121" s="1399"/>
      <c r="M121" s="1400"/>
      <c r="N121" s="1409"/>
      <c r="O121" s="1410"/>
      <c r="P121" s="1410"/>
    </row>
    <row r="122" spans="2:16" x14ac:dyDescent="0.3">
      <c r="B122" s="1392"/>
      <c r="C122" s="1393" t="s">
        <v>1362</v>
      </c>
      <c r="D122" s="1394"/>
      <c r="E122" s="1395"/>
      <c r="F122" s="1396"/>
      <c r="G122" s="1397"/>
      <c r="H122" s="1398"/>
      <c r="I122" s="1399"/>
      <c r="J122" s="1397"/>
      <c r="K122" s="1398"/>
      <c r="L122" s="1399"/>
      <c r="M122" s="1400"/>
      <c r="N122" s="1409"/>
      <c r="O122" s="1410"/>
      <c r="P122" s="1410"/>
    </row>
    <row r="123" spans="2:16" x14ac:dyDescent="0.3">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3">
      <c r="B124" s="1392"/>
      <c r="C124" s="1393" t="s">
        <v>1362</v>
      </c>
      <c r="D124" s="1394"/>
      <c r="E124" s="1395"/>
      <c r="F124" s="1396"/>
      <c r="G124" s="1397"/>
      <c r="H124" s="1398"/>
      <c r="I124" s="1399"/>
      <c r="J124" s="1397"/>
      <c r="K124" s="1398"/>
      <c r="L124" s="1399"/>
      <c r="M124" s="1400"/>
      <c r="N124" s="1409"/>
      <c r="O124" s="1410"/>
      <c r="P124" s="1410"/>
    </row>
    <row r="125" spans="2:16" x14ac:dyDescent="0.3">
      <c r="B125" s="1392"/>
      <c r="C125" s="1393" t="s">
        <v>1362</v>
      </c>
      <c r="D125" s="1394"/>
      <c r="E125" s="1395"/>
      <c r="F125" s="1396"/>
      <c r="G125" s="1397"/>
      <c r="H125" s="1398"/>
      <c r="I125" s="1399"/>
      <c r="J125" s="1397"/>
      <c r="K125" s="1398"/>
      <c r="L125" s="1399"/>
      <c r="M125" s="1400"/>
      <c r="N125" s="1409"/>
      <c r="O125" s="1410"/>
      <c r="P125" s="1410"/>
    </row>
    <row r="126" spans="2:16" x14ac:dyDescent="0.3">
      <c r="B126" s="1392"/>
      <c r="C126" s="1393" t="s">
        <v>1362</v>
      </c>
      <c r="D126" s="1394"/>
      <c r="E126" s="1395"/>
      <c r="F126" s="1396"/>
      <c r="G126" s="1397"/>
      <c r="H126" s="1398"/>
      <c r="I126" s="1399"/>
      <c r="J126" s="1397"/>
      <c r="K126" s="1398"/>
      <c r="L126" s="1399"/>
      <c r="M126" s="1400"/>
      <c r="N126" s="1409"/>
      <c r="O126" s="1410"/>
      <c r="P126" s="1410"/>
    </row>
    <row r="127" spans="2:16" ht="52.8" x14ac:dyDescent="0.3">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3">
      <c r="B128" s="1392"/>
      <c r="C128" s="1393" t="s">
        <v>1362</v>
      </c>
      <c r="D128" s="1394"/>
      <c r="E128" s="1395"/>
      <c r="F128" s="1396"/>
      <c r="G128" s="1397"/>
      <c r="H128" s="1398"/>
      <c r="I128" s="1399"/>
      <c r="J128" s="1397"/>
      <c r="K128" s="1398"/>
      <c r="L128" s="1399"/>
      <c r="M128" s="1400"/>
      <c r="N128" s="1409"/>
      <c r="O128" s="1410"/>
      <c r="P128" s="1410"/>
    </row>
    <row r="129" spans="2:16" x14ac:dyDescent="0.3">
      <c r="B129" s="1392"/>
      <c r="C129" s="1393" t="s">
        <v>1362</v>
      </c>
      <c r="D129" s="1394"/>
      <c r="E129" s="1395"/>
      <c r="F129" s="1396"/>
      <c r="G129" s="1397"/>
      <c r="H129" s="1398"/>
      <c r="I129" s="1399"/>
      <c r="J129" s="1397"/>
      <c r="K129" s="1398"/>
      <c r="L129" s="1399"/>
      <c r="M129" s="1400"/>
      <c r="N129" s="1409"/>
      <c r="O129" s="1410"/>
      <c r="P129" s="1410"/>
    </row>
    <row r="130" spans="2:16" x14ac:dyDescent="0.3">
      <c r="B130" s="1392"/>
      <c r="C130" s="1393" t="s">
        <v>1362</v>
      </c>
      <c r="D130" s="1394"/>
      <c r="E130" s="1395"/>
      <c r="F130" s="1396"/>
      <c r="G130" s="1397"/>
      <c r="H130" s="1398"/>
      <c r="I130" s="1399"/>
      <c r="J130" s="1397"/>
      <c r="K130" s="1398"/>
      <c r="L130" s="1399"/>
      <c r="M130" s="1400"/>
      <c r="N130" s="1409"/>
      <c r="O130" s="1410"/>
      <c r="P130" s="1410"/>
    </row>
    <row r="131" spans="2:16" x14ac:dyDescent="0.3">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6.599999999999994" x14ac:dyDescent="0.3">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3">
      <c r="B133" s="1392"/>
      <c r="C133" s="1393" t="s">
        <v>1362</v>
      </c>
      <c r="D133" s="1394"/>
      <c r="E133" s="1444"/>
      <c r="F133" s="1445"/>
      <c r="G133" s="1397"/>
      <c r="H133" s="1398"/>
      <c r="I133" s="1399"/>
      <c r="J133" s="1397"/>
      <c r="K133" s="1398"/>
      <c r="L133" s="1399"/>
      <c r="M133" s="1400"/>
      <c r="N133" s="1409"/>
      <c r="O133" s="1410"/>
      <c r="P133" s="1410"/>
    </row>
    <row r="134" spans="2:16" x14ac:dyDescent="0.3">
      <c r="B134" s="1392"/>
      <c r="C134" s="1393" t="s">
        <v>1362</v>
      </c>
      <c r="D134" s="1394"/>
      <c r="E134" s="1395"/>
      <c r="F134" s="1396"/>
      <c r="G134" s="1397"/>
      <c r="H134" s="1398"/>
      <c r="I134" s="1399"/>
      <c r="J134" s="1397"/>
      <c r="K134" s="1398"/>
      <c r="L134" s="1399"/>
      <c r="M134" s="1400"/>
      <c r="N134" s="1409"/>
      <c r="O134" s="1410"/>
      <c r="P134" s="1410"/>
    </row>
    <row r="135" spans="2:16" x14ac:dyDescent="0.3">
      <c r="B135" s="1392"/>
      <c r="C135" s="1393" t="s">
        <v>1362</v>
      </c>
      <c r="D135" s="1394"/>
      <c r="E135" s="1395"/>
      <c r="F135" s="1396"/>
      <c r="G135" s="1397"/>
      <c r="H135" s="1398"/>
      <c r="I135" s="1399"/>
      <c r="J135" s="1397"/>
      <c r="K135" s="1398"/>
      <c r="L135" s="1399"/>
      <c r="M135" s="1400"/>
      <c r="N135" s="1409"/>
      <c r="O135" s="1410"/>
      <c r="P135" s="1410"/>
    </row>
    <row r="136" spans="2:16" x14ac:dyDescent="0.3">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3">
      <c r="B137" s="1392"/>
      <c r="C137" s="1393" t="s">
        <v>1362</v>
      </c>
      <c r="D137" s="1394"/>
      <c r="E137" s="1444"/>
      <c r="F137" s="1445"/>
      <c r="G137" s="1397"/>
      <c r="H137" s="1398"/>
      <c r="I137" s="1399"/>
      <c r="J137" s="1397"/>
      <c r="K137" s="1398"/>
      <c r="L137" s="1399"/>
      <c r="M137" s="1400"/>
      <c r="N137" s="1409"/>
      <c r="O137" s="1410"/>
      <c r="P137" s="1410"/>
    </row>
    <row r="138" spans="2:16" x14ac:dyDescent="0.3">
      <c r="B138" s="1392"/>
      <c r="C138" s="1393" t="s">
        <v>1362</v>
      </c>
      <c r="D138" s="1394"/>
      <c r="E138" s="1395"/>
      <c r="F138" s="1396"/>
      <c r="G138" s="1397"/>
      <c r="H138" s="1398"/>
      <c r="I138" s="1399"/>
      <c r="J138" s="1397"/>
      <c r="K138" s="1398"/>
      <c r="L138" s="1399"/>
      <c r="M138" s="1400"/>
      <c r="N138" s="1409"/>
      <c r="O138" s="1410"/>
      <c r="P138" s="1410"/>
    </row>
    <row r="139" spans="2:16" x14ac:dyDescent="0.3">
      <c r="B139" s="1392"/>
      <c r="C139" s="1393" t="s">
        <v>1362</v>
      </c>
      <c r="D139" s="1394"/>
      <c r="E139" s="1395"/>
      <c r="F139" s="1396"/>
      <c r="G139" s="1397"/>
      <c r="H139" s="1398"/>
      <c r="I139" s="1399"/>
      <c r="J139" s="1397"/>
      <c r="K139" s="1398"/>
      <c r="L139" s="1399"/>
      <c r="M139" s="1400"/>
      <c r="N139" s="1409"/>
      <c r="O139" s="1410"/>
      <c r="P139" s="1410"/>
    </row>
    <row r="140" spans="2:16" x14ac:dyDescent="0.3">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3">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3">
      <c r="B142" s="1392"/>
      <c r="C142" s="1393" t="s">
        <v>1362</v>
      </c>
      <c r="D142" s="1394"/>
      <c r="E142" s="1395"/>
      <c r="F142" s="1396"/>
      <c r="G142" s="1397"/>
      <c r="H142" s="1398"/>
      <c r="I142" s="1399"/>
      <c r="J142" s="1397"/>
      <c r="K142" s="1398"/>
      <c r="L142" s="1399"/>
      <c r="M142" s="1400"/>
      <c r="N142" s="1397"/>
      <c r="O142" s="1401"/>
      <c r="P142" s="1401"/>
    </row>
    <row r="143" spans="2:16" x14ac:dyDescent="0.3">
      <c r="B143" s="1392"/>
      <c r="C143" s="1393" t="s">
        <v>1362</v>
      </c>
      <c r="D143" s="1394"/>
      <c r="E143" s="1395"/>
      <c r="F143" s="1396"/>
      <c r="G143" s="1397"/>
      <c r="H143" s="1398"/>
      <c r="I143" s="1399"/>
      <c r="J143" s="1397"/>
      <c r="K143" s="1398"/>
      <c r="L143" s="1399"/>
      <c r="M143" s="1400"/>
      <c r="N143" s="1397"/>
      <c r="O143" s="1401"/>
      <c r="P143" s="1401"/>
    </row>
    <row r="144" spans="2:16" x14ac:dyDescent="0.3">
      <c r="B144" s="1392"/>
      <c r="C144" s="1393" t="s">
        <v>1362</v>
      </c>
      <c r="D144" s="1394"/>
      <c r="E144" s="1395"/>
      <c r="F144" s="1396"/>
      <c r="G144" s="1397"/>
      <c r="H144" s="1398"/>
      <c r="I144" s="1399"/>
      <c r="J144" s="1397"/>
      <c r="K144" s="1398"/>
      <c r="L144" s="1399"/>
      <c r="M144" s="1400"/>
      <c r="N144" s="1397"/>
      <c r="O144" s="1401"/>
      <c r="P144" s="1401"/>
    </row>
    <row r="145" spans="2:16" x14ac:dyDescent="0.3">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3">
      <c r="B146" s="1447"/>
      <c r="C146" s="1393" t="s">
        <v>1362</v>
      </c>
      <c r="D146" s="1394"/>
      <c r="E146" s="1395"/>
      <c r="F146" s="1396"/>
      <c r="G146" s="1397"/>
      <c r="H146" s="1398"/>
      <c r="I146" s="1399"/>
      <c r="J146" s="1397"/>
      <c r="K146" s="1398"/>
      <c r="L146" s="1399"/>
      <c r="M146" s="1400"/>
      <c r="N146" s="1397"/>
      <c r="O146" s="1401"/>
      <c r="P146" s="1401"/>
    </row>
    <row r="147" spans="2:16" x14ac:dyDescent="0.3">
      <c r="B147" s="1447"/>
      <c r="C147" s="1393" t="s">
        <v>1362</v>
      </c>
      <c r="D147" s="1394"/>
      <c r="E147" s="1395"/>
      <c r="F147" s="1396"/>
      <c r="G147" s="1397"/>
      <c r="H147" s="1398"/>
      <c r="I147" s="1399"/>
      <c r="J147" s="1397"/>
      <c r="K147" s="1398"/>
      <c r="L147" s="1399"/>
      <c r="M147" s="1400"/>
      <c r="N147" s="1397"/>
      <c r="O147" s="1401"/>
      <c r="P147" s="1401"/>
    </row>
    <row r="148" spans="2:16" x14ac:dyDescent="0.3">
      <c r="B148" s="1447"/>
      <c r="C148" s="1393" t="s">
        <v>1362</v>
      </c>
      <c r="D148" s="1394"/>
      <c r="E148" s="1395"/>
      <c r="F148" s="1396"/>
      <c r="G148" s="1397"/>
      <c r="H148" s="1398"/>
      <c r="I148" s="1399"/>
      <c r="J148" s="1397"/>
      <c r="K148" s="1398"/>
      <c r="L148" s="1399"/>
      <c r="M148" s="1400"/>
      <c r="N148" s="1397"/>
      <c r="O148" s="1401"/>
      <c r="P148" s="1401"/>
    </row>
    <row r="149" spans="2:16" ht="27.75" customHeight="1" x14ac:dyDescent="0.3">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3">
      <c r="B150" s="1447"/>
      <c r="C150" s="1393" t="s">
        <v>1362</v>
      </c>
      <c r="D150" s="1394"/>
      <c r="E150" s="1395"/>
      <c r="F150" s="1396"/>
      <c r="G150" s="1397"/>
      <c r="H150" s="1398"/>
      <c r="I150" s="1399"/>
      <c r="J150" s="1397"/>
      <c r="K150" s="1398"/>
      <c r="L150" s="1399"/>
      <c r="M150" s="1400"/>
      <c r="N150" s="1397"/>
      <c r="O150" s="1401"/>
      <c r="P150" s="1401"/>
    </row>
    <row r="151" spans="2:16" x14ac:dyDescent="0.3">
      <c r="B151" s="1447"/>
      <c r="C151" s="1393" t="s">
        <v>1362</v>
      </c>
      <c r="D151" s="1394"/>
      <c r="E151" s="1395"/>
      <c r="F151" s="1396"/>
      <c r="G151" s="1397"/>
      <c r="H151" s="1398"/>
      <c r="I151" s="1399"/>
      <c r="J151" s="1397"/>
      <c r="K151" s="1398"/>
      <c r="L151" s="1399"/>
      <c r="M151" s="1400"/>
      <c r="N151" s="1397"/>
      <c r="O151" s="1401"/>
      <c r="P151" s="1401"/>
    </row>
    <row r="152" spans="2:16" x14ac:dyDescent="0.3">
      <c r="B152" s="1447"/>
      <c r="C152" s="1393" t="s">
        <v>1362</v>
      </c>
      <c r="D152" s="1394"/>
      <c r="E152" s="1395"/>
      <c r="F152" s="1396"/>
      <c r="G152" s="1397"/>
      <c r="H152" s="1398"/>
      <c r="I152" s="1399"/>
      <c r="J152" s="1397"/>
      <c r="K152" s="1398"/>
      <c r="L152" s="1399"/>
      <c r="M152" s="1400"/>
      <c r="N152" s="1397"/>
      <c r="O152" s="1401"/>
      <c r="P152" s="1401"/>
    </row>
    <row r="153" spans="2:16" ht="27" x14ac:dyDescent="0.3">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3">
      <c r="B154" s="1447"/>
      <c r="C154" s="1393" t="s">
        <v>1362</v>
      </c>
      <c r="D154" s="1394"/>
      <c r="E154" s="1395"/>
      <c r="F154" s="1396"/>
      <c r="G154" s="1397"/>
      <c r="H154" s="1398"/>
      <c r="I154" s="1399"/>
      <c r="J154" s="1397"/>
      <c r="K154" s="1398"/>
      <c r="L154" s="1399"/>
      <c r="M154" s="1400"/>
      <c r="N154" s="1397"/>
      <c r="O154" s="1401"/>
      <c r="P154" s="1401"/>
    </row>
    <row r="155" spans="2:16" x14ac:dyDescent="0.3">
      <c r="B155" s="1447"/>
      <c r="C155" s="1393" t="s">
        <v>1362</v>
      </c>
      <c r="D155" s="1394"/>
      <c r="E155" s="1395"/>
      <c r="F155" s="1396"/>
      <c r="G155" s="1397"/>
      <c r="H155" s="1398"/>
      <c r="I155" s="1399"/>
      <c r="J155" s="1397"/>
      <c r="K155" s="1398"/>
      <c r="L155" s="1399"/>
      <c r="M155" s="1400"/>
      <c r="N155" s="1397"/>
      <c r="O155" s="1401"/>
      <c r="P155" s="1401"/>
    </row>
    <row r="156" spans="2:16" x14ac:dyDescent="0.3">
      <c r="B156" s="1447"/>
      <c r="C156" s="1393" t="s">
        <v>1362</v>
      </c>
      <c r="D156" s="1394"/>
      <c r="E156" s="1395"/>
      <c r="F156" s="1396"/>
      <c r="G156" s="1397"/>
      <c r="H156" s="1398"/>
      <c r="I156" s="1399"/>
      <c r="J156" s="1397"/>
      <c r="K156" s="1398"/>
      <c r="L156" s="1399"/>
      <c r="M156" s="1400"/>
      <c r="N156" s="1397"/>
      <c r="O156" s="1401"/>
      <c r="P156" s="1401"/>
    </row>
    <row r="157" spans="2:16" ht="27" x14ac:dyDescent="0.3">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3">
      <c r="B158" s="1392"/>
      <c r="C158" s="1393" t="s">
        <v>1362</v>
      </c>
      <c r="D158" s="1394"/>
      <c r="E158" s="1395"/>
      <c r="F158" s="1396"/>
      <c r="G158" s="1397"/>
      <c r="H158" s="1398"/>
      <c r="I158" s="1399"/>
      <c r="J158" s="1397"/>
      <c r="K158" s="1398"/>
      <c r="L158" s="1399"/>
      <c r="M158" s="1400"/>
      <c r="N158" s="1397"/>
      <c r="O158" s="1401"/>
      <c r="P158" s="1401"/>
    </row>
    <row r="159" spans="2:16" x14ac:dyDescent="0.3">
      <c r="B159" s="1392"/>
      <c r="C159" s="1393" t="s">
        <v>1362</v>
      </c>
      <c r="D159" s="1394"/>
      <c r="E159" s="1395"/>
      <c r="F159" s="1396"/>
      <c r="G159" s="1397"/>
      <c r="H159" s="1398"/>
      <c r="I159" s="1399"/>
      <c r="J159" s="1397"/>
      <c r="K159" s="1398"/>
      <c r="L159" s="1399"/>
      <c r="M159" s="1400"/>
      <c r="N159" s="1397"/>
      <c r="O159" s="1401"/>
      <c r="P159" s="1401"/>
    </row>
    <row r="160" spans="2:16" x14ac:dyDescent="0.3">
      <c r="B160" s="1392"/>
      <c r="C160" s="1393" t="s">
        <v>1362</v>
      </c>
      <c r="D160" s="1394"/>
      <c r="E160" s="1395"/>
      <c r="F160" s="1396"/>
      <c r="G160" s="1397"/>
      <c r="H160" s="1398"/>
      <c r="I160" s="1399"/>
      <c r="J160" s="1397"/>
      <c r="K160" s="1398"/>
      <c r="L160" s="1399"/>
      <c r="M160" s="1400"/>
      <c r="N160" s="1397"/>
      <c r="O160" s="1401"/>
      <c r="P160" s="1401"/>
    </row>
    <row r="161" spans="2:16" x14ac:dyDescent="0.3">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3">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3">
      <c r="B163" s="1392"/>
      <c r="C163" s="1393" t="s">
        <v>1362</v>
      </c>
      <c r="D163" s="1394"/>
      <c r="E163" s="1444"/>
      <c r="F163" s="1445"/>
      <c r="G163" s="1432"/>
      <c r="H163" s="1433"/>
      <c r="I163" s="1434"/>
      <c r="J163" s="1432"/>
      <c r="K163" s="1433"/>
      <c r="L163" s="1434"/>
      <c r="M163" s="1435"/>
      <c r="N163" s="1432"/>
      <c r="O163" s="1436"/>
      <c r="P163" s="1436"/>
    </row>
    <row r="164" spans="2:16" x14ac:dyDescent="0.3">
      <c r="B164" s="1392"/>
      <c r="C164" s="1393" t="s">
        <v>1362</v>
      </c>
      <c r="D164" s="1394"/>
      <c r="E164" s="1430"/>
      <c r="F164" s="1431"/>
      <c r="G164" s="1432"/>
      <c r="H164" s="1433"/>
      <c r="I164" s="1434"/>
      <c r="J164" s="1432"/>
      <c r="K164" s="1433"/>
      <c r="L164" s="1434"/>
      <c r="M164" s="1435"/>
      <c r="N164" s="1432"/>
      <c r="O164" s="1436"/>
      <c r="P164" s="1436"/>
    </row>
    <row r="165" spans="2:16" x14ac:dyDescent="0.3">
      <c r="B165" s="1392"/>
      <c r="C165" s="1393" t="s">
        <v>1362</v>
      </c>
      <c r="D165" s="1394"/>
      <c r="E165" s="1430"/>
      <c r="F165" s="1431"/>
      <c r="G165" s="1432"/>
      <c r="H165" s="1433"/>
      <c r="I165" s="1434"/>
      <c r="J165" s="1432"/>
      <c r="K165" s="1433"/>
      <c r="L165" s="1434"/>
      <c r="M165" s="1435"/>
      <c r="N165" s="1432"/>
      <c r="O165" s="1436"/>
      <c r="P165" s="1436"/>
    </row>
    <row r="166" spans="2:16" ht="27" x14ac:dyDescent="0.3">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3">
      <c r="B167" s="1392"/>
      <c r="C167" s="1393" t="s">
        <v>1362</v>
      </c>
      <c r="D167" s="1394"/>
      <c r="E167" s="1444"/>
      <c r="F167" s="1445"/>
      <c r="G167" s="1437"/>
      <c r="H167" s="1438"/>
      <c r="I167" s="1439"/>
      <c r="J167" s="1437"/>
      <c r="K167" s="1438"/>
      <c r="L167" s="1439"/>
      <c r="M167" s="1440"/>
      <c r="N167" s="1437"/>
      <c r="O167" s="1441"/>
      <c r="P167" s="1441"/>
    </row>
    <row r="168" spans="2:16" x14ac:dyDescent="0.3">
      <c r="B168" s="1392"/>
      <c r="C168" s="1393" t="s">
        <v>1362</v>
      </c>
      <c r="D168" s="1394"/>
      <c r="E168" s="1444"/>
      <c r="F168" s="1445"/>
      <c r="G168" s="1437"/>
      <c r="H168" s="1438"/>
      <c r="I168" s="1439"/>
      <c r="J168" s="1437"/>
      <c r="K168" s="1438"/>
      <c r="L168" s="1439"/>
      <c r="M168" s="1440"/>
      <c r="N168" s="1437"/>
      <c r="O168" s="1441"/>
      <c r="P168" s="1441"/>
    </row>
    <row r="169" spans="2:16" x14ac:dyDescent="0.3">
      <c r="B169" s="1392"/>
      <c r="C169" s="1393" t="s">
        <v>1362</v>
      </c>
      <c r="D169" s="1394"/>
      <c r="E169" s="1444"/>
      <c r="F169" s="1445"/>
      <c r="G169" s="1437"/>
      <c r="H169" s="1438"/>
      <c r="I169" s="1439"/>
      <c r="J169" s="1437"/>
      <c r="K169" s="1438"/>
      <c r="L169" s="1439"/>
      <c r="M169" s="1440"/>
      <c r="N169" s="1437"/>
      <c r="O169" s="1441"/>
      <c r="P169" s="1441"/>
    </row>
    <row r="170" spans="2:16" x14ac:dyDescent="0.3">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3">
      <c r="B171" s="1392"/>
      <c r="C171" s="1393" t="s">
        <v>1362</v>
      </c>
      <c r="D171" s="1394"/>
      <c r="E171" s="1444"/>
      <c r="F171" s="1445"/>
      <c r="G171" s="1437"/>
      <c r="H171" s="1438"/>
      <c r="I171" s="1439"/>
      <c r="J171" s="1437"/>
      <c r="K171" s="1438"/>
      <c r="L171" s="1439"/>
      <c r="M171" s="1440"/>
      <c r="N171" s="1437"/>
      <c r="O171" s="1441"/>
      <c r="P171" s="1441"/>
    </row>
    <row r="172" spans="2:16" x14ac:dyDescent="0.3">
      <c r="B172" s="1392"/>
      <c r="C172" s="1393" t="s">
        <v>1362</v>
      </c>
      <c r="D172" s="1394"/>
      <c r="E172" s="1444"/>
      <c r="F172" s="1445"/>
      <c r="G172" s="1437"/>
      <c r="H172" s="1438"/>
      <c r="I172" s="1439"/>
      <c r="J172" s="1437"/>
      <c r="K172" s="1438"/>
      <c r="L172" s="1439"/>
      <c r="M172" s="1440"/>
      <c r="N172" s="1437"/>
      <c r="O172" s="1441"/>
      <c r="P172" s="1441"/>
    </row>
    <row r="173" spans="2:16" x14ac:dyDescent="0.3">
      <c r="B173" s="1392"/>
      <c r="C173" s="1393" t="s">
        <v>1362</v>
      </c>
      <c r="D173" s="1394"/>
      <c r="E173" s="1444"/>
      <c r="F173" s="1445"/>
      <c r="G173" s="1437"/>
      <c r="H173" s="1438"/>
      <c r="I173" s="1439"/>
      <c r="J173" s="1437"/>
      <c r="K173" s="1438"/>
      <c r="L173" s="1439"/>
      <c r="M173" s="1440"/>
      <c r="N173" s="1437"/>
      <c r="O173" s="1441"/>
      <c r="P173" s="1441"/>
    </row>
    <row r="174" spans="2:16" x14ac:dyDescent="0.3">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3">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3">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3">
      <c r="B177" s="1392"/>
      <c r="C177" s="1393" t="s">
        <v>1362</v>
      </c>
      <c r="D177" s="1394"/>
      <c r="E177" s="1395"/>
      <c r="F177" s="1396"/>
      <c r="G177" s="1397"/>
      <c r="H177" s="1398"/>
      <c r="I177" s="1399"/>
      <c r="J177" s="1397"/>
      <c r="K177" s="1398"/>
      <c r="L177" s="1399"/>
      <c r="M177" s="1400"/>
      <c r="N177" s="1397"/>
      <c r="O177" s="1401"/>
      <c r="P177" s="1401"/>
    </row>
    <row r="178" spans="2:16" x14ac:dyDescent="0.3">
      <c r="B178" s="1392"/>
      <c r="C178" s="1393" t="s">
        <v>1362</v>
      </c>
      <c r="D178" s="1394"/>
      <c r="E178" s="1395"/>
      <c r="F178" s="1396"/>
      <c r="G178" s="1397"/>
      <c r="H178" s="1398"/>
      <c r="I178" s="1399"/>
      <c r="J178" s="1397"/>
      <c r="K178" s="1398"/>
      <c r="L178" s="1399"/>
      <c r="M178" s="1400"/>
      <c r="N178" s="1397"/>
      <c r="O178" s="1401"/>
      <c r="P178" s="1401"/>
    </row>
    <row r="179" spans="2:16" x14ac:dyDescent="0.3">
      <c r="B179" s="1392"/>
      <c r="C179" s="1393" t="s">
        <v>1362</v>
      </c>
      <c r="D179" s="1394"/>
      <c r="E179" s="1395"/>
      <c r="F179" s="1396"/>
      <c r="G179" s="1397"/>
      <c r="H179" s="1398"/>
      <c r="I179" s="1399"/>
      <c r="J179" s="1397"/>
      <c r="K179" s="1398"/>
      <c r="L179" s="1399"/>
      <c r="M179" s="1400"/>
      <c r="N179" s="1397"/>
      <c r="O179" s="1401"/>
      <c r="P179" s="1401"/>
    </row>
    <row r="180" spans="2:16" x14ac:dyDescent="0.3">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3">
      <c r="B181" s="1392"/>
      <c r="C181" s="1393" t="s">
        <v>1362</v>
      </c>
      <c r="D181" s="1394"/>
      <c r="E181" s="1395"/>
      <c r="F181" s="1396"/>
      <c r="G181" s="1397"/>
      <c r="H181" s="1398"/>
      <c r="I181" s="1399"/>
      <c r="J181" s="1397"/>
      <c r="K181" s="1398"/>
      <c r="L181" s="1399"/>
      <c r="M181" s="1400"/>
      <c r="N181" s="1397"/>
      <c r="O181" s="1401"/>
      <c r="P181" s="1401"/>
    </row>
    <row r="182" spans="2:16" x14ac:dyDescent="0.3">
      <c r="B182" s="1392"/>
      <c r="C182" s="1393" t="s">
        <v>1362</v>
      </c>
      <c r="D182" s="1394"/>
      <c r="E182" s="1395"/>
      <c r="F182" s="1396"/>
      <c r="G182" s="1397"/>
      <c r="H182" s="1398"/>
      <c r="I182" s="1399"/>
      <c r="J182" s="1397"/>
      <c r="K182" s="1398"/>
      <c r="L182" s="1399"/>
      <c r="M182" s="1400"/>
      <c r="N182" s="1397"/>
      <c r="O182" s="1401"/>
      <c r="P182" s="1401"/>
    </row>
    <row r="183" spans="2:16" x14ac:dyDescent="0.3">
      <c r="B183" s="1392"/>
      <c r="C183" s="1393" t="s">
        <v>1362</v>
      </c>
      <c r="D183" s="1394"/>
      <c r="E183" s="1395"/>
      <c r="F183" s="1396"/>
      <c r="G183" s="1397"/>
      <c r="H183" s="1398"/>
      <c r="I183" s="1399"/>
      <c r="J183" s="1397"/>
      <c r="K183" s="1398"/>
      <c r="L183" s="1399"/>
      <c r="M183" s="1400"/>
      <c r="N183" s="1397"/>
      <c r="O183" s="1401"/>
      <c r="P183" s="1401"/>
    </row>
    <row r="184" spans="2:16" x14ac:dyDescent="0.3">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3">
      <c r="B185" s="1392"/>
      <c r="C185" s="1393" t="s">
        <v>1362</v>
      </c>
      <c r="D185" s="1394"/>
      <c r="E185" s="1395"/>
      <c r="F185" s="1396"/>
      <c r="G185" s="1397"/>
      <c r="H185" s="1398"/>
      <c r="I185" s="1399"/>
      <c r="J185" s="1397"/>
      <c r="K185" s="1398"/>
      <c r="L185" s="1399"/>
      <c r="M185" s="1400"/>
      <c r="N185" s="1397"/>
      <c r="O185" s="1401"/>
      <c r="P185" s="1401"/>
    </row>
    <row r="186" spans="2:16" x14ac:dyDescent="0.3">
      <c r="B186" s="1392"/>
      <c r="C186" s="1393" t="s">
        <v>1362</v>
      </c>
      <c r="D186" s="1394"/>
      <c r="E186" s="1395"/>
      <c r="F186" s="1396"/>
      <c r="G186" s="1397"/>
      <c r="H186" s="1398"/>
      <c r="I186" s="1399"/>
      <c r="J186" s="1397"/>
      <c r="K186" s="1398"/>
      <c r="L186" s="1399"/>
      <c r="M186" s="1400"/>
      <c r="N186" s="1397"/>
      <c r="O186" s="1401"/>
      <c r="P186" s="1401"/>
    </row>
    <row r="187" spans="2:16" x14ac:dyDescent="0.3">
      <c r="B187" s="1392"/>
      <c r="C187" s="1393" t="s">
        <v>1362</v>
      </c>
      <c r="D187" s="1394"/>
      <c r="E187" s="1395"/>
      <c r="F187" s="1396"/>
      <c r="G187" s="1397"/>
      <c r="H187" s="1398"/>
      <c r="I187" s="1399"/>
      <c r="J187" s="1397"/>
      <c r="K187" s="1398"/>
      <c r="L187" s="1399"/>
      <c r="M187" s="1400"/>
      <c r="N187" s="1397"/>
      <c r="O187" s="1401"/>
      <c r="P187" s="1401"/>
    </row>
    <row r="188" spans="2:16" x14ac:dyDescent="0.3">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3">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3">
      <c r="B190" s="1392"/>
      <c r="C190" s="1393" t="s">
        <v>1362</v>
      </c>
      <c r="D190" s="1394"/>
      <c r="E190" s="1395"/>
      <c r="F190" s="1396"/>
      <c r="G190" s="1397"/>
      <c r="H190" s="1398"/>
      <c r="I190" s="1399"/>
      <c r="J190" s="1397"/>
      <c r="K190" s="1398"/>
      <c r="L190" s="1399"/>
      <c r="M190" s="1400"/>
      <c r="N190" s="1409"/>
      <c r="O190" s="1410"/>
      <c r="P190" s="1410"/>
    </row>
    <row r="191" spans="2:16" x14ac:dyDescent="0.3">
      <c r="B191" s="1392"/>
      <c r="C191" s="1393" t="s">
        <v>1362</v>
      </c>
      <c r="D191" s="1394"/>
      <c r="E191" s="1395"/>
      <c r="F191" s="1396"/>
      <c r="G191" s="1397"/>
      <c r="H191" s="1398"/>
      <c r="I191" s="1399"/>
      <c r="J191" s="1397"/>
      <c r="K191" s="1398"/>
      <c r="L191" s="1399"/>
      <c r="M191" s="1400"/>
      <c r="N191" s="1409"/>
      <c r="O191" s="1410"/>
      <c r="P191" s="1410"/>
    </row>
    <row r="192" spans="2:16" x14ac:dyDescent="0.3">
      <c r="B192" s="1392"/>
      <c r="C192" s="1393" t="s">
        <v>1362</v>
      </c>
      <c r="D192" s="1394"/>
      <c r="E192" s="1395"/>
      <c r="F192" s="1396"/>
      <c r="G192" s="1397"/>
      <c r="H192" s="1398"/>
      <c r="I192" s="1399"/>
      <c r="J192" s="1397"/>
      <c r="K192" s="1398"/>
      <c r="L192" s="1399"/>
      <c r="M192" s="1400"/>
      <c r="N192" s="1409"/>
      <c r="O192" s="1410"/>
      <c r="P192" s="1410"/>
    </row>
    <row r="193" spans="2:16" x14ac:dyDescent="0.3">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3">
      <c r="B194" s="1392"/>
      <c r="C194" s="1393" t="s">
        <v>1362</v>
      </c>
      <c r="D194" s="1394"/>
      <c r="E194" s="1395"/>
      <c r="F194" s="1396"/>
      <c r="G194" s="1397"/>
      <c r="H194" s="1398"/>
      <c r="I194" s="1399"/>
      <c r="J194" s="1397"/>
      <c r="K194" s="1398"/>
      <c r="L194" s="1399"/>
      <c r="M194" s="1400"/>
      <c r="N194" s="1409"/>
      <c r="O194" s="1410"/>
      <c r="P194" s="1410"/>
    </row>
    <row r="195" spans="2:16" x14ac:dyDescent="0.3">
      <c r="B195" s="1392"/>
      <c r="C195" s="1393" t="s">
        <v>1362</v>
      </c>
      <c r="D195" s="1394"/>
      <c r="E195" s="1395"/>
      <c r="F195" s="1396"/>
      <c r="G195" s="1397"/>
      <c r="H195" s="1398"/>
      <c r="I195" s="1399"/>
      <c r="J195" s="1397"/>
      <c r="K195" s="1398"/>
      <c r="L195" s="1399"/>
      <c r="M195" s="1400"/>
      <c r="N195" s="1409"/>
      <c r="O195" s="1410"/>
      <c r="P195" s="1410"/>
    </row>
    <row r="196" spans="2:16" x14ac:dyDescent="0.3">
      <c r="B196" s="1392"/>
      <c r="C196" s="1393" t="s">
        <v>1362</v>
      </c>
      <c r="D196" s="1394"/>
      <c r="E196" s="1395"/>
      <c r="F196" s="1396"/>
      <c r="G196" s="1397"/>
      <c r="H196" s="1398"/>
      <c r="I196" s="1399"/>
      <c r="J196" s="1397"/>
      <c r="K196" s="1398"/>
      <c r="L196" s="1399"/>
      <c r="M196" s="1400"/>
      <c r="N196" s="1409"/>
      <c r="O196" s="1410"/>
      <c r="P196" s="1410"/>
    </row>
    <row r="197" spans="2:16" x14ac:dyDescent="0.3">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3">
      <c r="B198" s="1392"/>
      <c r="C198" s="1393" t="s">
        <v>1362</v>
      </c>
      <c r="D198" s="1394"/>
      <c r="E198" s="1395"/>
      <c r="F198" s="1396"/>
      <c r="G198" s="1397"/>
      <c r="H198" s="1398"/>
      <c r="I198" s="1399"/>
      <c r="J198" s="1397"/>
      <c r="K198" s="1398"/>
      <c r="L198" s="1399"/>
      <c r="M198" s="1400"/>
      <c r="N198" s="1409"/>
      <c r="O198" s="1410"/>
      <c r="P198" s="1410"/>
    </row>
    <row r="199" spans="2:16" x14ac:dyDescent="0.3">
      <c r="B199" s="1392"/>
      <c r="C199" s="1393" t="s">
        <v>1362</v>
      </c>
      <c r="D199" s="1394"/>
      <c r="E199" s="1395"/>
      <c r="F199" s="1396"/>
      <c r="G199" s="1397"/>
      <c r="H199" s="1398"/>
      <c r="I199" s="1399"/>
      <c r="J199" s="1397"/>
      <c r="K199" s="1398"/>
      <c r="L199" s="1399"/>
      <c r="M199" s="1400"/>
      <c r="N199" s="1409"/>
      <c r="O199" s="1410"/>
      <c r="P199" s="1410"/>
    </row>
    <row r="200" spans="2:16" x14ac:dyDescent="0.3">
      <c r="B200" s="1392"/>
      <c r="C200" s="1393" t="s">
        <v>1362</v>
      </c>
      <c r="D200" s="1394"/>
      <c r="E200" s="1395"/>
      <c r="F200" s="1396"/>
      <c r="G200" s="1397"/>
      <c r="H200" s="1398"/>
      <c r="I200" s="1399"/>
      <c r="J200" s="1397"/>
      <c r="K200" s="1398"/>
      <c r="L200" s="1399"/>
      <c r="M200" s="1400"/>
      <c r="N200" s="1409"/>
      <c r="O200" s="1410"/>
      <c r="P200" s="1410"/>
    </row>
    <row r="201" spans="2:16" x14ac:dyDescent="0.3">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3">
      <c r="B202" s="1392"/>
      <c r="C202" s="1393" t="s">
        <v>1362</v>
      </c>
      <c r="D202" s="1394"/>
      <c r="E202" s="1395"/>
      <c r="F202" s="1396"/>
      <c r="G202" s="1397"/>
      <c r="H202" s="1398"/>
      <c r="I202" s="1399"/>
      <c r="J202" s="1397"/>
      <c r="K202" s="1398"/>
      <c r="L202" s="1399"/>
      <c r="M202" s="1400"/>
      <c r="N202" s="1409"/>
      <c r="O202" s="1410"/>
      <c r="P202" s="1410"/>
    </row>
    <row r="203" spans="2:16" x14ac:dyDescent="0.3">
      <c r="B203" s="1392"/>
      <c r="C203" s="1393" t="s">
        <v>1362</v>
      </c>
      <c r="D203" s="1394"/>
      <c r="E203" s="1395"/>
      <c r="F203" s="1396"/>
      <c r="G203" s="1397"/>
      <c r="H203" s="1398"/>
      <c r="I203" s="1399"/>
      <c r="J203" s="1397"/>
      <c r="K203" s="1398"/>
      <c r="L203" s="1399"/>
      <c r="M203" s="1400"/>
      <c r="N203" s="1409"/>
      <c r="O203" s="1410"/>
      <c r="P203" s="1410"/>
    </row>
    <row r="204" spans="2:16" x14ac:dyDescent="0.3">
      <c r="B204" s="1392"/>
      <c r="C204" s="1393" t="s">
        <v>1362</v>
      </c>
      <c r="D204" s="1394"/>
      <c r="E204" s="1395"/>
      <c r="F204" s="1396"/>
      <c r="G204" s="1397"/>
      <c r="H204" s="1398"/>
      <c r="I204" s="1399"/>
      <c r="J204" s="1397"/>
      <c r="K204" s="1398"/>
      <c r="L204" s="1399"/>
      <c r="M204" s="1400"/>
      <c r="N204" s="1409"/>
      <c r="O204" s="1410"/>
      <c r="P204" s="1410"/>
    </row>
    <row r="205" spans="2:16" x14ac:dyDescent="0.3">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3">
      <c r="B206" s="1392"/>
      <c r="C206" s="1393" t="s">
        <v>1362</v>
      </c>
      <c r="D206" s="1394"/>
      <c r="E206" s="1395"/>
      <c r="F206" s="1396"/>
      <c r="G206" s="1397"/>
      <c r="H206" s="1398"/>
      <c r="I206" s="1399"/>
      <c r="J206" s="1397"/>
      <c r="K206" s="1398"/>
      <c r="L206" s="1399"/>
      <c r="M206" s="1400"/>
      <c r="N206" s="1409"/>
      <c r="O206" s="1410"/>
      <c r="P206" s="1410"/>
    </row>
    <row r="207" spans="2:16" x14ac:dyDescent="0.3">
      <c r="B207" s="1392"/>
      <c r="C207" s="1393" t="s">
        <v>1362</v>
      </c>
      <c r="D207" s="1394"/>
      <c r="E207" s="1395"/>
      <c r="F207" s="1396"/>
      <c r="G207" s="1397"/>
      <c r="H207" s="1398"/>
      <c r="I207" s="1399"/>
      <c r="J207" s="1397"/>
      <c r="K207" s="1398"/>
      <c r="L207" s="1399"/>
      <c r="M207" s="1400"/>
      <c r="N207" s="1409"/>
      <c r="O207" s="1410"/>
      <c r="P207" s="1410"/>
    </row>
    <row r="208" spans="2:16" x14ac:dyDescent="0.3">
      <c r="B208" s="1392"/>
      <c r="C208" s="1393" t="s">
        <v>1362</v>
      </c>
      <c r="D208" s="1394"/>
      <c r="E208" s="1395"/>
      <c r="F208" s="1396"/>
      <c r="G208" s="1397"/>
      <c r="H208" s="1398"/>
      <c r="I208" s="1399"/>
      <c r="J208" s="1397"/>
      <c r="K208" s="1398"/>
      <c r="L208" s="1399"/>
      <c r="M208" s="1400"/>
      <c r="N208" s="1409"/>
      <c r="O208" s="1410"/>
      <c r="P208" s="1410"/>
    </row>
    <row r="209" spans="2:16" ht="52.8" x14ac:dyDescent="0.3">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3">
      <c r="B210" s="1392"/>
      <c r="C210" s="1393" t="s">
        <v>1362</v>
      </c>
      <c r="D210" s="1394"/>
      <c r="E210" s="1395"/>
      <c r="F210" s="1396"/>
      <c r="G210" s="1397"/>
      <c r="H210" s="1398"/>
      <c r="I210" s="1399"/>
      <c r="J210" s="1397"/>
      <c r="K210" s="1398"/>
      <c r="L210" s="1399"/>
      <c r="M210" s="1400"/>
      <c r="N210" s="1409"/>
      <c r="O210" s="1410"/>
      <c r="P210" s="1410"/>
    </row>
    <row r="211" spans="2:16" x14ac:dyDescent="0.3">
      <c r="B211" s="1392"/>
      <c r="C211" s="1393" t="s">
        <v>1362</v>
      </c>
      <c r="D211" s="1394"/>
      <c r="E211" s="1395"/>
      <c r="F211" s="1396"/>
      <c r="G211" s="1397"/>
      <c r="H211" s="1398"/>
      <c r="I211" s="1399"/>
      <c r="J211" s="1397"/>
      <c r="K211" s="1398"/>
      <c r="L211" s="1399"/>
      <c r="M211" s="1400"/>
      <c r="N211" s="1409"/>
      <c r="O211" s="1410"/>
      <c r="P211" s="1410"/>
    </row>
    <row r="212" spans="2:16" x14ac:dyDescent="0.3">
      <c r="B212" s="1392"/>
      <c r="C212" s="1393" t="s">
        <v>1362</v>
      </c>
      <c r="D212" s="1394"/>
      <c r="E212" s="1395"/>
      <c r="F212" s="1396"/>
      <c r="G212" s="1397"/>
      <c r="H212" s="1398"/>
      <c r="I212" s="1399"/>
      <c r="J212" s="1397"/>
      <c r="K212" s="1398"/>
      <c r="L212" s="1399"/>
      <c r="M212" s="1400"/>
      <c r="N212" s="1409"/>
      <c r="O212" s="1410"/>
      <c r="P212" s="1410"/>
    </row>
    <row r="213" spans="2:16" x14ac:dyDescent="0.3">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6.599999999999994" x14ac:dyDescent="0.3">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3">
      <c r="B215" s="1392"/>
      <c r="C215" s="1393" t="s">
        <v>1362</v>
      </c>
      <c r="D215" s="1394"/>
      <c r="E215" s="1395"/>
      <c r="F215" s="1396"/>
      <c r="G215" s="1397"/>
      <c r="H215" s="1398"/>
      <c r="I215" s="1399"/>
      <c r="J215" s="1397"/>
      <c r="K215" s="1398"/>
      <c r="L215" s="1399"/>
      <c r="M215" s="1400"/>
      <c r="N215" s="1409"/>
      <c r="O215" s="1410"/>
      <c r="P215" s="1410"/>
    </row>
    <row r="216" spans="2:16" x14ac:dyDescent="0.3">
      <c r="B216" s="1392"/>
      <c r="C216" s="1393" t="s">
        <v>1362</v>
      </c>
      <c r="D216" s="1394"/>
      <c r="E216" s="1395"/>
      <c r="F216" s="1396"/>
      <c r="G216" s="1397"/>
      <c r="H216" s="1398"/>
      <c r="I216" s="1399"/>
      <c r="J216" s="1397"/>
      <c r="K216" s="1398"/>
      <c r="L216" s="1399"/>
      <c r="M216" s="1400"/>
      <c r="N216" s="1409"/>
      <c r="O216" s="1410"/>
      <c r="P216" s="1410"/>
    </row>
    <row r="217" spans="2:16" x14ac:dyDescent="0.3">
      <c r="B217" s="1392"/>
      <c r="C217" s="1393" t="s">
        <v>1362</v>
      </c>
      <c r="D217" s="1394"/>
      <c r="E217" s="1395"/>
      <c r="F217" s="1396"/>
      <c r="G217" s="1397"/>
      <c r="H217" s="1398"/>
      <c r="I217" s="1399"/>
      <c r="J217" s="1397"/>
      <c r="K217" s="1398"/>
      <c r="L217" s="1399"/>
      <c r="M217" s="1400"/>
      <c r="N217" s="1409"/>
      <c r="O217" s="1410"/>
      <c r="P217" s="1410"/>
    </row>
    <row r="218" spans="2:16" x14ac:dyDescent="0.3">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3">
      <c r="B219" s="1392"/>
      <c r="C219" s="1393" t="s">
        <v>1362</v>
      </c>
      <c r="D219" s="1394"/>
      <c r="E219" s="1395"/>
      <c r="F219" s="1396"/>
      <c r="G219" s="1397"/>
      <c r="H219" s="1398"/>
      <c r="I219" s="1399"/>
      <c r="J219" s="1397"/>
      <c r="K219" s="1398"/>
      <c r="L219" s="1399"/>
      <c r="M219" s="1400"/>
      <c r="N219" s="1409"/>
      <c r="O219" s="1410"/>
      <c r="P219" s="1410"/>
    </row>
    <row r="220" spans="2:16" x14ac:dyDescent="0.3">
      <c r="B220" s="1392"/>
      <c r="C220" s="1393" t="s">
        <v>1362</v>
      </c>
      <c r="D220" s="1394"/>
      <c r="E220" s="1395"/>
      <c r="F220" s="1396"/>
      <c r="G220" s="1397"/>
      <c r="H220" s="1398"/>
      <c r="I220" s="1399"/>
      <c r="J220" s="1397"/>
      <c r="K220" s="1398"/>
      <c r="L220" s="1399"/>
      <c r="M220" s="1400"/>
      <c r="N220" s="1409"/>
      <c r="O220" s="1410"/>
      <c r="P220" s="1410"/>
    </row>
    <row r="221" spans="2:16" x14ac:dyDescent="0.3">
      <c r="B221" s="1392"/>
      <c r="C221" s="1393" t="s">
        <v>1362</v>
      </c>
      <c r="D221" s="1394"/>
      <c r="E221" s="1395"/>
      <c r="F221" s="1396"/>
      <c r="G221" s="1397"/>
      <c r="H221" s="1398"/>
      <c r="I221" s="1399"/>
      <c r="J221" s="1397"/>
      <c r="K221" s="1398"/>
      <c r="L221" s="1399"/>
      <c r="M221" s="1400"/>
      <c r="N221" s="1409"/>
      <c r="O221" s="1410"/>
      <c r="P221" s="1410"/>
    </row>
    <row r="222" spans="2:16" x14ac:dyDescent="0.3">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3">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3">
      <c r="B224" s="1392"/>
      <c r="C224" s="1393" t="s">
        <v>1362</v>
      </c>
      <c r="D224" s="1394"/>
      <c r="E224" s="1395"/>
      <c r="F224" s="1396"/>
      <c r="G224" s="1397"/>
      <c r="H224" s="1398"/>
      <c r="I224" s="1399"/>
      <c r="J224" s="1397"/>
      <c r="K224" s="1398"/>
      <c r="L224" s="1399"/>
      <c r="M224" s="1400"/>
      <c r="N224" s="1397"/>
      <c r="O224" s="1401"/>
      <c r="P224" s="1401"/>
    </row>
    <row r="225" spans="2:16" x14ac:dyDescent="0.3">
      <c r="B225" s="1392"/>
      <c r="C225" s="1393" t="s">
        <v>1362</v>
      </c>
      <c r="D225" s="1394"/>
      <c r="E225" s="1395"/>
      <c r="F225" s="1396"/>
      <c r="G225" s="1397"/>
      <c r="H225" s="1398"/>
      <c r="I225" s="1399"/>
      <c r="J225" s="1397"/>
      <c r="K225" s="1398"/>
      <c r="L225" s="1399"/>
      <c r="M225" s="1400"/>
      <c r="N225" s="1397"/>
      <c r="O225" s="1401"/>
      <c r="P225" s="1401"/>
    </row>
    <row r="226" spans="2:16" x14ac:dyDescent="0.3">
      <c r="B226" s="1392"/>
      <c r="C226" s="1393" t="s">
        <v>1362</v>
      </c>
      <c r="D226" s="1394"/>
      <c r="E226" s="1395"/>
      <c r="F226" s="1396"/>
      <c r="G226" s="1397"/>
      <c r="H226" s="1398"/>
      <c r="I226" s="1399"/>
      <c r="J226" s="1397"/>
      <c r="K226" s="1398"/>
      <c r="L226" s="1399"/>
      <c r="M226" s="1400"/>
      <c r="N226" s="1397"/>
      <c r="O226" s="1401"/>
      <c r="P226" s="1401"/>
    </row>
    <row r="227" spans="2:16" x14ac:dyDescent="0.3">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3">
      <c r="B228" s="1392"/>
      <c r="C228" s="1393" t="s">
        <v>1362</v>
      </c>
      <c r="D228" s="1394"/>
      <c r="E228" s="1395"/>
      <c r="F228" s="1396"/>
      <c r="G228" s="1397"/>
      <c r="H228" s="1398"/>
      <c r="I228" s="1399"/>
      <c r="J228" s="1397"/>
      <c r="K228" s="1398"/>
      <c r="L228" s="1399"/>
      <c r="M228" s="1400"/>
      <c r="N228" s="1397"/>
      <c r="O228" s="1401"/>
      <c r="P228" s="1401"/>
    </row>
    <row r="229" spans="2:16" x14ac:dyDescent="0.3">
      <c r="B229" s="1392"/>
      <c r="C229" s="1393" t="s">
        <v>1362</v>
      </c>
      <c r="D229" s="1394"/>
      <c r="E229" s="1395"/>
      <c r="F229" s="1396"/>
      <c r="G229" s="1397"/>
      <c r="H229" s="1398"/>
      <c r="I229" s="1399"/>
      <c r="J229" s="1397"/>
      <c r="K229" s="1398"/>
      <c r="L229" s="1399"/>
      <c r="M229" s="1400"/>
      <c r="N229" s="1397"/>
      <c r="O229" s="1401"/>
      <c r="P229" s="1401"/>
    </row>
    <row r="230" spans="2:16" x14ac:dyDescent="0.3">
      <c r="B230" s="1392"/>
      <c r="C230" s="1393" t="s">
        <v>1362</v>
      </c>
      <c r="D230" s="1394"/>
      <c r="E230" s="1395"/>
      <c r="F230" s="1396"/>
      <c r="G230" s="1397"/>
      <c r="H230" s="1398"/>
      <c r="I230" s="1399"/>
      <c r="J230" s="1397"/>
      <c r="K230" s="1398"/>
      <c r="L230" s="1399"/>
      <c r="M230" s="1400"/>
      <c r="N230" s="1397"/>
      <c r="O230" s="1401"/>
      <c r="P230" s="1401"/>
    </row>
    <row r="231" spans="2:16" ht="30.75" customHeight="1" x14ac:dyDescent="0.3">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3">
      <c r="B232" s="1392"/>
      <c r="C232" s="1393" t="s">
        <v>1362</v>
      </c>
      <c r="D232" s="1394"/>
      <c r="E232" s="1395"/>
      <c r="F232" s="1396"/>
      <c r="G232" s="1397"/>
      <c r="H232" s="1398"/>
      <c r="I232" s="1399"/>
      <c r="J232" s="1397"/>
      <c r="K232" s="1398"/>
      <c r="L232" s="1399"/>
      <c r="M232" s="1400"/>
      <c r="N232" s="1397"/>
      <c r="O232" s="1401"/>
      <c r="P232" s="1401"/>
    </row>
    <row r="233" spans="2:16" x14ac:dyDescent="0.3">
      <c r="B233" s="1392"/>
      <c r="C233" s="1393" t="s">
        <v>1362</v>
      </c>
      <c r="D233" s="1394"/>
      <c r="E233" s="1395"/>
      <c r="F233" s="1396"/>
      <c r="G233" s="1397"/>
      <c r="H233" s="1398"/>
      <c r="I233" s="1399"/>
      <c r="J233" s="1397"/>
      <c r="K233" s="1398"/>
      <c r="L233" s="1399"/>
      <c r="M233" s="1400"/>
      <c r="N233" s="1397"/>
      <c r="O233" s="1401"/>
      <c r="P233" s="1401"/>
    </row>
    <row r="234" spans="2:16" x14ac:dyDescent="0.3">
      <c r="B234" s="1392"/>
      <c r="C234" s="1393" t="s">
        <v>1362</v>
      </c>
      <c r="D234" s="1394"/>
      <c r="E234" s="1395"/>
      <c r="F234" s="1396"/>
      <c r="G234" s="1397"/>
      <c r="H234" s="1398"/>
      <c r="I234" s="1399"/>
      <c r="J234" s="1397"/>
      <c r="K234" s="1398"/>
      <c r="L234" s="1399"/>
      <c r="M234" s="1400"/>
      <c r="N234" s="1397"/>
      <c r="O234" s="1401"/>
      <c r="P234" s="1401"/>
    </row>
    <row r="235" spans="2:16" ht="27" x14ac:dyDescent="0.3">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3">
      <c r="B236" s="1392"/>
      <c r="C236" s="1393" t="s">
        <v>1362</v>
      </c>
      <c r="D236" s="1394"/>
      <c r="E236" s="1395"/>
      <c r="F236" s="1396"/>
      <c r="G236" s="1397"/>
      <c r="H236" s="1398"/>
      <c r="I236" s="1399"/>
      <c r="J236" s="1397"/>
      <c r="K236" s="1398"/>
      <c r="L236" s="1399"/>
      <c r="M236" s="1400"/>
      <c r="N236" s="1397"/>
      <c r="O236" s="1401"/>
      <c r="P236" s="1401"/>
    </row>
    <row r="237" spans="2:16" x14ac:dyDescent="0.3">
      <c r="B237" s="1392"/>
      <c r="C237" s="1393" t="s">
        <v>1362</v>
      </c>
      <c r="D237" s="1394"/>
      <c r="E237" s="1395"/>
      <c r="F237" s="1396"/>
      <c r="G237" s="1397"/>
      <c r="H237" s="1398"/>
      <c r="I237" s="1399"/>
      <c r="J237" s="1397"/>
      <c r="K237" s="1398"/>
      <c r="L237" s="1399"/>
      <c r="M237" s="1400"/>
      <c r="N237" s="1397"/>
      <c r="O237" s="1401"/>
      <c r="P237" s="1401"/>
    </row>
    <row r="238" spans="2:16" x14ac:dyDescent="0.3">
      <c r="B238" s="1392"/>
      <c r="C238" s="1393" t="s">
        <v>1362</v>
      </c>
      <c r="D238" s="1394"/>
      <c r="E238" s="1395"/>
      <c r="F238" s="1396"/>
      <c r="G238" s="1397"/>
      <c r="H238" s="1398"/>
      <c r="I238" s="1399"/>
      <c r="J238" s="1397"/>
      <c r="K238" s="1398"/>
      <c r="L238" s="1399"/>
      <c r="M238" s="1400"/>
      <c r="N238" s="1397"/>
      <c r="O238" s="1401"/>
      <c r="P238" s="1401"/>
    </row>
    <row r="239" spans="2:16" ht="27" x14ac:dyDescent="0.3">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3">
      <c r="B240" s="1392"/>
      <c r="C240" s="1393" t="s">
        <v>1362</v>
      </c>
      <c r="D240" s="1394"/>
      <c r="E240" s="1395"/>
      <c r="F240" s="1396"/>
      <c r="G240" s="1397"/>
      <c r="H240" s="1398"/>
      <c r="I240" s="1399"/>
      <c r="J240" s="1397"/>
      <c r="K240" s="1398"/>
      <c r="L240" s="1399"/>
      <c r="M240" s="1400"/>
      <c r="N240" s="1397"/>
      <c r="O240" s="1401"/>
      <c r="P240" s="1401"/>
    </row>
    <row r="241" spans="2:16" x14ac:dyDescent="0.3">
      <c r="B241" s="1392"/>
      <c r="C241" s="1393" t="s">
        <v>1362</v>
      </c>
      <c r="D241" s="1394"/>
      <c r="E241" s="1395"/>
      <c r="F241" s="1396"/>
      <c r="G241" s="1397"/>
      <c r="H241" s="1398"/>
      <c r="I241" s="1399"/>
      <c r="J241" s="1397"/>
      <c r="K241" s="1398"/>
      <c r="L241" s="1399"/>
      <c r="M241" s="1400"/>
      <c r="N241" s="1397"/>
      <c r="O241" s="1401"/>
      <c r="P241" s="1401"/>
    </row>
    <row r="242" spans="2:16" x14ac:dyDescent="0.3">
      <c r="B242" s="1392"/>
      <c r="C242" s="1393" t="s">
        <v>1362</v>
      </c>
      <c r="D242" s="1394"/>
      <c r="E242" s="1395"/>
      <c r="F242" s="1396"/>
      <c r="G242" s="1397"/>
      <c r="H242" s="1398"/>
      <c r="I242" s="1399"/>
      <c r="J242" s="1397"/>
      <c r="K242" s="1398"/>
      <c r="L242" s="1399"/>
      <c r="M242" s="1400"/>
      <c r="N242" s="1397"/>
      <c r="O242" s="1401"/>
      <c r="P242" s="1401"/>
    </row>
    <row r="243" spans="2:16" x14ac:dyDescent="0.3">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3">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3">
      <c r="B245" s="1392"/>
      <c r="C245" s="1393" t="s">
        <v>1362</v>
      </c>
      <c r="D245" s="1394"/>
      <c r="E245" s="1395"/>
      <c r="F245" s="1396"/>
      <c r="G245" s="1432"/>
      <c r="H245" s="1433"/>
      <c r="I245" s="1434"/>
      <c r="J245" s="1432"/>
      <c r="K245" s="1433"/>
      <c r="L245" s="1434"/>
      <c r="M245" s="1435"/>
      <c r="N245" s="1432"/>
      <c r="O245" s="1436"/>
      <c r="P245" s="1436"/>
    </row>
    <row r="246" spans="2:16" x14ac:dyDescent="0.3">
      <c r="B246" s="1392"/>
      <c r="C246" s="1393" t="s">
        <v>1362</v>
      </c>
      <c r="D246" s="1394"/>
      <c r="E246" s="1430"/>
      <c r="F246" s="1431"/>
      <c r="G246" s="1432"/>
      <c r="H246" s="1433"/>
      <c r="I246" s="1434"/>
      <c r="J246" s="1432"/>
      <c r="K246" s="1433"/>
      <c r="L246" s="1434"/>
      <c r="M246" s="1435"/>
      <c r="N246" s="1432"/>
      <c r="O246" s="1436"/>
      <c r="P246" s="1436"/>
    </row>
    <row r="247" spans="2:16" x14ac:dyDescent="0.3">
      <c r="B247" s="1392"/>
      <c r="C247" s="1393" t="s">
        <v>1362</v>
      </c>
      <c r="D247" s="1394"/>
      <c r="E247" s="1430"/>
      <c r="F247" s="1431"/>
      <c r="G247" s="1437"/>
      <c r="H247" s="1438"/>
      <c r="I247" s="1439"/>
      <c r="J247" s="1437"/>
      <c r="K247" s="1438"/>
      <c r="L247" s="1439"/>
      <c r="M247" s="1440"/>
      <c r="N247" s="1437"/>
      <c r="O247" s="1441"/>
      <c r="P247" s="1441"/>
    </row>
    <row r="248" spans="2:16" ht="27" x14ac:dyDescent="0.3">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3">
      <c r="B249" s="1392"/>
      <c r="C249" s="1393" t="s">
        <v>1362</v>
      </c>
      <c r="D249" s="1394"/>
      <c r="E249" s="1395"/>
      <c r="F249" s="1396"/>
      <c r="G249" s="1437"/>
      <c r="H249" s="1438"/>
      <c r="I249" s="1439"/>
      <c r="J249" s="1437"/>
      <c r="K249" s="1438"/>
      <c r="L249" s="1439"/>
      <c r="M249" s="1440"/>
      <c r="N249" s="1437"/>
      <c r="O249" s="1441"/>
      <c r="P249" s="1441"/>
    </row>
    <row r="250" spans="2:16" x14ac:dyDescent="0.3">
      <c r="B250" s="1392"/>
      <c r="C250" s="1393" t="s">
        <v>1362</v>
      </c>
      <c r="D250" s="1394"/>
      <c r="E250" s="1444"/>
      <c r="F250" s="1445"/>
      <c r="G250" s="1437"/>
      <c r="H250" s="1438"/>
      <c r="I250" s="1439"/>
      <c r="J250" s="1437"/>
      <c r="K250" s="1438"/>
      <c r="L250" s="1439"/>
      <c r="M250" s="1440"/>
      <c r="N250" s="1437"/>
      <c r="O250" s="1441"/>
      <c r="P250" s="1441"/>
    </row>
    <row r="251" spans="2:16" x14ac:dyDescent="0.3">
      <c r="B251" s="1392"/>
      <c r="C251" s="1393" t="s">
        <v>1362</v>
      </c>
      <c r="D251" s="1394"/>
      <c r="E251" s="1444"/>
      <c r="F251" s="1445"/>
      <c r="G251" s="1437"/>
      <c r="H251" s="1438"/>
      <c r="I251" s="1439"/>
      <c r="J251" s="1437"/>
      <c r="K251" s="1438"/>
      <c r="L251" s="1439"/>
      <c r="M251" s="1440"/>
      <c r="N251" s="1437"/>
      <c r="O251" s="1441"/>
      <c r="P251" s="1441"/>
    </row>
    <row r="252" spans="2:16" x14ac:dyDescent="0.3">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3">
      <c r="B253" s="1392"/>
      <c r="C253" s="1393" t="s">
        <v>1363</v>
      </c>
      <c r="D253" s="1394"/>
      <c r="E253" s="1451"/>
      <c r="F253" s="1452"/>
      <c r="G253" s="1453"/>
      <c r="H253" s="1454"/>
      <c r="I253" s="1455"/>
      <c r="J253" s="1453"/>
      <c r="K253" s="1454"/>
      <c r="L253" s="1455"/>
      <c r="M253" s="1456"/>
      <c r="N253" s="1453"/>
      <c r="O253" s="1457"/>
      <c r="P253" s="1457"/>
    </row>
    <row r="254" spans="2:16" x14ac:dyDescent="0.3">
      <c r="B254" s="1392"/>
      <c r="C254" s="1393" t="s">
        <v>1363</v>
      </c>
      <c r="D254" s="1394"/>
      <c r="E254" s="1451"/>
      <c r="F254" s="1452"/>
      <c r="G254" s="1453"/>
      <c r="H254" s="1454"/>
      <c r="I254" s="1455"/>
      <c r="J254" s="1453"/>
      <c r="K254" s="1454"/>
      <c r="L254" s="1455"/>
      <c r="M254" s="1456"/>
      <c r="N254" s="1453"/>
      <c r="O254" s="1457"/>
      <c r="P254" s="1457"/>
    </row>
    <row r="255" spans="2:16" x14ac:dyDescent="0.3">
      <c r="B255" s="1458"/>
      <c r="C255" s="1459" t="s">
        <v>1363</v>
      </c>
      <c r="D255" s="1460"/>
      <c r="E255" s="1461"/>
      <c r="F255" s="1462"/>
      <c r="G255" s="1463"/>
      <c r="H255" s="1464"/>
      <c r="I255" s="1465"/>
      <c r="J255" s="1463"/>
      <c r="K255" s="1464"/>
      <c r="L255" s="1465"/>
      <c r="M255" s="1466"/>
      <c r="N255" s="1463"/>
      <c r="O255" s="1467"/>
      <c r="P255" s="1467"/>
    </row>
    <row r="257" spans="2:15" x14ac:dyDescent="0.3">
      <c r="B257" s="1504" t="s">
        <v>1364</v>
      </c>
      <c r="C257" s="1504"/>
      <c r="D257" s="1504"/>
      <c r="E257" s="1504"/>
      <c r="F257" s="1504"/>
      <c r="G257" s="1504"/>
      <c r="H257" s="1504"/>
      <c r="I257" s="1504"/>
      <c r="J257" s="1504"/>
      <c r="K257" s="1504"/>
      <c r="L257" s="1504"/>
      <c r="M257" s="1505"/>
      <c r="N257" s="1505"/>
      <c r="O257" s="1505"/>
    </row>
    <row r="258" spans="2:15" ht="39" customHeight="1" x14ac:dyDescent="0.3">
      <c r="B258" s="1504"/>
      <c r="C258" s="1504"/>
      <c r="D258" s="1504"/>
      <c r="E258" s="1504"/>
      <c r="F258" s="1504"/>
      <c r="G258" s="1504"/>
      <c r="H258" s="1504"/>
      <c r="I258" s="1504"/>
      <c r="J258" s="1504"/>
      <c r="K258" s="1504"/>
      <c r="L258" s="1504"/>
      <c r="M258" s="1505"/>
      <c r="N258" s="1505"/>
      <c r="O258" s="1505"/>
    </row>
    <row r="259" spans="2:15" ht="72" customHeight="1" x14ac:dyDescent="0.3">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59"/>
  <sheetViews>
    <sheetView zoomScale="85" zoomScaleNormal="85" workbookViewId="0"/>
  </sheetViews>
  <sheetFormatPr defaultColWidth="9.109375" defaultRowHeight="14.4" x14ac:dyDescent="0.3"/>
  <cols>
    <col min="1" max="1" width="4.88671875" style="5" customWidth="1"/>
    <col min="2" max="2" width="9.109375" style="5"/>
    <col min="3" max="3" width="54.6640625" style="5" customWidth="1"/>
    <col min="4" max="4" width="45.6640625" style="5" customWidth="1"/>
    <col min="5" max="6" width="30.6640625" style="5" customWidth="1"/>
    <col min="7" max="16" width="21.6640625" style="5" customWidth="1"/>
    <col min="17" max="16384" width="9.109375" style="5"/>
  </cols>
  <sheetData>
    <row r="1" spans="1:16" x14ac:dyDescent="0.3">
      <c r="A1" s="6" t="s">
        <v>0</v>
      </c>
      <c r="B1" s="7"/>
      <c r="C1" s="7"/>
      <c r="D1" s="7"/>
      <c r="E1" s="7"/>
      <c r="F1" s="7"/>
      <c r="G1" s="7"/>
      <c r="H1" s="7"/>
      <c r="I1" s="7"/>
      <c r="J1" s="7"/>
      <c r="K1" s="7"/>
      <c r="L1" s="7"/>
      <c r="M1" s="7"/>
      <c r="N1" s="7"/>
      <c r="O1" s="7"/>
      <c r="P1" s="7"/>
    </row>
    <row r="2" spans="1:16" x14ac:dyDescent="0.3">
      <c r="A2" s="6" t="s">
        <v>1</v>
      </c>
      <c r="B2" s="7"/>
      <c r="C2" s="7"/>
      <c r="D2" s="7"/>
      <c r="E2" s="7"/>
      <c r="F2" s="7"/>
      <c r="G2" s="7"/>
      <c r="H2" s="7"/>
      <c r="I2" s="7"/>
      <c r="J2" s="7"/>
      <c r="K2" s="7"/>
      <c r="L2" s="7"/>
      <c r="M2" s="7"/>
      <c r="N2" s="7"/>
      <c r="O2" s="7"/>
      <c r="P2" s="7"/>
    </row>
    <row r="3" spans="1:16" x14ac:dyDescent="0.3">
      <c r="A3" s="7"/>
      <c r="B3" s="7"/>
      <c r="C3" s="7"/>
      <c r="D3" s="7"/>
      <c r="E3" s="7"/>
      <c r="F3" s="7"/>
      <c r="G3" s="7"/>
      <c r="H3" s="7"/>
      <c r="I3" s="7"/>
      <c r="J3" s="7"/>
      <c r="K3" s="7"/>
      <c r="L3" s="7"/>
      <c r="M3" s="7"/>
      <c r="N3" s="7"/>
      <c r="O3" s="7"/>
      <c r="P3" s="7"/>
    </row>
    <row r="4" spans="1:16" x14ac:dyDescent="0.3">
      <c r="A4" s="7"/>
      <c r="B4" s="7"/>
      <c r="C4" s="7"/>
      <c r="D4" s="7"/>
      <c r="E4" s="7"/>
      <c r="F4" s="7"/>
      <c r="G4" s="7"/>
      <c r="H4" s="7"/>
      <c r="I4" s="7"/>
      <c r="J4" s="7"/>
      <c r="K4" s="7"/>
      <c r="L4" s="7"/>
      <c r="M4" s="7"/>
      <c r="N4" s="7"/>
      <c r="O4" s="7"/>
      <c r="P4" s="7"/>
    </row>
    <row r="5" spans="1:16" x14ac:dyDescent="0.3">
      <c r="A5" s="8" t="s">
        <v>1366</v>
      </c>
      <c r="B5" s="7"/>
      <c r="C5" s="7"/>
      <c r="D5" s="7"/>
      <c r="E5" s="7"/>
      <c r="F5" s="7"/>
      <c r="G5" s="7"/>
      <c r="H5" s="7"/>
      <c r="I5" s="7"/>
      <c r="J5" s="7"/>
      <c r="K5" s="7"/>
      <c r="L5" s="7"/>
      <c r="M5" s="7"/>
      <c r="N5" s="7"/>
      <c r="O5" s="7"/>
      <c r="P5" s="7"/>
    </row>
    <row r="6" spans="1:16" x14ac:dyDescent="0.3">
      <c r="A6" s="7"/>
      <c r="B6" s="7"/>
      <c r="C6" s="7"/>
      <c r="D6" s="7"/>
      <c r="E6" s="7"/>
      <c r="F6" s="7"/>
      <c r="G6" s="7"/>
      <c r="H6" s="7"/>
      <c r="I6" s="7"/>
      <c r="J6" s="7"/>
      <c r="K6" s="7"/>
      <c r="L6" s="7"/>
      <c r="M6" s="7"/>
      <c r="N6" s="7"/>
      <c r="O6" s="7"/>
      <c r="P6" s="7"/>
    </row>
    <row r="8" spans="1:16" x14ac:dyDescent="0.3">
      <c r="B8" s="1503" t="s">
        <v>1367</v>
      </c>
      <c r="C8" s="1503"/>
      <c r="D8" s="1503"/>
      <c r="E8" s="1503"/>
      <c r="F8" s="1503"/>
      <c r="G8" s="1503"/>
      <c r="H8" s="1503"/>
      <c r="I8" s="1503"/>
      <c r="J8" s="1503"/>
      <c r="K8" s="1503"/>
      <c r="L8" s="1503"/>
      <c r="M8" s="1503"/>
      <c r="N8" s="1503"/>
      <c r="O8" s="1503"/>
      <c r="P8" s="1503"/>
    </row>
    <row r="9" spans="1:16" ht="154.5" customHeight="1" x14ac:dyDescent="0.3">
      <c r="B9" s="1356" t="s">
        <v>4</v>
      </c>
      <c r="C9" s="1357" t="s">
        <v>1348</v>
      </c>
      <c r="D9" s="1358" t="s">
        <v>1349</v>
      </c>
      <c r="E9" s="1359" t="s">
        <v>1350</v>
      </c>
      <c r="F9" s="1360" t="s">
        <v>1351</v>
      </c>
      <c r="G9" s="1361" t="s">
        <v>1352</v>
      </c>
      <c r="H9" s="1362" t="s">
        <v>1353</v>
      </c>
      <c r="I9" s="1363" t="s">
        <v>1354</v>
      </c>
      <c r="J9" s="1361" t="s">
        <v>1355</v>
      </c>
      <c r="K9" s="1362" t="s">
        <v>1356</v>
      </c>
      <c r="L9" s="1364" t="s">
        <v>1357</v>
      </c>
      <c r="M9" s="1365" t="s">
        <v>1358</v>
      </c>
      <c r="N9" s="1361" t="s">
        <v>1359</v>
      </c>
      <c r="O9" s="1364" t="s">
        <v>1360</v>
      </c>
      <c r="P9" s="1366" t="s">
        <v>1361</v>
      </c>
    </row>
    <row r="10" spans="1:16" x14ac:dyDescent="0.3">
      <c r="B10" s="1367" t="s">
        <v>68</v>
      </c>
      <c r="C10" s="1368" t="s">
        <v>612</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x14ac:dyDescent="0.3">
      <c r="B11" s="1375" t="s">
        <v>70</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x14ac:dyDescent="0.3">
      <c r="B12" s="1384" t="s">
        <v>72</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x14ac:dyDescent="0.3">
      <c r="B13" s="1392"/>
      <c r="C13" s="1393" t="s">
        <v>1362</v>
      </c>
      <c r="D13" s="1394"/>
      <c r="E13" s="1395"/>
      <c r="F13" s="1396"/>
      <c r="G13" s="1397"/>
      <c r="H13" s="1398"/>
      <c r="I13" s="1399"/>
      <c r="J13" s="1397"/>
      <c r="K13" s="1398"/>
      <c r="L13" s="1399"/>
      <c r="M13" s="1400"/>
      <c r="N13" s="1397"/>
      <c r="O13" s="1401"/>
      <c r="P13" s="1401"/>
    </row>
    <row r="14" spans="1:16" x14ac:dyDescent="0.3">
      <c r="B14" s="1392"/>
      <c r="C14" s="1393" t="s">
        <v>1362</v>
      </c>
      <c r="D14" s="1394"/>
      <c r="E14" s="1395"/>
      <c r="F14" s="1396"/>
      <c r="G14" s="1397"/>
      <c r="H14" s="1398"/>
      <c r="I14" s="1399"/>
      <c r="J14" s="1397"/>
      <c r="K14" s="1398"/>
      <c r="L14" s="1399"/>
      <c r="M14" s="1400"/>
      <c r="N14" s="1397"/>
      <c r="O14" s="1401"/>
      <c r="P14" s="1401"/>
    </row>
    <row r="15" spans="1:16" x14ac:dyDescent="0.3">
      <c r="B15" s="1392"/>
      <c r="C15" s="1393" t="s">
        <v>1362</v>
      </c>
      <c r="D15" s="1394"/>
      <c r="E15" s="1395"/>
      <c r="F15" s="1396"/>
      <c r="G15" s="1397"/>
      <c r="H15" s="1398"/>
      <c r="I15" s="1399"/>
      <c r="J15" s="1397"/>
      <c r="K15" s="1398"/>
      <c r="L15" s="1399"/>
      <c r="M15" s="1400"/>
      <c r="N15" s="1397"/>
      <c r="O15" s="1401"/>
      <c r="P15" s="1401"/>
    </row>
    <row r="16" spans="1:16" x14ac:dyDescent="0.3">
      <c r="B16" s="1384" t="s">
        <v>74</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x14ac:dyDescent="0.3">
      <c r="B17" s="1392"/>
      <c r="C17" s="1393" t="s">
        <v>1362</v>
      </c>
      <c r="D17" s="1394"/>
      <c r="E17" s="1395"/>
      <c r="F17" s="1396"/>
      <c r="G17" s="1397"/>
      <c r="H17" s="1398"/>
      <c r="I17" s="1399"/>
      <c r="J17" s="1397"/>
      <c r="K17" s="1398"/>
      <c r="L17" s="1399"/>
      <c r="M17" s="1400"/>
      <c r="N17" s="1397"/>
      <c r="O17" s="1401"/>
      <c r="P17" s="1401"/>
    </row>
    <row r="18" spans="2:16" x14ac:dyDescent="0.3">
      <c r="B18" s="1392"/>
      <c r="C18" s="1393" t="s">
        <v>1362</v>
      </c>
      <c r="D18" s="1394"/>
      <c r="E18" s="1395"/>
      <c r="F18" s="1396"/>
      <c r="G18" s="1397"/>
      <c r="H18" s="1398"/>
      <c r="I18" s="1399"/>
      <c r="J18" s="1397"/>
      <c r="K18" s="1398"/>
      <c r="L18" s="1399"/>
      <c r="M18" s="1400"/>
      <c r="N18" s="1397"/>
      <c r="O18" s="1401"/>
      <c r="P18" s="1401"/>
    </row>
    <row r="19" spans="2:16" x14ac:dyDescent="0.3">
      <c r="B19" s="1392"/>
      <c r="C19" s="1393" t="s">
        <v>1362</v>
      </c>
      <c r="D19" s="1394"/>
      <c r="E19" s="1395"/>
      <c r="F19" s="1396"/>
      <c r="G19" s="1397"/>
      <c r="H19" s="1398"/>
      <c r="I19" s="1399"/>
      <c r="J19" s="1397"/>
      <c r="K19" s="1398"/>
      <c r="L19" s="1399"/>
      <c r="M19" s="1400"/>
      <c r="N19" s="1397"/>
      <c r="O19" s="1401"/>
      <c r="P19" s="1401"/>
    </row>
    <row r="20" spans="2:16" x14ac:dyDescent="0.3">
      <c r="B20" s="1384" t="s">
        <v>597</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x14ac:dyDescent="0.3">
      <c r="B21" s="1392"/>
      <c r="C21" s="1393" t="s">
        <v>1362</v>
      </c>
      <c r="D21" s="1394"/>
      <c r="E21" s="1395"/>
      <c r="F21" s="1396"/>
      <c r="G21" s="1397"/>
      <c r="H21" s="1398"/>
      <c r="I21" s="1399"/>
      <c r="J21" s="1397"/>
      <c r="K21" s="1398"/>
      <c r="L21" s="1399"/>
      <c r="M21" s="1400"/>
      <c r="N21" s="1397"/>
      <c r="O21" s="1401"/>
      <c r="P21" s="1401"/>
    </row>
    <row r="22" spans="2:16" x14ac:dyDescent="0.3">
      <c r="B22" s="1392"/>
      <c r="C22" s="1393" t="s">
        <v>1362</v>
      </c>
      <c r="D22" s="1394"/>
      <c r="E22" s="1395"/>
      <c r="F22" s="1396"/>
      <c r="G22" s="1397"/>
      <c r="H22" s="1398"/>
      <c r="I22" s="1399"/>
      <c r="J22" s="1397"/>
      <c r="K22" s="1398"/>
      <c r="L22" s="1399"/>
      <c r="M22" s="1400"/>
      <c r="N22" s="1397"/>
      <c r="O22" s="1401"/>
      <c r="P22" s="1401"/>
    </row>
    <row r="23" spans="2:16" x14ac:dyDescent="0.3">
      <c r="B23" s="1392"/>
      <c r="C23" s="1393" t="s">
        <v>1362</v>
      </c>
      <c r="D23" s="1394"/>
      <c r="E23" s="1395"/>
      <c r="F23" s="1396"/>
      <c r="G23" s="1397"/>
      <c r="H23" s="1398"/>
      <c r="I23" s="1399"/>
      <c r="J23" s="1397"/>
      <c r="K23" s="1398"/>
      <c r="L23" s="1399"/>
      <c r="M23" s="1400"/>
      <c r="N23" s="1397"/>
      <c r="O23" s="1401"/>
      <c r="P23" s="1401"/>
    </row>
    <row r="24" spans="2:16" x14ac:dyDescent="0.3">
      <c r="B24" s="1402" t="s">
        <v>76</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x14ac:dyDescent="0.3">
      <c r="B25" s="1384" t="s">
        <v>78</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x14ac:dyDescent="0.3">
      <c r="B26" s="1392"/>
      <c r="C26" s="1393" t="s">
        <v>1362</v>
      </c>
      <c r="D26" s="1394"/>
      <c r="E26" s="1395"/>
      <c r="F26" s="1396"/>
      <c r="G26" s="1397"/>
      <c r="H26" s="1398"/>
      <c r="I26" s="1399"/>
      <c r="J26" s="1397"/>
      <c r="K26" s="1398"/>
      <c r="L26" s="1399"/>
      <c r="M26" s="1400"/>
      <c r="N26" s="1409"/>
      <c r="O26" s="1410"/>
      <c r="P26" s="1410"/>
    </row>
    <row r="27" spans="2:16" x14ac:dyDescent="0.3">
      <c r="B27" s="1392"/>
      <c r="C27" s="1393" t="s">
        <v>1362</v>
      </c>
      <c r="D27" s="1394"/>
      <c r="E27" s="1395"/>
      <c r="F27" s="1396"/>
      <c r="G27" s="1397"/>
      <c r="H27" s="1398"/>
      <c r="I27" s="1399"/>
      <c r="J27" s="1397"/>
      <c r="K27" s="1398"/>
      <c r="L27" s="1399"/>
      <c r="M27" s="1400"/>
      <c r="N27" s="1409"/>
      <c r="O27" s="1410"/>
      <c r="P27" s="1410"/>
    </row>
    <row r="28" spans="2:16" x14ac:dyDescent="0.3">
      <c r="B28" s="1392"/>
      <c r="C28" s="1393" t="s">
        <v>1362</v>
      </c>
      <c r="D28" s="1394"/>
      <c r="E28" s="1395"/>
      <c r="F28" s="1396"/>
      <c r="G28" s="1397"/>
      <c r="H28" s="1398"/>
      <c r="I28" s="1399"/>
      <c r="J28" s="1397"/>
      <c r="K28" s="1398"/>
      <c r="L28" s="1399"/>
      <c r="M28" s="1400"/>
      <c r="N28" s="1409"/>
      <c r="O28" s="1410"/>
      <c r="P28" s="1410"/>
    </row>
    <row r="29" spans="2:16" x14ac:dyDescent="0.3">
      <c r="B29" s="1384" t="s">
        <v>86</v>
      </c>
      <c r="C29" s="1385" t="s">
        <v>598</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x14ac:dyDescent="0.3">
      <c r="B30" s="1392"/>
      <c r="C30" s="1393" t="s">
        <v>1362</v>
      </c>
      <c r="D30" s="1394"/>
      <c r="E30" s="1395"/>
      <c r="F30" s="1396"/>
      <c r="G30" s="1397"/>
      <c r="H30" s="1398"/>
      <c r="I30" s="1399"/>
      <c r="J30" s="1397"/>
      <c r="K30" s="1398"/>
      <c r="L30" s="1399"/>
      <c r="M30" s="1400"/>
      <c r="N30" s="1409"/>
      <c r="O30" s="1410"/>
      <c r="P30" s="1410"/>
    </row>
    <row r="31" spans="2:16" x14ac:dyDescent="0.3">
      <c r="B31" s="1392"/>
      <c r="C31" s="1393" t="s">
        <v>1362</v>
      </c>
      <c r="D31" s="1394"/>
      <c r="E31" s="1395"/>
      <c r="F31" s="1396"/>
      <c r="G31" s="1397"/>
      <c r="H31" s="1398"/>
      <c r="I31" s="1399"/>
      <c r="J31" s="1397"/>
      <c r="K31" s="1398"/>
      <c r="L31" s="1399"/>
      <c r="M31" s="1400"/>
      <c r="N31" s="1409"/>
      <c r="O31" s="1410"/>
      <c r="P31" s="1410"/>
    </row>
    <row r="32" spans="2:16" x14ac:dyDescent="0.3">
      <c r="B32" s="1392"/>
      <c r="C32" s="1393" t="s">
        <v>1362</v>
      </c>
      <c r="D32" s="1394"/>
      <c r="E32" s="1395"/>
      <c r="F32" s="1396"/>
      <c r="G32" s="1397"/>
      <c r="H32" s="1398"/>
      <c r="I32" s="1399"/>
      <c r="J32" s="1397"/>
      <c r="K32" s="1398"/>
      <c r="L32" s="1399"/>
      <c r="M32" s="1400"/>
      <c r="N32" s="1409"/>
      <c r="O32" s="1410"/>
      <c r="P32" s="1410"/>
    </row>
    <row r="33" spans="2:16" x14ac:dyDescent="0.3">
      <c r="B33" s="1384" t="s">
        <v>96</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x14ac:dyDescent="0.3">
      <c r="B34" s="1392"/>
      <c r="C34" s="1393" t="s">
        <v>1362</v>
      </c>
      <c r="D34" s="1394"/>
      <c r="E34" s="1395"/>
      <c r="F34" s="1396"/>
      <c r="G34" s="1397"/>
      <c r="H34" s="1398"/>
      <c r="I34" s="1399"/>
      <c r="J34" s="1397"/>
      <c r="K34" s="1398"/>
      <c r="L34" s="1399"/>
      <c r="M34" s="1400"/>
      <c r="N34" s="1409"/>
      <c r="O34" s="1410"/>
      <c r="P34" s="1410"/>
    </row>
    <row r="35" spans="2:16" x14ac:dyDescent="0.3">
      <c r="B35" s="1392"/>
      <c r="C35" s="1393" t="s">
        <v>1362</v>
      </c>
      <c r="D35" s="1394"/>
      <c r="E35" s="1395"/>
      <c r="F35" s="1396"/>
      <c r="G35" s="1397"/>
      <c r="H35" s="1398"/>
      <c r="I35" s="1399"/>
      <c r="J35" s="1397"/>
      <c r="K35" s="1398"/>
      <c r="L35" s="1399"/>
      <c r="M35" s="1400"/>
      <c r="N35" s="1409"/>
      <c r="O35" s="1410"/>
      <c r="P35" s="1410"/>
    </row>
    <row r="36" spans="2:16" x14ac:dyDescent="0.3">
      <c r="B36" s="1392"/>
      <c r="C36" s="1393" t="s">
        <v>1362</v>
      </c>
      <c r="D36" s="1394"/>
      <c r="E36" s="1395"/>
      <c r="F36" s="1396"/>
      <c r="G36" s="1397"/>
      <c r="H36" s="1398"/>
      <c r="I36" s="1399"/>
      <c r="J36" s="1397"/>
      <c r="K36" s="1398"/>
      <c r="L36" s="1399"/>
      <c r="M36" s="1400"/>
      <c r="N36" s="1409"/>
      <c r="O36" s="1410"/>
      <c r="P36" s="1410"/>
    </row>
    <row r="37" spans="2:16" x14ac:dyDescent="0.3">
      <c r="B37" s="1384" t="s">
        <v>599</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x14ac:dyDescent="0.3">
      <c r="B38" s="1392"/>
      <c r="C38" s="1393" t="s">
        <v>1362</v>
      </c>
      <c r="D38" s="1394"/>
      <c r="E38" s="1395"/>
      <c r="F38" s="1396"/>
      <c r="G38" s="1397"/>
      <c r="H38" s="1398"/>
      <c r="I38" s="1399"/>
      <c r="J38" s="1397"/>
      <c r="K38" s="1398"/>
      <c r="L38" s="1399"/>
      <c r="M38" s="1400"/>
      <c r="N38" s="1409"/>
      <c r="O38" s="1410"/>
      <c r="P38" s="1410"/>
    </row>
    <row r="39" spans="2:16" x14ac:dyDescent="0.3">
      <c r="B39" s="1392"/>
      <c r="C39" s="1393" t="s">
        <v>1362</v>
      </c>
      <c r="D39" s="1394"/>
      <c r="E39" s="1395"/>
      <c r="F39" s="1396"/>
      <c r="G39" s="1397"/>
      <c r="H39" s="1398"/>
      <c r="I39" s="1399"/>
      <c r="J39" s="1397"/>
      <c r="K39" s="1398"/>
      <c r="L39" s="1399"/>
      <c r="M39" s="1400"/>
      <c r="N39" s="1409"/>
      <c r="O39" s="1410"/>
      <c r="P39" s="1410"/>
    </row>
    <row r="40" spans="2:16" x14ac:dyDescent="0.3">
      <c r="B40" s="1392"/>
      <c r="C40" s="1393" t="s">
        <v>1362</v>
      </c>
      <c r="D40" s="1394"/>
      <c r="E40" s="1395"/>
      <c r="F40" s="1396"/>
      <c r="G40" s="1397"/>
      <c r="H40" s="1398"/>
      <c r="I40" s="1399"/>
      <c r="J40" s="1397"/>
      <c r="K40" s="1398"/>
      <c r="L40" s="1399"/>
      <c r="M40" s="1400"/>
      <c r="N40" s="1409"/>
      <c r="O40" s="1410"/>
      <c r="P40" s="1410"/>
    </row>
    <row r="41" spans="2:16" x14ac:dyDescent="0.3">
      <c r="B41" s="1384" t="s">
        <v>600</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x14ac:dyDescent="0.3">
      <c r="B42" s="1392"/>
      <c r="C42" s="1393" t="s">
        <v>1362</v>
      </c>
      <c r="D42" s="1394"/>
      <c r="E42" s="1395"/>
      <c r="F42" s="1396"/>
      <c r="G42" s="1397"/>
      <c r="H42" s="1398"/>
      <c r="I42" s="1399"/>
      <c r="J42" s="1397"/>
      <c r="K42" s="1398"/>
      <c r="L42" s="1399"/>
      <c r="M42" s="1400"/>
      <c r="N42" s="1409"/>
      <c r="O42" s="1410"/>
      <c r="P42" s="1410"/>
    </row>
    <row r="43" spans="2:16" x14ac:dyDescent="0.3">
      <c r="B43" s="1392"/>
      <c r="C43" s="1393" t="s">
        <v>1362</v>
      </c>
      <c r="D43" s="1394"/>
      <c r="E43" s="1395"/>
      <c r="F43" s="1396"/>
      <c r="G43" s="1397"/>
      <c r="H43" s="1398"/>
      <c r="I43" s="1399"/>
      <c r="J43" s="1397"/>
      <c r="K43" s="1398"/>
      <c r="L43" s="1399"/>
      <c r="M43" s="1400"/>
      <c r="N43" s="1409"/>
      <c r="O43" s="1410"/>
      <c r="P43" s="1410"/>
    </row>
    <row r="44" spans="2:16" x14ac:dyDescent="0.3">
      <c r="B44" s="1392"/>
      <c r="C44" s="1393" t="s">
        <v>1362</v>
      </c>
      <c r="D44" s="1394"/>
      <c r="E44" s="1395"/>
      <c r="F44" s="1396"/>
      <c r="G44" s="1397"/>
      <c r="H44" s="1398"/>
      <c r="I44" s="1399"/>
      <c r="J44" s="1397"/>
      <c r="K44" s="1398"/>
      <c r="L44" s="1399"/>
      <c r="M44" s="1400"/>
      <c r="N44" s="1409"/>
      <c r="O44" s="1410"/>
      <c r="P44" s="1410"/>
    </row>
    <row r="45" spans="2:16" ht="52.8" x14ac:dyDescent="0.3">
      <c r="B45" s="1384" t="s">
        <v>601</v>
      </c>
      <c r="C45" s="1385" t="s">
        <v>602</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x14ac:dyDescent="0.3">
      <c r="B46" s="1392"/>
      <c r="C46" s="1393" t="s">
        <v>1362</v>
      </c>
      <c r="D46" s="1394"/>
      <c r="E46" s="1395"/>
      <c r="F46" s="1396"/>
      <c r="G46" s="1397"/>
      <c r="H46" s="1398"/>
      <c r="I46" s="1399"/>
      <c r="J46" s="1397"/>
      <c r="K46" s="1398"/>
      <c r="L46" s="1399"/>
      <c r="M46" s="1400"/>
      <c r="N46" s="1409"/>
      <c r="O46" s="1410"/>
      <c r="P46" s="1410"/>
    </row>
    <row r="47" spans="2:16" x14ac:dyDescent="0.3">
      <c r="B47" s="1392"/>
      <c r="C47" s="1393" t="s">
        <v>1362</v>
      </c>
      <c r="D47" s="1394"/>
      <c r="E47" s="1395"/>
      <c r="F47" s="1396"/>
      <c r="G47" s="1397"/>
      <c r="H47" s="1398"/>
      <c r="I47" s="1399"/>
      <c r="J47" s="1397"/>
      <c r="K47" s="1398"/>
      <c r="L47" s="1399"/>
      <c r="M47" s="1400"/>
      <c r="N47" s="1409"/>
      <c r="O47" s="1410"/>
      <c r="P47" s="1410"/>
    </row>
    <row r="48" spans="2:16" x14ac:dyDescent="0.3">
      <c r="B48" s="1392"/>
      <c r="C48" s="1393" t="s">
        <v>1362</v>
      </c>
      <c r="D48" s="1394"/>
      <c r="E48" s="1395"/>
      <c r="F48" s="1396"/>
      <c r="G48" s="1397"/>
      <c r="H48" s="1398"/>
      <c r="I48" s="1399"/>
      <c r="J48" s="1397"/>
      <c r="K48" s="1398"/>
      <c r="L48" s="1399"/>
      <c r="M48" s="1400"/>
      <c r="N48" s="1409"/>
      <c r="O48" s="1410"/>
      <c r="P48" s="1410"/>
    </row>
    <row r="49" spans="2:16" x14ac:dyDescent="0.3">
      <c r="B49" s="1411" t="s">
        <v>104</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6.599999999999994" x14ac:dyDescent="0.3">
      <c r="B50" s="1414" t="s">
        <v>106</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x14ac:dyDescent="0.3">
      <c r="B51" s="1392"/>
      <c r="C51" s="1393" t="s">
        <v>1362</v>
      </c>
      <c r="D51" s="1394"/>
      <c r="E51" s="1395"/>
      <c r="F51" s="1396"/>
      <c r="G51" s="1397"/>
      <c r="H51" s="1398"/>
      <c r="I51" s="1399"/>
      <c r="J51" s="1397"/>
      <c r="K51" s="1398"/>
      <c r="L51" s="1399"/>
      <c r="M51" s="1400"/>
      <c r="N51" s="1409"/>
      <c r="O51" s="1410"/>
      <c r="P51" s="1410"/>
    </row>
    <row r="52" spans="2:16" x14ac:dyDescent="0.3">
      <c r="B52" s="1392"/>
      <c r="C52" s="1393" t="s">
        <v>1362</v>
      </c>
      <c r="D52" s="1394"/>
      <c r="E52" s="1395"/>
      <c r="F52" s="1396"/>
      <c r="G52" s="1397"/>
      <c r="H52" s="1398"/>
      <c r="I52" s="1399"/>
      <c r="J52" s="1397"/>
      <c r="K52" s="1398"/>
      <c r="L52" s="1399"/>
      <c r="M52" s="1400"/>
      <c r="N52" s="1409"/>
      <c r="O52" s="1410"/>
      <c r="P52" s="1410"/>
    </row>
    <row r="53" spans="2:16" x14ac:dyDescent="0.3">
      <c r="B53" s="1392"/>
      <c r="C53" s="1393" t="s">
        <v>1362</v>
      </c>
      <c r="D53" s="1394"/>
      <c r="E53" s="1395"/>
      <c r="F53" s="1396"/>
      <c r="G53" s="1397"/>
      <c r="H53" s="1398"/>
      <c r="I53" s="1399"/>
      <c r="J53" s="1397"/>
      <c r="K53" s="1398"/>
      <c r="L53" s="1399"/>
      <c r="M53" s="1400"/>
      <c r="N53" s="1409"/>
      <c r="O53" s="1410"/>
      <c r="P53" s="1410"/>
    </row>
    <row r="54" spans="2:16" x14ac:dyDescent="0.3">
      <c r="B54" s="1414" t="s">
        <v>108</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x14ac:dyDescent="0.3">
      <c r="B55" s="1392"/>
      <c r="C55" s="1393" t="s">
        <v>1362</v>
      </c>
      <c r="D55" s="1394"/>
      <c r="E55" s="1395"/>
      <c r="F55" s="1396"/>
      <c r="G55" s="1397"/>
      <c r="H55" s="1398"/>
      <c r="I55" s="1399"/>
      <c r="J55" s="1397"/>
      <c r="K55" s="1398"/>
      <c r="L55" s="1399"/>
      <c r="M55" s="1400"/>
      <c r="N55" s="1409"/>
      <c r="O55" s="1410"/>
      <c r="P55" s="1410"/>
    </row>
    <row r="56" spans="2:16" x14ac:dyDescent="0.3">
      <c r="B56" s="1392"/>
      <c r="C56" s="1393" t="s">
        <v>1362</v>
      </c>
      <c r="D56" s="1394"/>
      <c r="E56" s="1395"/>
      <c r="F56" s="1396"/>
      <c r="G56" s="1397"/>
      <c r="H56" s="1398"/>
      <c r="I56" s="1399"/>
      <c r="J56" s="1397"/>
      <c r="K56" s="1398"/>
      <c r="L56" s="1399"/>
      <c r="M56" s="1400"/>
      <c r="N56" s="1409"/>
      <c r="O56" s="1410"/>
      <c r="P56" s="1410"/>
    </row>
    <row r="57" spans="2:16" x14ac:dyDescent="0.3">
      <c r="B57" s="1392"/>
      <c r="C57" s="1393" t="s">
        <v>1362</v>
      </c>
      <c r="D57" s="1394"/>
      <c r="E57" s="1395"/>
      <c r="F57" s="1396"/>
      <c r="G57" s="1397"/>
      <c r="H57" s="1398"/>
      <c r="I57" s="1399"/>
      <c r="J57" s="1397"/>
      <c r="K57" s="1398"/>
      <c r="L57" s="1399"/>
      <c r="M57" s="1400"/>
      <c r="N57" s="1409"/>
      <c r="O57" s="1410"/>
      <c r="P57" s="1410"/>
    </row>
    <row r="58" spans="2:16" x14ac:dyDescent="0.3">
      <c r="B58" s="1411" t="s">
        <v>264</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x14ac:dyDescent="0.3">
      <c r="B59" s="1414" t="s">
        <v>603</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x14ac:dyDescent="0.3">
      <c r="B60" s="1392"/>
      <c r="C60" s="1393" t="s">
        <v>1362</v>
      </c>
      <c r="D60" s="1394"/>
      <c r="E60" s="1395"/>
      <c r="F60" s="1396"/>
      <c r="G60" s="1397"/>
      <c r="H60" s="1398"/>
      <c r="I60" s="1399"/>
      <c r="J60" s="1397"/>
      <c r="K60" s="1398"/>
      <c r="L60" s="1399"/>
      <c r="M60" s="1400"/>
      <c r="N60" s="1397"/>
      <c r="O60" s="1401"/>
      <c r="P60" s="1401"/>
    </row>
    <row r="61" spans="2:16" x14ac:dyDescent="0.3">
      <c r="B61" s="1392"/>
      <c r="C61" s="1393" t="s">
        <v>1362</v>
      </c>
      <c r="D61" s="1394"/>
      <c r="E61" s="1395"/>
      <c r="F61" s="1396"/>
      <c r="G61" s="1397"/>
      <c r="H61" s="1398"/>
      <c r="I61" s="1399"/>
      <c r="J61" s="1397"/>
      <c r="K61" s="1398"/>
      <c r="L61" s="1399"/>
      <c r="M61" s="1400"/>
      <c r="N61" s="1397"/>
      <c r="O61" s="1401"/>
      <c r="P61" s="1401"/>
    </row>
    <row r="62" spans="2:16" x14ac:dyDescent="0.3">
      <c r="B62" s="1392"/>
      <c r="C62" s="1393" t="s">
        <v>1362</v>
      </c>
      <c r="D62" s="1394"/>
      <c r="E62" s="1395"/>
      <c r="F62" s="1396"/>
      <c r="G62" s="1397"/>
      <c r="H62" s="1398"/>
      <c r="I62" s="1399"/>
      <c r="J62" s="1397"/>
      <c r="K62" s="1398"/>
      <c r="L62" s="1399"/>
      <c r="M62" s="1400"/>
      <c r="N62" s="1397"/>
      <c r="O62" s="1401"/>
      <c r="P62" s="1401"/>
    </row>
    <row r="63" spans="2:16" x14ac:dyDescent="0.3">
      <c r="B63" s="1414" t="s">
        <v>604</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x14ac:dyDescent="0.3">
      <c r="B64" s="1392"/>
      <c r="C64" s="1393" t="s">
        <v>1362</v>
      </c>
      <c r="D64" s="1394"/>
      <c r="E64" s="1395"/>
      <c r="F64" s="1396"/>
      <c r="G64" s="1397"/>
      <c r="H64" s="1398"/>
      <c r="I64" s="1399"/>
      <c r="J64" s="1397"/>
      <c r="K64" s="1398"/>
      <c r="L64" s="1399"/>
      <c r="M64" s="1400"/>
      <c r="N64" s="1397"/>
      <c r="O64" s="1401"/>
      <c r="P64" s="1401"/>
    </row>
    <row r="65" spans="2:16" x14ac:dyDescent="0.3">
      <c r="B65" s="1392"/>
      <c r="C65" s="1393" t="s">
        <v>1362</v>
      </c>
      <c r="D65" s="1394"/>
      <c r="E65" s="1395"/>
      <c r="F65" s="1396"/>
      <c r="G65" s="1397"/>
      <c r="H65" s="1398"/>
      <c r="I65" s="1399"/>
      <c r="J65" s="1397"/>
      <c r="K65" s="1398"/>
      <c r="L65" s="1399"/>
      <c r="M65" s="1400"/>
      <c r="N65" s="1397"/>
      <c r="O65" s="1401"/>
      <c r="P65" s="1401"/>
    </row>
    <row r="66" spans="2:16" x14ac:dyDescent="0.3">
      <c r="B66" s="1392"/>
      <c r="C66" s="1393" t="s">
        <v>1362</v>
      </c>
      <c r="D66" s="1394"/>
      <c r="E66" s="1395"/>
      <c r="F66" s="1396"/>
      <c r="G66" s="1397"/>
      <c r="H66" s="1398"/>
      <c r="I66" s="1399"/>
      <c r="J66" s="1397"/>
      <c r="K66" s="1398"/>
      <c r="L66" s="1399"/>
      <c r="M66" s="1400"/>
      <c r="N66" s="1397"/>
      <c r="O66" s="1401"/>
      <c r="P66" s="1401"/>
    </row>
    <row r="67" spans="2:16" ht="30.75" customHeight="1" x14ac:dyDescent="0.3">
      <c r="B67" s="1414" t="s">
        <v>605</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x14ac:dyDescent="0.3">
      <c r="B68" s="1392"/>
      <c r="C68" s="1393" t="s">
        <v>1362</v>
      </c>
      <c r="D68" s="1394"/>
      <c r="E68" s="1395"/>
      <c r="F68" s="1396"/>
      <c r="G68" s="1397"/>
      <c r="H68" s="1398"/>
      <c r="I68" s="1399"/>
      <c r="J68" s="1397"/>
      <c r="K68" s="1398"/>
      <c r="L68" s="1399"/>
      <c r="M68" s="1400"/>
      <c r="N68" s="1397"/>
      <c r="O68" s="1401"/>
      <c r="P68" s="1401"/>
    </row>
    <row r="69" spans="2:16" x14ac:dyDescent="0.3">
      <c r="B69" s="1392"/>
      <c r="C69" s="1393" t="s">
        <v>1362</v>
      </c>
      <c r="D69" s="1394"/>
      <c r="E69" s="1395"/>
      <c r="F69" s="1396"/>
      <c r="G69" s="1397"/>
      <c r="H69" s="1398"/>
      <c r="I69" s="1399"/>
      <c r="J69" s="1397"/>
      <c r="K69" s="1398"/>
      <c r="L69" s="1399"/>
      <c r="M69" s="1400"/>
      <c r="N69" s="1397"/>
      <c r="O69" s="1401"/>
      <c r="P69" s="1401"/>
    </row>
    <row r="70" spans="2:16" x14ac:dyDescent="0.3">
      <c r="B70" s="1392"/>
      <c r="C70" s="1393" t="s">
        <v>1362</v>
      </c>
      <c r="D70" s="1394"/>
      <c r="E70" s="1395"/>
      <c r="F70" s="1396"/>
      <c r="G70" s="1397"/>
      <c r="H70" s="1398"/>
      <c r="I70" s="1399"/>
      <c r="J70" s="1397"/>
      <c r="K70" s="1398"/>
      <c r="L70" s="1399"/>
      <c r="M70" s="1400"/>
      <c r="N70" s="1397"/>
      <c r="O70" s="1401"/>
      <c r="P70" s="1401"/>
    </row>
    <row r="71" spans="2:16" ht="27" x14ac:dyDescent="0.3">
      <c r="B71" s="1414" t="s">
        <v>606</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x14ac:dyDescent="0.3">
      <c r="B72" s="1392"/>
      <c r="C72" s="1393" t="s">
        <v>1362</v>
      </c>
      <c r="D72" s="1394"/>
      <c r="E72" s="1395"/>
      <c r="F72" s="1396"/>
      <c r="G72" s="1397"/>
      <c r="H72" s="1398"/>
      <c r="I72" s="1399"/>
      <c r="J72" s="1397"/>
      <c r="K72" s="1398"/>
      <c r="L72" s="1399"/>
      <c r="M72" s="1400"/>
      <c r="N72" s="1397"/>
      <c r="O72" s="1401"/>
      <c r="P72" s="1401"/>
    </row>
    <row r="73" spans="2:16" x14ac:dyDescent="0.3">
      <c r="B73" s="1392"/>
      <c r="C73" s="1393" t="s">
        <v>1362</v>
      </c>
      <c r="D73" s="1394"/>
      <c r="E73" s="1395"/>
      <c r="F73" s="1396"/>
      <c r="G73" s="1397"/>
      <c r="H73" s="1398"/>
      <c r="I73" s="1399"/>
      <c r="J73" s="1397"/>
      <c r="K73" s="1398"/>
      <c r="L73" s="1399"/>
      <c r="M73" s="1400"/>
      <c r="N73" s="1397"/>
      <c r="O73" s="1401"/>
      <c r="P73" s="1401"/>
    </row>
    <row r="74" spans="2:16" x14ac:dyDescent="0.3">
      <c r="B74" s="1392"/>
      <c r="C74" s="1393" t="s">
        <v>1362</v>
      </c>
      <c r="D74" s="1394"/>
      <c r="E74" s="1395"/>
      <c r="F74" s="1396"/>
      <c r="G74" s="1397"/>
      <c r="H74" s="1398"/>
      <c r="I74" s="1399"/>
      <c r="J74" s="1397"/>
      <c r="K74" s="1398"/>
      <c r="L74" s="1399"/>
      <c r="M74" s="1400"/>
      <c r="N74" s="1397"/>
      <c r="O74" s="1401"/>
      <c r="P74" s="1401"/>
    </row>
    <row r="75" spans="2:16" ht="27" x14ac:dyDescent="0.3">
      <c r="B75" s="1418" t="s">
        <v>607</v>
      </c>
      <c r="C75" s="1419" t="s">
        <v>608</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x14ac:dyDescent="0.3">
      <c r="B76" s="1392"/>
      <c r="C76" s="1393" t="s">
        <v>1362</v>
      </c>
      <c r="D76" s="1394"/>
      <c r="E76" s="1395"/>
      <c r="F76" s="1396"/>
      <c r="G76" s="1397"/>
      <c r="H76" s="1398"/>
      <c r="I76" s="1399"/>
      <c r="J76" s="1397"/>
      <c r="K76" s="1398"/>
      <c r="L76" s="1399"/>
      <c r="M76" s="1400"/>
      <c r="N76" s="1397"/>
      <c r="O76" s="1401"/>
      <c r="P76" s="1401"/>
    </row>
    <row r="77" spans="2:16" x14ac:dyDescent="0.3">
      <c r="B77" s="1392"/>
      <c r="C77" s="1393" t="s">
        <v>1362</v>
      </c>
      <c r="D77" s="1394"/>
      <c r="E77" s="1395"/>
      <c r="F77" s="1396"/>
      <c r="G77" s="1397"/>
      <c r="H77" s="1398"/>
      <c r="I77" s="1399"/>
      <c r="J77" s="1397"/>
      <c r="K77" s="1398"/>
      <c r="L77" s="1399"/>
      <c r="M77" s="1400"/>
      <c r="N77" s="1397"/>
      <c r="O77" s="1401"/>
      <c r="P77" s="1401"/>
    </row>
    <row r="78" spans="2:16" x14ac:dyDescent="0.3">
      <c r="B78" s="1392"/>
      <c r="C78" s="1393" t="s">
        <v>1362</v>
      </c>
      <c r="D78" s="1394"/>
      <c r="E78" s="1395"/>
      <c r="F78" s="1396"/>
      <c r="G78" s="1397"/>
      <c r="H78" s="1398"/>
      <c r="I78" s="1399"/>
      <c r="J78" s="1397"/>
      <c r="K78" s="1398"/>
      <c r="L78" s="1399"/>
      <c r="M78" s="1400"/>
      <c r="N78" s="1397"/>
      <c r="O78" s="1401"/>
      <c r="P78" s="1401"/>
    </row>
    <row r="79" spans="2:16" x14ac:dyDescent="0.3">
      <c r="B79" s="1421" t="s">
        <v>266</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x14ac:dyDescent="0.3">
      <c r="B80" s="1427" t="s">
        <v>268</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x14ac:dyDescent="0.3">
      <c r="B81" s="1392"/>
      <c r="C81" s="1393" t="s">
        <v>1362</v>
      </c>
      <c r="D81" s="1394"/>
      <c r="E81" s="1430"/>
      <c r="F81" s="1431"/>
      <c r="G81" s="1432"/>
      <c r="H81" s="1433"/>
      <c r="I81" s="1434"/>
      <c r="J81" s="1432"/>
      <c r="K81" s="1433"/>
      <c r="L81" s="1434"/>
      <c r="M81" s="1435"/>
      <c r="N81" s="1432"/>
      <c r="O81" s="1436"/>
      <c r="P81" s="1436"/>
    </row>
    <row r="82" spans="2:16" x14ac:dyDescent="0.3">
      <c r="B82" s="1392"/>
      <c r="C82" s="1393" t="s">
        <v>1362</v>
      </c>
      <c r="D82" s="1394"/>
      <c r="E82" s="1430"/>
      <c r="F82" s="1431"/>
      <c r="G82" s="1432"/>
      <c r="H82" s="1433"/>
      <c r="I82" s="1434"/>
      <c r="J82" s="1432"/>
      <c r="K82" s="1433"/>
      <c r="L82" s="1434"/>
      <c r="M82" s="1435"/>
      <c r="N82" s="1432"/>
      <c r="O82" s="1436"/>
      <c r="P82" s="1436"/>
    </row>
    <row r="83" spans="2:16" x14ac:dyDescent="0.3">
      <c r="B83" s="1392"/>
      <c r="C83" s="1393" t="s">
        <v>1362</v>
      </c>
      <c r="D83" s="1394"/>
      <c r="E83" s="1430"/>
      <c r="F83" s="1431"/>
      <c r="G83" s="1437"/>
      <c r="H83" s="1438"/>
      <c r="I83" s="1439"/>
      <c r="J83" s="1437"/>
      <c r="K83" s="1438"/>
      <c r="L83" s="1439"/>
      <c r="M83" s="1440"/>
      <c r="N83" s="1437"/>
      <c r="O83" s="1441"/>
      <c r="P83" s="1441"/>
    </row>
    <row r="84" spans="2:16" ht="27" x14ac:dyDescent="0.3">
      <c r="B84" s="1442" t="s">
        <v>270</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x14ac:dyDescent="0.3">
      <c r="B85" s="1443"/>
      <c r="C85" s="1393" t="s">
        <v>1362</v>
      </c>
      <c r="D85" s="1394"/>
      <c r="E85" s="1444"/>
      <c r="F85" s="1445"/>
      <c r="G85" s="1437"/>
      <c r="H85" s="1438"/>
      <c r="I85" s="1439"/>
      <c r="J85" s="1437"/>
      <c r="K85" s="1438"/>
      <c r="L85" s="1439"/>
      <c r="M85" s="1440"/>
      <c r="N85" s="1437"/>
      <c r="O85" s="1441"/>
      <c r="P85" s="1441"/>
    </row>
    <row r="86" spans="2:16" x14ac:dyDescent="0.3">
      <c r="B86" s="1443"/>
      <c r="C86" s="1393" t="s">
        <v>1362</v>
      </c>
      <c r="D86" s="1394"/>
      <c r="E86" s="1444"/>
      <c r="F86" s="1445"/>
      <c r="G86" s="1437"/>
      <c r="H86" s="1438"/>
      <c r="I86" s="1439"/>
      <c r="J86" s="1437"/>
      <c r="K86" s="1438"/>
      <c r="L86" s="1439"/>
      <c r="M86" s="1440"/>
      <c r="N86" s="1437"/>
      <c r="O86" s="1441"/>
      <c r="P86" s="1441"/>
    </row>
    <row r="87" spans="2:16" x14ac:dyDescent="0.3">
      <c r="B87" s="1443"/>
      <c r="C87" s="1393" t="s">
        <v>1362</v>
      </c>
      <c r="D87" s="1394"/>
      <c r="E87" s="1444"/>
      <c r="F87" s="1445"/>
      <c r="G87" s="1437"/>
      <c r="H87" s="1438"/>
      <c r="I87" s="1439"/>
      <c r="J87" s="1437"/>
      <c r="K87" s="1438"/>
      <c r="L87" s="1439"/>
      <c r="M87" s="1440"/>
      <c r="N87" s="1437"/>
      <c r="O87" s="1441"/>
      <c r="P87" s="1441"/>
    </row>
    <row r="88" spans="2:16" x14ac:dyDescent="0.3">
      <c r="B88" s="1446" t="s">
        <v>274</v>
      </c>
      <c r="C88" s="1412" t="s">
        <v>609</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x14ac:dyDescent="0.3">
      <c r="B89" s="1443"/>
      <c r="C89" s="1393" t="s">
        <v>1362</v>
      </c>
      <c r="D89" s="1394"/>
      <c r="E89" s="1444"/>
      <c r="F89" s="1445"/>
      <c r="G89" s="1437"/>
      <c r="H89" s="1438"/>
      <c r="I89" s="1439"/>
      <c r="J89" s="1437"/>
      <c r="K89" s="1438"/>
      <c r="L89" s="1439"/>
      <c r="M89" s="1440"/>
      <c r="N89" s="1437"/>
      <c r="O89" s="1441"/>
      <c r="P89" s="1441"/>
    </row>
    <row r="90" spans="2:16" x14ac:dyDescent="0.3">
      <c r="B90" s="1392"/>
      <c r="C90" s="1393" t="s">
        <v>1362</v>
      </c>
      <c r="D90" s="1394"/>
      <c r="E90" s="1444"/>
      <c r="F90" s="1445"/>
      <c r="G90" s="1437"/>
      <c r="H90" s="1438"/>
      <c r="I90" s="1439"/>
      <c r="J90" s="1437"/>
      <c r="K90" s="1438"/>
      <c r="L90" s="1439"/>
      <c r="M90" s="1440"/>
      <c r="N90" s="1437"/>
      <c r="O90" s="1441"/>
      <c r="P90" s="1441"/>
    </row>
    <row r="91" spans="2:16" x14ac:dyDescent="0.3">
      <c r="B91" s="1392"/>
      <c r="C91" s="1393" t="s">
        <v>1362</v>
      </c>
      <c r="D91" s="1394"/>
      <c r="E91" s="1444"/>
      <c r="F91" s="1445"/>
      <c r="G91" s="1437"/>
      <c r="H91" s="1438"/>
      <c r="I91" s="1439"/>
      <c r="J91" s="1437"/>
      <c r="K91" s="1438"/>
      <c r="L91" s="1439"/>
      <c r="M91" s="1440"/>
      <c r="N91" s="1437"/>
      <c r="O91" s="1441"/>
      <c r="P91" s="1441"/>
    </row>
    <row r="92" spans="2:16" x14ac:dyDescent="0.3">
      <c r="B92" s="1367" t="s">
        <v>109</v>
      </c>
      <c r="C92" s="1368" t="s">
        <v>621</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x14ac:dyDescent="0.3">
      <c r="B93" s="1375" t="s">
        <v>111</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x14ac:dyDescent="0.3">
      <c r="B94" s="1384" t="s">
        <v>113</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x14ac:dyDescent="0.3">
      <c r="B95" s="1392"/>
      <c r="C95" s="1393" t="s">
        <v>1362</v>
      </c>
      <c r="D95" s="1394"/>
      <c r="E95" s="1395"/>
      <c r="F95" s="1396"/>
      <c r="G95" s="1397"/>
      <c r="H95" s="1398"/>
      <c r="I95" s="1399"/>
      <c r="J95" s="1397"/>
      <c r="K95" s="1398"/>
      <c r="L95" s="1399"/>
      <c r="M95" s="1400"/>
      <c r="N95" s="1397"/>
      <c r="O95" s="1401"/>
      <c r="P95" s="1401"/>
    </row>
    <row r="96" spans="2:16" x14ac:dyDescent="0.3">
      <c r="B96" s="1392"/>
      <c r="C96" s="1393" t="s">
        <v>1362</v>
      </c>
      <c r="D96" s="1394"/>
      <c r="E96" s="1395"/>
      <c r="F96" s="1396"/>
      <c r="G96" s="1397"/>
      <c r="H96" s="1398"/>
      <c r="I96" s="1399"/>
      <c r="J96" s="1397"/>
      <c r="K96" s="1398"/>
      <c r="L96" s="1399"/>
      <c r="M96" s="1400"/>
      <c r="N96" s="1397"/>
      <c r="O96" s="1401"/>
      <c r="P96" s="1401"/>
    </row>
    <row r="97" spans="2:16" x14ac:dyDescent="0.3">
      <c r="B97" s="1392"/>
      <c r="C97" s="1393" t="s">
        <v>1362</v>
      </c>
      <c r="D97" s="1394"/>
      <c r="E97" s="1395"/>
      <c r="F97" s="1396"/>
      <c r="G97" s="1397"/>
      <c r="H97" s="1398"/>
      <c r="I97" s="1399"/>
      <c r="J97" s="1397"/>
      <c r="K97" s="1398"/>
      <c r="L97" s="1399"/>
      <c r="M97" s="1400"/>
      <c r="N97" s="1397"/>
      <c r="O97" s="1401"/>
      <c r="P97" s="1401"/>
    </row>
    <row r="98" spans="2:16" x14ac:dyDescent="0.3">
      <c r="B98" s="1384" t="s">
        <v>115</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x14ac:dyDescent="0.3">
      <c r="B99" s="1392"/>
      <c r="C99" s="1393" t="s">
        <v>1362</v>
      </c>
      <c r="D99" s="1394"/>
      <c r="E99" s="1395"/>
      <c r="F99" s="1396"/>
      <c r="G99" s="1397"/>
      <c r="H99" s="1398"/>
      <c r="I99" s="1399"/>
      <c r="J99" s="1397"/>
      <c r="K99" s="1398"/>
      <c r="L99" s="1399"/>
      <c r="M99" s="1400"/>
      <c r="N99" s="1397"/>
      <c r="O99" s="1401"/>
      <c r="P99" s="1401"/>
    </row>
    <row r="100" spans="2:16" x14ac:dyDescent="0.3">
      <c r="B100" s="1392"/>
      <c r="C100" s="1393" t="s">
        <v>1362</v>
      </c>
      <c r="D100" s="1394"/>
      <c r="E100" s="1395"/>
      <c r="F100" s="1396"/>
      <c r="G100" s="1397"/>
      <c r="H100" s="1398"/>
      <c r="I100" s="1399"/>
      <c r="J100" s="1397"/>
      <c r="K100" s="1398"/>
      <c r="L100" s="1399"/>
      <c r="M100" s="1400"/>
      <c r="N100" s="1397"/>
      <c r="O100" s="1401"/>
      <c r="P100" s="1401"/>
    </row>
    <row r="101" spans="2:16" x14ac:dyDescent="0.3">
      <c r="B101" s="1392"/>
      <c r="C101" s="1393" t="s">
        <v>1362</v>
      </c>
      <c r="D101" s="1394"/>
      <c r="E101" s="1395"/>
      <c r="F101" s="1396"/>
      <c r="G101" s="1397"/>
      <c r="H101" s="1398"/>
      <c r="I101" s="1399"/>
      <c r="J101" s="1397"/>
      <c r="K101" s="1398"/>
      <c r="L101" s="1399"/>
      <c r="M101" s="1400"/>
      <c r="N101" s="1397"/>
      <c r="O101" s="1401"/>
      <c r="P101" s="1401"/>
    </row>
    <row r="102" spans="2:16" x14ac:dyDescent="0.3">
      <c r="B102" s="1384" t="s">
        <v>117</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x14ac:dyDescent="0.3">
      <c r="B103" s="1392"/>
      <c r="C103" s="1393" t="s">
        <v>1362</v>
      </c>
      <c r="D103" s="1394"/>
      <c r="E103" s="1395"/>
      <c r="F103" s="1396"/>
      <c r="G103" s="1397"/>
      <c r="H103" s="1398"/>
      <c r="I103" s="1399"/>
      <c r="J103" s="1397"/>
      <c r="K103" s="1398"/>
      <c r="L103" s="1399"/>
      <c r="M103" s="1400"/>
      <c r="N103" s="1397"/>
      <c r="O103" s="1401"/>
      <c r="P103" s="1401"/>
    </row>
    <row r="104" spans="2:16" x14ac:dyDescent="0.3">
      <c r="B104" s="1392"/>
      <c r="C104" s="1393" t="s">
        <v>1362</v>
      </c>
      <c r="D104" s="1394"/>
      <c r="E104" s="1395"/>
      <c r="F104" s="1396"/>
      <c r="G104" s="1397"/>
      <c r="H104" s="1398"/>
      <c r="I104" s="1399"/>
      <c r="J104" s="1397"/>
      <c r="K104" s="1398"/>
      <c r="L104" s="1399"/>
      <c r="M104" s="1400"/>
      <c r="N104" s="1397"/>
      <c r="O104" s="1401"/>
      <c r="P104" s="1401"/>
    </row>
    <row r="105" spans="2:16" x14ac:dyDescent="0.3">
      <c r="B105" s="1392"/>
      <c r="C105" s="1393" t="s">
        <v>1362</v>
      </c>
      <c r="D105" s="1394"/>
      <c r="E105" s="1395"/>
      <c r="F105" s="1396"/>
      <c r="G105" s="1397"/>
      <c r="H105" s="1398"/>
      <c r="I105" s="1399"/>
      <c r="J105" s="1397"/>
      <c r="K105" s="1398"/>
      <c r="L105" s="1399"/>
      <c r="M105" s="1400"/>
      <c r="N105" s="1397"/>
      <c r="O105" s="1401"/>
      <c r="P105" s="1401"/>
    </row>
    <row r="106" spans="2:16" x14ac:dyDescent="0.3">
      <c r="B106" s="1402" t="s">
        <v>120</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x14ac:dyDescent="0.3">
      <c r="B107" s="1384" t="s">
        <v>122</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x14ac:dyDescent="0.3">
      <c r="B108" s="1392"/>
      <c r="C108" s="1393" t="s">
        <v>1362</v>
      </c>
      <c r="D108" s="1394"/>
      <c r="E108" s="1395"/>
      <c r="F108" s="1396"/>
      <c r="G108" s="1397"/>
      <c r="H108" s="1398"/>
      <c r="I108" s="1399"/>
      <c r="J108" s="1397"/>
      <c r="K108" s="1398"/>
      <c r="L108" s="1399"/>
      <c r="M108" s="1400"/>
      <c r="N108" s="1409"/>
      <c r="O108" s="1410"/>
      <c r="P108" s="1410"/>
    </row>
    <row r="109" spans="2:16" x14ac:dyDescent="0.3">
      <c r="B109" s="1392"/>
      <c r="C109" s="1393" t="s">
        <v>1362</v>
      </c>
      <c r="D109" s="1394"/>
      <c r="E109" s="1395"/>
      <c r="F109" s="1396"/>
      <c r="G109" s="1397"/>
      <c r="H109" s="1398"/>
      <c r="I109" s="1399"/>
      <c r="J109" s="1397"/>
      <c r="K109" s="1398"/>
      <c r="L109" s="1399"/>
      <c r="M109" s="1400"/>
      <c r="N109" s="1409"/>
      <c r="O109" s="1410"/>
      <c r="P109" s="1410"/>
    </row>
    <row r="110" spans="2:16" x14ac:dyDescent="0.3">
      <c r="B110" s="1392"/>
      <c r="C110" s="1393" t="s">
        <v>1362</v>
      </c>
      <c r="D110" s="1394"/>
      <c r="E110" s="1395"/>
      <c r="F110" s="1396"/>
      <c r="G110" s="1397"/>
      <c r="H110" s="1398"/>
      <c r="I110" s="1399"/>
      <c r="J110" s="1397"/>
      <c r="K110" s="1398"/>
      <c r="L110" s="1399"/>
      <c r="M110" s="1400"/>
      <c r="N110" s="1409"/>
      <c r="O110" s="1410"/>
      <c r="P110" s="1410"/>
    </row>
    <row r="111" spans="2:16" x14ac:dyDescent="0.3">
      <c r="B111" s="1384" t="s">
        <v>124</v>
      </c>
      <c r="C111" s="1385" t="s">
        <v>598</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x14ac:dyDescent="0.3">
      <c r="B112" s="1392"/>
      <c r="C112" s="1393" t="s">
        <v>1362</v>
      </c>
      <c r="D112" s="1394"/>
      <c r="E112" s="1395"/>
      <c r="F112" s="1396"/>
      <c r="G112" s="1397"/>
      <c r="H112" s="1398"/>
      <c r="I112" s="1399"/>
      <c r="J112" s="1397"/>
      <c r="K112" s="1398"/>
      <c r="L112" s="1399"/>
      <c r="M112" s="1400"/>
      <c r="N112" s="1409"/>
      <c r="O112" s="1410"/>
      <c r="P112" s="1410"/>
    </row>
    <row r="113" spans="2:16" x14ac:dyDescent="0.3">
      <c r="B113" s="1392"/>
      <c r="C113" s="1393" t="s">
        <v>1362</v>
      </c>
      <c r="D113" s="1394"/>
      <c r="E113" s="1395"/>
      <c r="F113" s="1396"/>
      <c r="G113" s="1397"/>
      <c r="H113" s="1398"/>
      <c r="I113" s="1399"/>
      <c r="J113" s="1397"/>
      <c r="K113" s="1398"/>
      <c r="L113" s="1399"/>
      <c r="M113" s="1400"/>
      <c r="N113" s="1409"/>
      <c r="O113" s="1410"/>
      <c r="P113" s="1410"/>
    </row>
    <row r="114" spans="2:16" x14ac:dyDescent="0.3">
      <c r="B114" s="1392"/>
      <c r="C114" s="1393" t="s">
        <v>1362</v>
      </c>
      <c r="D114" s="1394"/>
      <c r="E114" s="1395"/>
      <c r="F114" s="1396"/>
      <c r="G114" s="1397"/>
      <c r="H114" s="1398"/>
      <c r="I114" s="1399"/>
      <c r="J114" s="1397"/>
      <c r="K114" s="1398"/>
      <c r="L114" s="1399"/>
      <c r="M114" s="1400"/>
      <c r="N114" s="1409"/>
      <c r="O114" s="1410"/>
      <c r="P114" s="1410"/>
    </row>
    <row r="115" spans="2:16" x14ac:dyDescent="0.3">
      <c r="B115" s="1384" t="s">
        <v>125</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x14ac:dyDescent="0.3">
      <c r="B116" s="1392"/>
      <c r="C116" s="1393" t="s">
        <v>1362</v>
      </c>
      <c r="D116" s="1394"/>
      <c r="E116" s="1395"/>
      <c r="F116" s="1396"/>
      <c r="G116" s="1397"/>
      <c r="H116" s="1398"/>
      <c r="I116" s="1399"/>
      <c r="J116" s="1397"/>
      <c r="K116" s="1398"/>
      <c r="L116" s="1399"/>
      <c r="M116" s="1400"/>
      <c r="N116" s="1409"/>
      <c r="O116" s="1410"/>
      <c r="P116" s="1410"/>
    </row>
    <row r="117" spans="2:16" x14ac:dyDescent="0.3">
      <c r="B117" s="1392"/>
      <c r="C117" s="1393" t="s">
        <v>1362</v>
      </c>
      <c r="D117" s="1394"/>
      <c r="E117" s="1395"/>
      <c r="F117" s="1396"/>
      <c r="G117" s="1397"/>
      <c r="H117" s="1398"/>
      <c r="I117" s="1399"/>
      <c r="J117" s="1397"/>
      <c r="K117" s="1398"/>
      <c r="L117" s="1399"/>
      <c r="M117" s="1400"/>
      <c r="N117" s="1409"/>
      <c r="O117" s="1410"/>
      <c r="P117" s="1410"/>
    </row>
    <row r="118" spans="2:16" x14ac:dyDescent="0.3">
      <c r="B118" s="1392"/>
      <c r="C118" s="1393" t="s">
        <v>1362</v>
      </c>
      <c r="D118" s="1394"/>
      <c r="E118" s="1395"/>
      <c r="F118" s="1396"/>
      <c r="G118" s="1397"/>
      <c r="H118" s="1398"/>
      <c r="I118" s="1399"/>
      <c r="J118" s="1397"/>
      <c r="K118" s="1398"/>
      <c r="L118" s="1399"/>
      <c r="M118" s="1400"/>
      <c r="N118" s="1409"/>
      <c r="O118" s="1410"/>
      <c r="P118" s="1410"/>
    </row>
    <row r="119" spans="2:16" x14ac:dyDescent="0.3">
      <c r="B119" s="1384" t="s">
        <v>613</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x14ac:dyDescent="0.3">
      <c r="B120" s="1392"/>
      <c r="C120" s="1393" t="s">
        <v>1362</v>
      </c>
      <c r="D120" s="1394"/>
      <c r="E120" s="1395"/>
      <c r="F120" s="1396"/>
      <c r="G120" s="1397"/>
      <c r="H120" s="1398"/>
      <c r="I120" s="1399"/>
      <c r="J120" s="1397"/>
      <c r="K120" s="1398"/>
      <c r="L120" s="1399"/>
      <c r="M120" s="1400"/>
      <c r="N120" s="1409"/>
      <c r="O120" s="1410"/>
      <c r="P120" s="1410"/>
    </row>
    <row r="121" spans="2:16" x14ac:dyDescent="0.3">
      <c r="B121" s="1392"/>
      <c r="C121" s="1393" t="s">
        <v>1362</v>
      </c>
      <c r="D121" s="1394"/>
      <c r="E121" s="1395"/>
      <c r="F121" s="1396"/>
      <c r="G121" s="1397"/>
      <c r="H121" s="1398"/>
      <c r="I121" s="1399"/>
      <c r="J121" s="1397"/>
      <c r="K121" s="1398"/>
      <c r="L121" s="1399"/>
      <c r="M121" s="1400"/>
      <c r="N121" s="1409"/>
      <c r="O121" s="1410"/>
      <c r="P121" s="1410"/>
    </row>
    <row r="122" spans="2:16" x14ac:dyDescent="0.3">
      <c r="B122" s="1392"/>
      <c r="C122" s="1393" t="s">
        <v>1362</v>
      </c>
      <c r="D122" s="1394"/>
      <c r="E122" s="1395"/>
      <c r="F122" s="1396"/>
      <c r="G122" s="1397"/>
      <c r="H122" s="1398"/>
      <c r="I122" s="1399"/>
      <c r="J122" s="1397"/>
      <c r="K122" s="1398"/>
      <c r="L122" s="1399"/>
      <c r="M122" s="1400"/>
      <c r="N122" s="1409"/>
      <c r="O122" s="1410"/>
      <c r="P122" s="1410"/>
    </row>
    <row r="123" spans="2:16" x14ac:dyDescent="0.3">
      <c r="B123" s="1384" t="s">
        <v>614</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x14ac:dyDescent="0.3">
      <c r="B124" s="1392"/>
      <c r="C124" s="1393" t="s">
        <v>1362</v>
      </c>
      <c r="D124" s="1394"/>
      <c r="E124" s="1395"/>
      <c r="F124" s="1396"/>
      <c r="G124" s="1397"/>
      <c r="H124" s="1398"/>
      <c r="I124" s="1399"/>
      <c r="J124" s="1397"/>
      <c r="K124" s="1398"/>
      <c r="L124" s="1399"/>
      <c r="M124" s="1400"/>
      <c r="N124" s="1409"/>
      <c r="O124" s="1410"/>
      <c r="P124" s="1410"/>
    </row>
    <row r="125" spans="2:16" x14ac:dyDescent="0.3">
      <c r="B125" s="1392"/>
      <c r="C125" s="1393" t="s">
        <v>1362</v>
      </c>
      <c r="D125" s="1394"/>
      <c r="E125" s="1395"/>
      <c r="F125" s="1396"/>
      <c r="G125" s="1397"/>
      <c r="H125" s="1398"/>
      <c r="I125" s="1399"/>
      <c r="J125" s="1397"/>
      <c r="K125" s="1398"/>
      <c r="L125" s="1399"/>
      <c r="M125" s="1400"/>
      <c r="N125" s="1409"/>
      <c r="O125" s="1410"/>
      <c r="P125" s="1410"/>
    </row>
    <row r="126" spans="2:16" x14ac:dyDescent="0.3">
      <c r="B126" s="1392"/>
      <c r="C126" s="1393" t="s">
        <v>1362</v>
      </c>
      <c r="D126" s="1394"/>
      <c r="E126" s="1395"/>
      <c r="F126" s="1396"/>
      <c r="G126" s="1397"/>
      <c r="H126" s="1398"/>
      <c r="I126" s="1399"/>
      <c r="J126" s="1397"/>
      <c r="K126" s="1398"/>
      <c r="L126" s="1399"/>
      <c r="M126" s="1400"/>
      <c r="N126" s="1409"/>
      <c r="O126" s="1410"/>
      <c r="P126" s="1410"/>
    </row>
    <row r="127" spans="2:16" ht="52.8" x14ac:dyDescent="0.3">
      <c r="B127" s="1384" t="s">
        <v>615</v>
      </c>
      <c r="C127" s="1385" t="s">
        <v>602</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x14ac:dyDescent="0.3">
      <c r="B128" s="1392"/>
      <c r="C128" s="1393" t="s">
        <v>1362</v>
      </c>
      <c r="D128" s="1394"/>
      <c r="E128" s="1395"/>
      <c r="F128" s="1396"/>
      <c r="G128" s="1397"/>
      <c r="H128" s="1398"/>
      <c r="I128" s="1399"/>
      <c r="J128" s="1397"/>
      <c r="K128" s="1398"/>
      <c r="L128" s="1399"/>
      <c r="M128" s="1400"/>
      <c r="N128" s="1409"/>
      <c r="O128" s="1410"/>
      <c r="P128" s="1410"/>
    </row>
    <row r="129" spans="2:16" x14ac:dyDescent="0.3">
      <c r="B129" s="1392"/>
      <c r="C129" s="1393" t="s">
        <v>1362</v>
      </c>
      <c r="D129" s="1394"/>
      <c r="E129" s="1395"/>
      <c r="F129" s="1396"/>
      <c r="G129" s="1397"/>
      <c r="H129" s="1398"/>
      <c r="I129" s="1399"/>
      <c r="J129" s="1397"/>
      <c r="K129" s="1398"/>
      <c r="L129" s="1399"/>
      <c r="M129" s="1400"/>
      <c r="N129" s="1409"/>
      <c r="O129" s="1410"/>
      <c r="P129" s="1410"/>
    </row>
    <row r="130" spans="2:16" x14ac:dyDescent="0.3">
      <c r="B130" s="1392"/>
      <c r="C130" s="1393" t="s">
        <v>1362</v>
      </c>
      <c r="D130" s="1394"/>
      <c r="E130" s="1395"/>
      <c r="F130" s="1396"/>
      <c r="G130" s="1397"/>
      <c r="H130" s="1398"/>
      <c r="I130" s="1399"/>
      <c r="J130" s="1397"/>
      <c r="K130" s="1398"/>
      <c r="L130" s="1399"/>
      <c r="M130" s="1400"/>
      <c r="N130" s="1409"/>
      <c r="O130" s="1410"/>
      <c r="P130" s="1410"/>
    </row>
    <row r="131" spans="2:16" x14ac:dyDescent="0.3">
      <c r="B131" s="1411" t="s">
        <v>294</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6.599999999999994" x14ac:dyDescent="0.3">
      <c r="B132" s="1414" t="s">
        <v>296</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x14ac:dyDescent="0.3">
      <c r="B133" s="1392"/>
      <c r="C133" s="1393" t="s">
        <v>1362</v>
      </c>
      <c r="D133" s="1394"/>
      <c r="E133" s="1444"/>
      <c r="F133" s="1445"/>
      <c r="G133" s="1397"/>
      <c r="H133" s="1398"/>
      <c r="I133" s="1399"/>
      <c r="J133" s="1397"/>
      <c r="K133" s="1398"/>
      <c r="L133" s="1399"/>
      <c r="M133" s="1400"/>
      <c r="N133" s="1409"/>
      <c r="O133" s="1410"/>
      <c r="P133" s="1410"/>
    </row>
    <row r="134" spans="2:16" x14ac:dyDescent="0.3">
      <c r="B134" s="1392"/>
      <c r="C134" s="1393" t="s">
        <v>1362</v>
      </c>
      <c r="D134" s="1394"/>
      <c r="E134" s="1395"/>
      <c r="F134" s="1396"/>
      <c r="G134" s="1397"/>
      <c r="H134" s="1398"/>
      <c r="I134" s="1399"/>
      <c r="J134" s="1397"/>
      <c r="K134" s="1398"/>
      <c r="L134" s="1399"/>
      <c r="M134" s="1400"/>
      <c r="N134" s="1409"/>
      <c r="O134" s="1410"/>
      <c r="P134" s="1410"/>
    </row>
    <row r="135" spans="2:16" x14ac:dyDescent="0.3">
      <c r="B135" s="1392"/>
      <c r="C135" s="1393" t="s">
        <v>1362</v>
      </c>
      <c r="D135" s="1394"/>
      <c r="E135" s="1395"/>
      <c r="F135" s="1396"/>
      <c r="G135" s="1397"/>
      <c r="H135" s="1398"/>
      <c r="I135" s="1399"/>
      <c r="J135" s="1397"/>
      <c r="K135" s="1398"/>
      <c r="L135" s="1399"/>
      <c r="M135" s="1400"/>
      <c r="N135" s="1409"/>
      <c r="O135" s="1410"/>
      <c r="P135" s="1410"/>
    </row>
    <row r="136" spans="2:16" x14ac:dyDescent="0.3">
      <c r="B136" s="1414" t="s">
        <v>297</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x14ac:dyDescent="0.3">
      <c r="B137" s="1392"/>
      <c r="C137" s="1393" t="s">
        <v>1362</v>
      </c>
      <c r="D137" s="1394"/>
      <c r="E137" s="1444"/>
      <c r="F137" s="1445"/>
      <c r="G137" s="1397"/>
      <c r="H137" s="1398"/>
      <c r="I137" s="1399"/>
      <c r="J137" s="1397"/>
      <c r="K137" s="1398"/>
      <c r="L137" s="1399"/>
      <c r="M137" s="1400"/>
      <c r="N137" s="1409"/>
      <c r="O137" s="1410"/>
      <c r="P137" s="1410"/>
    </row>
    <row r="138" spans="2:16" x14ac:dyDescent="0.3">
      <c r="B138" s="1392"/>
      <c r="C138" s="1393" t="s">
        <v>1362</v>
      </c>
      <c r="D138" s="1394"/>
      <c r="E138" s="1395"/>
      <c r="F138" s="1396"/>
      <c r="G138" s="1397"/>
      <c r="H138" s="1398"/>
      <c r="I138" s="1399"/>
      <c r="J138" s="1397"/>
      <c r="K138" s="1398"/>
      <c r="L138" s="1399"/>
      <c r="M138" s="1400"/>
      <c r="N138" s="1409"/>
      <c r="O138" s="1410"/>
      <c r="P138" s="1410"/>
    </row>
    <row r="139" spans="2:16" x14ac:dyDescent="0.3">
      <c r="B139" s="1392"/>
      <c r="C139" s="1393" t="s">
        <v>1362</v>
      </c>
      <c r="D139" s="1394"/>
      <c r="E139" s="1395"/>
      <c r="F139" s="1396"/>
      <c r="G139" s="1397"/>
      <c r="H139" s="1398"/>
      <c r="I139" s="1399"/>
      <c r="J139" s="1397"/>
      <c r="K139" s="1398"/>
      <c r="L139" s="1399"/>
      <c r="M139" s="1400"/>
      <c r="N139" s="1409"/>
      <c r="O139" s="1410"/>
      <c r="P139" s="1410"/>
    </row>
    <row r="140" spans="2:16" x14ac:dyDescent="0.3">
      <c r="B140" s="1411" t="s">
        <v>299</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x14ac:dyDescent="0.3">
      <c r="B141" s="1414" t="s">
        <v>300</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x14ac:dyDescent="0.3">
      <c r="B142" s="1392"/>
      <c r="C142" s="1393" t="s">
        <v>1362</v>
      </c>
      <c r="D142" s="1394"/>
      <c r="E142" s="1395"/>
      <c r="F142" s="1396"/>
      <c r="G142" s="1397"/>
      <c r="H142" s="1398"/>
      <c r="I142" s="1399"/>
      <c r="J142" s="1397"/>
      <c r="K142" s="1398"/>
      <c r="L142" s="1399"/>
      <c r="M142" s="1400"/>
      <c r="N142" s="1397"/>
      <c r="O142" s="1401"/>
      <c r="P142" s="1401"/>
    </row>
    <row r="143" spans="2:16" x14ac:dyDescent="0.3">
      <c r="B143" s="1392"/>
      <c r="C143" s="1393" t="s">
        <v>1362</v>
      </c>
      <c r="D143" s="1394"/>
      <c r="E143" s="1395"/>
      <c r="F143" s="1396"/>
      <c r="G143" s="1397"/>
      <c r="H143" s="1398"/>
      <c r="I143" s="1399"/>
      <c r="J143" s="1397"/>
      <c r="K143" s="1398"/>
      <c r="L143" s="1399"/>
      <c r="M143" s="1400"/>
      <c r="N143" s="1397"/>
      <c r="O143" s="1401"/>
      <c r="P143" s="1401"/>
    </row>
    <row r="144" spans="2:16" x14ac:dyDescent="0.3">
      <c r="B144" s="1392"/>
      <c r="C144" s="1393" t="s">
        <v>1362</v>
      </c>
      <c r="D144" s="1394"/>
      <c r="E144" s="1395"/>
      <c r="F144" s="1396"/>
      <c r="G144" s="1397"/>
      <c r="H144" s="1398"/>
      <c r="I144" s="1399"/>
      <c r="J144" s="1397"/>
      <c r="K144" s="1398"/>
      <c r="L144" s="1399"/>
      <c r="M144" s="1400"/>
      <c r="N144" s="1397"/>
      <c r="O144" s="1401"/>
      <c r="P144" s="1401"/>
    </row>
    <row r="145" spans="2:16" x14ac:dyDescent="0.3">
      <c r="B145" s="1414" t="s">
        <v>302</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x14ac:dyDescent="0.3">
      <c r="B146" s="1447"/>
      <c r="C146" s="1393" t="s">
        <v>1362</v>
      </c>
      <c r="D146" s="1394"/>
      <c r="E146" s="1395"/>
      <c r="F146" s="1396"/>
      <c r="G146" s="1397"/>
      <c r="H146" s="1398"/>
      <c r="I146" s="1399"/>
      <c r="J146" s="1397"/>
      <c r="K146" s="1398"/>
      <c r="L146" s="1399"/>
      <c r="M146" s="1400"/>
      <c r="N146" s="1397"/>
      <c r="O146" s="1401"/>
      <c r="P146" s="1401"/>
    </row>
    <row r="147" spans="2:16" x14ac:dyDescent="0.3">
      <c r="B147" s="1447"/>
      <c r="C147" s="1393" t="s">
        <v>1362</v>
      </c>
      <c r="D147" s="1394"/>
      <c r="E147" s="1395"/>
      <c r="F147" s="1396"/>
      <c r="G147" s="1397"/>
      <c r="H147" s="1398"/>
      <c r="I147" s="1399"/>
      <c r="J147" s="1397"/>
      <c r="K147" s="1398"/>
      <c r="L147" s="1399"/>
      <c r="M147" s="1400"/>
      <c r="N147" s="1397"/>
      <c r="O147" s="1401"/>
      <c r="P147" s="1401"/>
    </row>
    <row r="148" spans="2:16" x14ac:dyDescent="0.3">
      <c r="B148" s="1447"/>
      <c r="C148" s="1393" t="s">
        <v>1362</v>
      </c>
      <c r="D148" s="1394"/>
      <c r="E148" s="1395"/>
      <c r="F148" s="1396"/>
      <c r="G148" s="1397"/>
      <c r="H148" s="1398"/>
      <c r="I148" s="1399"/>
      <c r="J148" s="1397"/>
      <c r="K148" s="1398"/>
      <c r="L148" s="1399"/>
      <c r="M148" s="1400"/>
      <c r="N148" s="1397"/>
      <c r="O148" s="1401"/>
      <c r="P148" s="1401"/>
    </row>
    <row r="149" spans="2:16" ht="33" customHeight="1" x14ac:dyDescent="0.3">
      <c r="B149" s="1414" t="s">
        <v>616</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x14ac:dyDescent="0.3">
      <c r="B150" s="1447"/>
      <c r="C150" s="1393" t="s">
        <v>1362</v>
      </c>
      <c r="D150" s="1394"/>
      <c r="E150" s="1395"/>
      <c r="F150" s="1396"/>
      <c r="G150" s="1397"/>
      <c r="H150" s="1398"/>
      <c r="I150" s="1399"/>
      <c r="J150" s="1397"/>
      <c r="K150" s="1398"/>
      <c r="L150" s="1399"/>
      <c r="M150" s="1400"/>
      <c r="N150" s="1397"/>
      <c r="O150" s="1401"/>
      <c r="P150" s="1401"/>
    </row>
    <row r="151" spans="2:16" x14ac:dyDescent="0.3">
      <c r="B151" s="1447"/>
      <c r="C151" s="1393" t="s">
        <v>1362</v>
      </c>
      <c r="D151" s="1394"/>
      <c r="E151" s="1395"/>
      <c r="F151" s="1396"/>
      <c r="G151" s="1397"/>
      <c r="H151" s="1398"/>
      <c r="I151" s="1399"/>
      <c r="J151" s="1397"/>
      <c r="K151" s="1398"/>
      <c r="L151" s="1399"/>
      <c r="M151" s="1400"/>
      <c r="N151" s="1397"/>
      <c r="O151" s="1401"/>
      <c r="P151" s="1401"/>
    </row>
    <row r="152" spans="2:16" x14ac:dyDescent="0.3">
      <c r="B152" s="1447"/>
      <c r="C152" s="1393" t="s">
        <v>1362</v>
      </c>
      <c r="D152" s="1394"/>
      <c r="E152" s="1395"/>
      <c r="F152" s="1396"/>
      <c r="G152" s="1397"/>
      <c r="H152" s="1398"/>
      <c r="I152" s="1399"/>
      <c r="J152" s="1397"/>
      <c r="K152" s="1398"/>
      <c r="L152" s="1399"/>
      <c r="M152" s="1400"/>
      <c r="N152" s="1397"/>
      <c r="O152" s="1401"/>
      <c r="P152" s="1401"/>
    </row>
    <row r="153" spans="2:16" ht="27" x14ac:dyDescent="0.3">
      <c r="B153" s="1414" t="s">
        <v>617</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x14ac:dyDescent="0.3">
      <c r="B154" s="1447"/>
      <c r="C154" s="1393" t="s">
        <v>1362</v>
      </c>
      <c r="D154" s="1394"/>
      <c r="E154" s="1395"/>
      <c r="F154" s="1396"/>
      <c r="G154" s="1397"/>
      <c r="H154" s="1398"/>
      <c r="I154" s="1399"/>
      <c r="J154" s="1397"/>
      <c r="K154" s="1398"/>
      <c r="L154" s="1399"/>
      <c r="M154" s="1400"/>
      <c r="N154" s="1397"/>
      <c r="O154" s="1401"/>
      <c r="P154" s="1401"/>
    </row>
    <row r="155" spans="2:16" x14ac:dyDescent="0.3">
      <c r="B155" s="1447"/>
      <c r="C155" s="1393" t="s">
        <v>1362</v>
      </c>
      <c r="D155" s="1394"/>
      <c r="E155" s="1395"/>
      <c r="F155" s="1396"/>
      <c r="G155" s="1397"/>
      <c r="H155" s="1398"/>
      <c r="I155" s="1399"/>
      <c r="J155" s="1397"/>
      <c r="K155" s="1398"/>
      <c r="L155" s="1399"/>
      <c r="M155" s="1400"/>
      <c r="N155" s="1397"/>
      <c r="O155" s="1401"/>
      <c r="P155" s="1401"/>
    </row>
    <row r="156" spans="2:16" x14ac:dyDescent="0.3">
      <c r="B156" s="1447"/>
      <c r="C156" s="1393" t="s">
        <v>1362</v>
      </c>
      <c r="D156" s="1394"/>
      <c r="E156" s="1395"/>
      <c r="F156" s="1396"/>
      <c r="G156" s="1397"/>
      <c r="H156" s="1398"/>
      <c r="I156" s="1399"/>
      <c r="J156" s="1397"/>
      <c r="K156" s="1398"/>
      <c r="L156" s="1399"/>
      <c r="M156" s="1400"/>
      <c r="N156" s="1397"/>
      <c r="O156" s="1401"/>
      <c r="P156" s="1401"/>
    </row>
    <row r="157" spans="2:16" ht="27" x14ac:dyDescent="0.3">
      <c r="B157" s="1414" t="s">
        <v>618</v>
      </c>
      <c r="C157" s="1419" t="s">
        <v>608</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x14ac:dyDescent="0.3">
      <c r="B158" s="1392"/>
      <c r="C158" s="1393" t="s">
        <v>1362</v>
      </c>
      <c r="D158" s="1394"/>
      <c r="E158" s="1395"/>
      <c r="F158" s="1396"/>
      <c r="G158" s="1397"/>
      <c r="H158" s="1398"/>
      <c r="I158" s="1399"/>
      <c r="J158" s="1397"/>
      <c r="K158" s="1398"/>
      <c r="L158" s="1399"/>
      <c r="M158" s="1400"/>
      <c r="N158" s="1397"/>
      <c r="O158" s="1401"/>
      <c r="P158" s="1401"/>
    </row>
    <row r="159" spans="2:16" x14ac:dyDescent="0.3">
      <c r="B159" s="1392"/>
      <c r="C159" s="1393" t="s">
        <v>1362</v>
      </c>
      <c r="D159" s="1394"/>
      <c r="E159" s="1395"/>
      <c r="F159" s="1396"/>
      <c r="G159" s="1397"/>
      <c r="H159" s="1398"/>
      <c r="I159" s="1399"/>
      <c r="J159" s="1397"/>
      <c r="K159" s="1398"/>
      <c r="L159" s="1399"/>
      <c r="M159" s="1400"/>
      <c r="N159" s="1397"/>
      <c r="O159" s="1401"/>
      <c r="P159" s="1401"/>
    </row>
    <row r="160" spans="2:16" x14ac:dyDescent="0.3">
      <c r="B160" s="1392"/>
      <c r="C160" s="1393" t="s">
        <v>1362</v>
      </c>
      <c r="D160" s="1394"/>
      <c r="E160" s="1395"/>
      <c r="F160" s="1396"/>
      <c r="G160" s="1397"/>
      <c r="H160" s="1398"/>
      <c r="I160" s="1399"/>
      <c r="J160" s="1397"/>
      <c r="K160" s="1398"/>
      <c r="L160" s="1399"/>
      <c r="M160" s="1400"/>
      <c r="N160" s="1397"/>
      <c r="O160" s="1401"/>
      <c r="P160" s="1401"/>
    </row>
    <row r="161" spans="2:16" x14ac:dyDescent="0.3">
      <c r="B161" s="1421" t="s">
        <v>304</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x14ac:dyDescent="0.3">
      <c r="B162" s="1427" t="s">
        <v>306</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x14ac:dyDescent="0.3">
      <c r="B163" s="1392"/>
      <c r="C163" s="1393" t="s">
        <v>1362</v>
      </c>
      <c r="D163" s="1394"/>
      <c r="E163" s="1444"/>
      <c r="F163" s="1445"/>
      <c r="G163" s="1432"/>
      <c r="H163" s="1433"/>
      <c r="I163" s="1434"/>
      <c r="J163" s="1432"/>
      <c r="K163" s="1433"/>
      <c r="L163" s="1434"/>
      <c r="M163" s="1435"/>
      <c r="N163" s="1432"/>
      <c r="O163" s="1436"/>
      <c r="P163" s="1436"/>
    </row>
    <row r="164" spans="2:16" x14ac:dyDescent="0.3">
      <c r="B164" s="1392"/>
      <c r="C164" s="1393" t="s">
        <v>1362</v>
      </c>
      <c r="D164" s="1394"/>
      <c r="E164" s="1430"/>
      <c r="F164" s="1431"/>
      <c r="G164" s="1432"/>
      <c r="H164" s="1433"/>
      <c r="I164" s="1434"/>
      <c r="J164" s="1432"/>
      <c r="K164" s="1433"/>
      <c r="L164" s="1434"/>
      <c r="M164" s="1435"/>
      <c r="N164" s="1432"/>
      <c r="O164" s="1436"/>
      <c r="P164" s="1436"/>
    </row>
    <row r="165" spans="2:16" x14ac:dyDescent="0.3">
      <c r="B165" s="1392"/>
      <c r="C165" s="1393" t="s">
        <v>1362</v>
      </c>
      <c r="D165" s="1394"/>
      <c r="E165" s="1430"/>
      <c r="F165" s="1431"/>
      <c r="G165" s="1432"/>
      <c r="H165" s="1433"/>
      <c r="I165" s="1434"/>
      <c r="J165" s="1432"/>
      <c r="K165" s="1433"/>
      <c r="L165" s="1434"/>
      <c r="M165" s="1435"/>
      <c r="N165" s="1432"/>
      <c r="O165" s="1436"/>
      <c r="P165" s="1436"/>
    </row>
    <row r="166" spans="2:16" ht="27" x14ac:dyDescent="0.3">
      <c r="B166" s="1442" t="s">
        <v>308</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x14ac:dyDescent="0.3">
      <c r="B167" s="1392"/>
      <c r="C167" s="1393" t="s">
        <v>1362</v>
      </c>
      <c r="D167" s="1394"/>
      <c r="E167" s="1444"/>
      <c r="F167" s="1445"/>
      <c r="G167" s="1437"/>
      <c r="H167" s="1438"/>
      <c r="I167" s="1439"/>
      <c r="J167" s="1437"/>
      <c r="K167" s="1438"/>
      <c r="L167" s="1439"/>
      <c r="M167" s="1440"/>
      <c r="N167" s="1437"/>
      <c r="O167" s="1441"/>
      <c r="P167" s="1441"/>
    </row>
    <row r="168" spans="2:16" x14ac:dyDescent="0.3">
      <c r="B168" s="1392"/>
      <c r="C168" s="1393" t="s">
        <v>1362</v>
      </c>
      <c r="D168" s="1394"/>
      <c r="E168" s="1444"/>
      <c r="F168" s="1445"/>
      <c r="G168" s="1437"/>
      <c r="H168" s="1438"/>
      <c r="I168" s="1439"/>
      <c r="J168" s="1437"/>
      <c r="K168" s="1438"/>
      <c r="L168" s="1439"/>
      <c r="M168" s="1440"/>
      <c r="N168" s="1437"/>
      <c r="O168" s="1441"/>
      <c r="P168" s="1441"/>
    </row>
    <row r="169" spans="2:16" x14ac:dyDescent="0.3">
      <c r="B169" s="1392"/>
      <c r="C169" s="1393" t="s">
        <v>1362</v>
      </c>
      <c r="D169" s="1394"/>
      <c r="E169" s="1444"/>
      <c r="F169" s="1445"/>
      <c r="G169" s="1437"/>
      <c r="H169" s="1438"/>
      <c r="I169" s="1439"/>
      <c r="J169" s="1437"/>
      <c r="K169" s="1438"/>
      <c r="L169" s="1439"/>
      <c r="M169" s="1440"/>
      <c r="N169" s="1437"/>
      <c r="O169" s="1441"/>
      <c r="P169" s="1441"/>
    </row>
    <row r="170" spans="2:16" x14ac:dyDescent="0.3">
      <c r="B170" s="1446" t="s">
        <v>310</v>
      </c>
      <c r="C170" s="1449" t="s">
        <v>609</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x14ac:dyDescent="0.3">
      <c r="B171" s="1392"/>
      <c r="C171" s="1393" t="s">
        <v>1362</v>
      </c>
      <c r="D171" s="1394"/>
      <c r="E171" s="1444"/>
      <c r="F171" s="1445"/>
      <c r="G171" s="1437"/>
      <c r="H171" s="1438"/>
      <c r="I171" s="1439"/>
      <c r="J171" s="1437"/>
      <c r="K171" s="1438"/>
      <c r="L171" s="1439"/>
      <c r="M171" s="1440"/>
      <c r="N171" s="1437"/>
      <c r="O171" s="1441"/>
      <c r="P171" s="1441"/>
    </row>
    <row r="172" spans="2:16" x14ac:dyDescent="0.3">
      <c r="B172" s="1392"/>
      <c r="C172" s="1393" t="s">
        <v>1362</v>
      </c>
      <c r="D172" s="1394"/>
      <c r="E172" s="1444"/>
      <c r="F172" s="1445"/>
      <c r="G172" s="1437"/>
      <c r="H172" s="1438"/>
      <c r="I172" s="1439"/>
      <c r="J172" s="1437"/>
      <c r="K172" s="1438"/>
      <c r="L172" s="1439"/>
      <c r="M172" s="1440"/>
      <c r="N172" s="1437"/>
      <c r="O172" s="1441"/>
      <c r="P172" s="1441"/>
    </row>
    <row r="173" spans="2:16" x14ac:dyDescent="0.3">
      <c r="B173" s="1392"/>
      <c r="C173" s="1393" t="s">
        <v>1362</v>
      </c>
      <c r="D173" s="1394"/>
      <c r="E173" s="1444"/>
      <c r="F173" s="1445"/>
      <c r="G173" s="1437"/>
      <c r="H173" s="1438"/>
      <c r="I173" s="1439"/>
      <c r="J173" s="1437"/>
      <c r="K173" s="1438"/>
      <c r="L173" s="1439"/>
      <c r="M173" s="1440"/>
      <c r="N173" s="1437"/>
      <c r="O173" s="1441"/>
      <c r="P173" s="1441"/>
    </row>
    <row r="174" spans="2:16" x14ac:dyDescent="0.3">
      <c r="B174" s="1368" t="s">
        <v>129</v>
      </c>
      <c r="C174" s="1450" t="s">
        <v>661</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x14ac:dyDescent="0.3">
      <c r="B175" s="1375" t="s">
        <v>131</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x14ac:dyDescent="0.3">
      <c r="B176" s="1384" t="s">
        <v>406</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x14ac:dyDescent="0.3">
      <c r="B177" s="1392"/>
      <c r="C177" s="1393" t="s">
        <v>1362</v>
      </c>
      <c r="D177" s="1394"/>
      <c r="E177" s="1395"/>
      <c r="F177" s="1396"/>
      <c r="G177" s="1397"/>
      <c r="H177" s="1398"/>
      <c r="I177" s="1399"/>
      <c r="J177" s="1397"/>
      <c r="K177" s="1398"/>
      <c r="L177" s="1399"/>
      <c r="M177" s="1400"/>
      <c r="N177" s="1397"/>
      <c r="O177" s="1401"/>
      <c r="P177" s="1401"/>
    </row>
    <row r="178" spans="2:16" x14ac:dyDescent="0.3">
      <c r="B178" s="1392"/>
      <c r="C178" s="1393" t="s">
        <v>1362</v>
      </c>
      <c r="D178" s="1394"/>
      <c r="E178" s="1395"/>
      <c r="F178" s="1396"/>
      <c r="G178" s="1397"/>
      <c r="H178" s="1398"/>
      <c r="I178" s="1399"/>
      <c r="J178" s="1397"/>
      <c r="K178" s="1398"/>
      <c r="L178" s="1399"/>
      <c r="M178" s="1400"/>
      <c r="N178" s="1397"/>
      <c r="O178" s="1401"/>
      <c r="P178" s="1401"/>
    </row>
    <row r="179" spans="2:16" x14ac:dyDescent="0.3">
      <c r="B179" s="1392"/>
      <c r="C179" s="1393" t="s">
        <v>1362</v>
      </c>
      <c r="D179" s="1394"/>
      <c r="E179" s="1395"/>
      <c r="F179" s="1396"/>
      <c r="G179" s="1397"/>
      <c r="H179" s="1398"/>
      <c r="I179" s="1399"/>
      <c r="J179" s="1397"/>
      <c r="K179" s="1398"/>
      <c r="L179" s="1399"/>
      <c r="M179" s="1400"/>
      <c r="N179" s="1397"/>
      <c r="O179" s="1401"/>
      <c r="P179" s="1401"/>
    </row>
    <row r="180" spans="2:16" x14ac:dyDescent="0.3">
      <c r="B180" s="1384" t="s">
        <v>407</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x14ac:dyDescent="0.3">
      <c r="B181" s="1392"/>
      <c r="C181" s="1393" t="s">
        <v>1362</v>
      </c>
      <c r="D181" s="1394"/>
      <c r="E181" s="1395"/>
      <c r="F181" s="1396"/>
      <c r="G181" s="1397"/>
      <c r="H181" s="1398"/>
      <c r="I181" s="1399"/>
      <c r="J181" s="1397"/>
      <c r="K181" s="1398"/>
      <c r="L181" s="1399"/>
      <c r="M181" s="1400"/>
      <c r="N181" s="1397"/>
      <c r="O181" s="1401"/>
      <c r="P181" s="1401"/>
    </row>
    <row r="182" spans="2:16" x14ac:dyDescent="0.3">
      <c r="B182" s="1392"/>
      <c r="C182" s="1393" t="s">
        <v>1362</v>
      </c>
      <c r="D182" s="1394"/>
      <c r="E182" s="1395"/>
      <c r="F182" s="1396"/>
      <c r="G182" s="1397"/>
      <c r="H182" s="1398"/>
      <c r="I182" s="1399"/>
      <c r="J182" s="1397"/>
      <c r="K182" s="1398"/>
      <c r="L182" s="1399"/>
      <c r="M182" s="1400"/>
      <c r="N182" s="1397"/>
      <c r="O182" s="1401"/>
      <c r="P182" s="1401"/>
    </row>
    <row r="183" spans="2:16" x14ac:dyDescent="0.3">
      <c r="B183" s="1392"/>
      <c r="C183" s="1393" t="s">
        <v>1362</v>
      </c>
      <c r="D183" s="1394"/>
      <c r="E183" s="1395"/>
      <c r="F183" s="1396"/>
      <c r="G183" s="1397"/>
      <c r="H183" s="1398"/>
      <c r="I183" s="1399"/>
      <c r="J183" s="1397"/>
      <c r="K183" s="1398"/>
      <c r="L183" s="1399"/>
      <c r="M183" s="1400"/>
      <c r="N183" s="1397"/>
      <c r="O183" s="1401"/>
      <c r="P183" s="1401"/>
    </row>
    <row r="184" spans="2:16" x14ac:dyDescent="0.3">
      <c r="B184" s="1384" t="s">
        <v>622</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x14ac:dyDescent="0.3">
      <c r="B185" s="1392"/>
      <c r="C185" s="1393" t="s">
        <v>1362</v>
      </c>
      <c r="D185" s="1394"/>
      <c r="E185" s="1395"/>
      <c r="F185" s="1396"/>
      <c r="G185" s="1397"/>
      <c r="H185" s="1398"/>
      <c r="I185" s="1399"/>
      <c r="J185" s="1397"/>
      <c r="K185" s="1398"/>
      <c r="L185" s="1399"/>
      <c r="M185" s="1400"/>
      <c r="N185" s="1397"/>
      <c r="O185" s="1401"/>
      <c r="P185" s="1401"/>
    </row>
    <row r="186" spans="2:16" x14ac:dyDescent="0.3">
      <c r="B186" s="1392"/>
      <c r="C186" s="1393" t="s">
        <v>1362</v>
      </c>
      <c r="D186" s="1394"/>
      <c r="E186" s="1395"/>
      <c r="F186" s="1396"/>
      <c r="G186" s="1397"/>
      <c r="H186" s="1398"/>
      <c r="I186" s="1399"/>
      <c r="J186" s="1397"/>
      <c r="K186" s="1398"/>
      <c r="L186" s="1399"/>
      <c r="M186" s="1400"/>
      <c r="N186" s="1397"/>
      <c r="O186" s="1401"/>
      <c r="P186" s="1401"/>
    </row>
    <row r="187" spans="2:16" x14ac:dyDescent="0.3">
      <c r="B187" s="1392"/>
      <c r="C187" s="1393" t="s">
        <v>1362</v>
      </c>
      <c r="D187" s="1394"/>
      <c r="E187" s="1395"/>
      <c r="F187" s="1396"/>
      <c r="G187" s="1397"/>
      <c r="H187" s="1398"/>
      <c r="I187" s="1399"/>
      <c r="J187" s="1397"/>
      <c r="K187" s="1398"/>
      <c r="L187" s="1399"/>
      <c r="M187" s="1400"/>
      <c r="N187" s="1397"/>
      <c r="O187" s="1401"/>
      <c r="P187" s="1401"/>
    </row>
    <row r="188" spans="2:16" x14ac:dyDescent="0.3">
      <c r="B188" s="1402" t="s">
        <v>133</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x14ac:dyDescent="0.3">
      <c r="B189" s="1384" t="s">
        <v>135</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x14ac:dyDescent="0.3">
      <c r="B190" s="1392"/>
      <c r="C190" s="1393" t="s">
        <v>1362</v>
      </c>
      <c r="D190" s="1394"/>
      <c r="E190" s="1395"/>
      <c r="F190" s="1396"/>
      <c r="G190" s="1397"/>
      <c r="H190" s="1398"/>
      <c r="I190" s="1399"/>
      <c r="J190" s="1397"/>
      <c r="K190" s="1398"/>
      <c r="L190" s="1399"/>
      <c r="M190" s="1400"/>
      <c r="N190" s="1409"/>
      <c r="O190" s="1410"/>
      <c r="P190" s="1410"/>
    </row>
    <row r="191" spans="2:16" x14ac:dyDescent="0.3">
      <c r="B191" s="1392"/>
      <c r="C191" s="1393" t="s">
        <v>1362</v>
      </c>
      <c r="D191" s="1394"/>
      <c r="E191" s="1395"/>
      <c r="F191" s="1396"/>
      <c r="G191" s="1397"/>
      <c r="H191" s="1398"/>
      <c r="I191" s="1399"/>
      <c r="J191" s="1397"/>
      <c r="K191" s="1398"/>
      <c r="L191" s="1399"/>
      <c r="M191" s="1400"/>
      <c r="N191" s="1409"/>
      <c r="O191" s="1410"/>
      <c r="P191" s="1410"/>
    </row>
    <row r="192" spans="2:16" x14ac:dyDescent="0.3">
      <c r="B192" s="1392"/>
      <c r="C192" s="1393" t="s">
        <v>1362</v>
      </c>
      <c r="D192" s="1394"/>
      <c r="E192" s="1395"/>
      <c r="F192" s="1396"/>
      <c r="G192" s="1397"/>
      <c r="H192" s="1398"/>
      <c r="I192" s="1399"/>
      <c r="J192" s="1397"/>
      <c r="K192" s="1398"/>
      <c r="L192" s="1399"/>
      <c r="M192" s="1400"/>
      <c r="N192" s="1409"/>
      <c r="O192" s="1410"/>
      <c r="P192" s="1410"/>
    </row>
    <row r="193" spans="2:16" x14ac:dyDescent="0.3">
      <c r="B193" s="1384" t="s">
        <v>137</v>
      </c>
      <c r="C193" s="1385" t="s">
        <v>598</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x14ac:dyDescent="0.3">
      <c r="B194" s="1392"/>
      <c r="C194" s="1393" t="s">
        <v>1362</v>
      </c>
      <c r="D194" s="1394"/>
      <c r="E194" s="1395"/>
      <c r="F194" s="1396"/>
      <c r="G194" s="1397"/>
      <c r="H194" s="1398"/>
      <c r="I194" s="1399"/>
      <c r="J194" s="1397"/>
      <c r="K194" s="1398"/>
      <c r="L194" s="1399"/>
      <c r="M194" s="1400"/>
      <c r="N194" s="1409"/>
      <c r="O194" s="1410"/>
      <c r="P194" s="1410"/>
    </row>
    <row r="195" spans="2:16" x14ac:dyDescent="0.3">
      <c r="B195" s="1392"/>
      <c r="C195" s="1393" t="s">
        <v>1362</v>
      </c>
      <c r="D195" s="1394"/>
      <c r="E195" s="1395"/>
      <c r="F195" s="1396"/>
      <c r="G195" s="1397"/>
      <c r="H195" s="1398"/>
      <c r="I195" s="1399"/>
      <c r="J195" s="1397"/>
      <c r="K195" s="1398"/>
      <c r="L195" s="1399"/>
      <c r="M195" s="1400"/>
      <c r="N195" s="1409"/>
      <c r="O195" s="1410"/>
      <c r="P195" s="1410"/>
    </row>
    <row r="196" spans="2:16" x14ac:dyDescent="0.3">
      <c r="B196" s="1392"/>
      <c r="C196" s="1393" t="s">
        <v>1362</v>
      </c>
      <c r="D196" s="1394"/>
      <c r="E196" s="1395"/>
      <c r="F196" s="1396"/>
      <c r="G196" s="1397"/>
      <c r="H196" s="1398"/>
      <c r="I196" s="1399"/>
      <c r="J196" s="1397"/>
      <c r="K196" s="1398"/>
      <c r="L196" s="1399"/>
      <c r="M196" s="1400"/>
      <c r="N196" s="1409"/>
      <c r="O196" s="1410"/>
      <c r="P196" s="1410"/>
    </row>
    <row r="197" spans="2:16" x14ac:dyDescent="0.3">
      <c r="B197" s="1384" t="s">
        <v>139</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x14ac:dyDescent="0.3">
      <c r="B198" s="1392"/>
      <c r="C198" s="1393" t="s">
        <v>1362</v>
      </c>
      <c r="D198" s="1394"/>
      <c r="E198" s="1395"/>
      <c r="F198" s="1396"/>
      <c r="G198" s="1397"/>
      <c r="H198" s="1398"/>
      <c r="I198" s="1399"/>
      <c r="J198" s="1397"/>
      <c r="K198" s="1398"/>
      <c r="L198" s="1399"/>
      <c r="M198" s="1400"/>
      <c r="N198" s="1409"/>
      <c r="O198" s="1410"/>
      <c r="P198" s="1410"/>
    </row>
    <row r="199" spans="2:16" x14ac:dyDescent="0.3">
      <c r="B199" s="1392"/>
      <c r="C199" s="1393" t="s">
        <v>1362</v>
      </c>
      <c r="D199" s="1394"/>
      <c r="E199" s="1395"/>
      <c r="F199" s="1396"/>
      <c r="G199" s="1397"/>
      <c r="H199" s="1398"/>
      <c r="I199" s="1399"/>
      <c r="J199" s="1397"/>
      <c r="K199" s="1398"/>
      <c r="L199" s="1399"/>
      <c r="M199" s="1400"/>
      <c r="N199" s="1409"/>
      <c r="O199" s="1410"/>
      <c r="P199" s="1410"/>
    </row>
    <row r="200" spans="2:16" x14ac:dyDescent="0.3">
      <c r="B200" s="1392"/>
      <c r="C200" s="1393" t="s">
        <v>1362</v>
      </c>
      <c r="D200" s="1394"/>
      <c r="E200" s="1395"/>
      <c r="F200" s="1396"/>
      <c r="G200" s="1397"/>
      <c r="H200" s="1398"/>
      <c r="I200" s="1399"/>
      <c r="J200" s="1397"/>
      <c r="K200" s="1398"/>
      <c r="L200" s="1399"/>
      <c r="M200" s="1400"/>
      <c r="N200" s="1409"/>
      <c r="O200" s="1410"/>
      <c r="P200" s="1410"/>
    </row>
    <row r="201" spans="2:16" x14ac:dyDescent="0.3">
      <c r="B201" s="1384" t="s">
        <v>623</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x14ac:dyDescent="0.3">
      <c r="B202" s="1392"/>
      <c r="C202" s="1393" t="s">
        <v>1362</v>
      </c>
      <c r="D202" s="1394"/>
      <c r="E202" s="1395"/>
      <c r="F202" s="1396"/>
      <c r="G202" s="1397"/>
      <c r="H202" s="1398"/>
      <c r="I202" s="1399"/>
      <c r="J202" s="1397"/>
      <c r="K202" s="1398"/>
      <c r="L202" s="1399"/>
      <c r="M202" s="1400"/>
      <c r="N202" s="1409"/>
      <c r="O202" s="1410"/>
      <c r="P202" s="1410"/>
    </row>
    <row r="203" spans="2:16" x14ac:dyDescent="0.3">
      <c r="B203" s="1392"/>
      <c r="C203" s="1393" t="s">
        <v>1362</v>
      </c>
      <c r="D203" s="1394"/>
      <c r="E203" s="1395"/>
      <c r="F203" s="1396"/>
      <c r="G203" s="1397"/>
      <c r="H203" s="1398"/>
      <c r="I203" s="1399"/>
      <c r="J203" s="1397"/>
      <c r="K203" s="1398"/>
      <c r="L203" s="1399"/>
      <c r="M203" s="1400"/>
      <c r="N203" s="1409"/>
      <c r="O203" s="1410"/>
      <c r="P203" s="1410"/>
    </row>
    <row r="204" spans="2:16" x14ac:dyDescent="0.3">
      <c r="B204" s="1392"/>
      <c r="C204" s="1393" t="s">
        <v>1362</v>
      </c>
      <c r="D204" s="1394"/>
      <c r="E204" s="1395"/>
      <c r="F204" s="1396"/>
      <c r="G204" s="1397"/>
      <c r="H204" s="1398"/>
      <c r="I204" s="1399"/>
      <c r="J204" s="1397"/>
      <c r="K204" s="1398"/>
      <c r="L204" s="1399"/>
      <c r="M204" s="1400"/>
      <c r="N204" s="1409"/>
      <c r="O204" s="1410"/>
      <c r="P204" s="1410"/>
    </row>
    <row r="205" spans="2:16" x14ac:dyDescent="0.3">
      <c r="B205" s="1384" t="s">
        <v>624</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x14ac:dyDescent="0.3">
      <c r="B206" s="1392"/>
      <c r="C206" s="1393" t="s">
        <v>1362</v>
      </c>
      <c r="D206" s="1394"/>
      <c r="E206" s="1395"/>
      <c r="F206" s="1396"/>
      <c r="G206" s="1397"/>
      <c r="H206" s="1398"/>
      <c r="I206" s="1399"/>
      <c r="J206" s="1397"/>
      <c r="K206" s="1398"/>
      <c r="L206" s="1399"/>
      <c r="M206" s="1400"/>
      <c r="N206" s="1409"/>
      <c r="O206" s="1410"/>
      <c r="P206" s="1410"/>
    </row>
    <row r="207" spans="2:16" x14ac:dyDescent="0.3">
      <c r="B207" s="1392"/>
      <c r="C207" s="1393" t="s">
        <v>1362</v>
      </c>
      <c r="D207" s="1394"/>
      <c r="E207" s="1395"/>
      <c r="F207" s="1396"/>
      <c r="G207" s="1397"/>
      <c r="H207" s="1398"/>
      <c r="I207" s="1399"/>
      <c r="J207" s="1397"/>
      <c r="K207" s="1398"/>
      <c r="L207" s="1399"/>
      <c r="M207" s="1400"/>
      <c r="N207" s="1409"/>
      <c r="O207" s="1410"/>
      <c r="P207" s="1410"/>
    </row>
    <row r="208" spans="2:16" x14ac:dyDescent="0.3">
      <c r="B208" s="1392"/>
      <c r="C208" s="1393" t="s">
        <v>1362</v>
      </c>
      <c r="D208" s="1394"/>
      <c r="E208" s="1395"/>
      <c r="F208" s="1396"/>
      <c r="G208" s="1397"/>
      <c r="H208" s="1398"/>
      <c r="I208" s="1399"/>
      <c r="J208" s="1397"/>
      <c r="K208" s="1398"/>
      <c r="L208" s="1399"/>
      <c r="M208" s="1400"/>
      <c r="N208" s="1409"/>
      <c r="O208" s="1410"/>
      <c r="P208" s="1410"/>
    </row>
    <row r="209" spans="2:16" ht="52.8" x14ac:dyDescent="0.3">
      <c r="B209" s="1384" t="s">
        <v>625</v>
      </c>
      <c r="C209" s="1385" t="s">
        <v>602</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x14ac:dyDescent="0.3">
      <c r="B210" s="1392"/>
      <c r="C210" s="1393" t="s">
        <v>1362</v>
      </c>
      <c r="D210" s="1394"/>
      <c r="E210" s="1395"/>
      <c r="F210" s="1396"/>
      <c r="G210" s="1397"/>
      <c r="H210" s="1398"/>
      <c r="I210" s="1399"/>
      <c r="J210" s="1397"/>
      <c r="K210" s="1398"/>
      <c r="L210" s="1399"/>
      <c r="M210" s="1400"/>
      <c r="N210" s="1409"/>
      <c r="O210" s="1410"/>
      <c r="P210" s="1410"/>
    </row>
    <row r="211" spans="2:16" x14ac:dyDescent="0.3">
      <c r="B211" s="1392"/>
      <c r="C211" s="1393" t="s">
        <v>1362</v>
      </c>
      <c r="D211" s="1394"/>
      <c r="E211" s="1395"/>
      <c r="F211" s="1396"/>
      <c r="G211" s="1397"/>
      <c r="H211" s="1398"/>
      <c r="I211" s="1399"/>
      <c r="J211" s="1397"/>
      <c r="K211" s="1398"/>
      <c r="L211" s="1399"/>
      <c r="M211" s="1400"/>
      <c r="N211" s="1409"/>
      <c r="O211" s="1410"/>
      <c r="P211" s="1410"/>
    </row>
    <row r="212" spans="2:16" x14ac:dyDescent="0.3">
      <c r="B212" s="1392"/>
      <c r="C212" s="1393" t="s">
        <v>1362</v>
      </c>
      <c r="D212" s="1394"/>
      <c r="E212" s="1395"/>
      <c r="F212" s="1396"/>
      <c r="G212" s="1397"/>
      <c r="H212" s="1398"/>
      <c r="I212" s="1399"/>
      <c r="J212" s="1397"/>
      <c r="K212" s="1398"/>
      <c r="L212" s="1399"/>
      <c r="M212" s="1400"/>
      <c r="N212" s="1409"/>
      <c r="O212" s="1410"/>
      <c r="P212" s="1410"/>
    </row>
    <row r="213" spans="2:16" x14ac:dyDescent="0.3">
      <c r="B213" s="1411" t="s">
        <v>141</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6.599999999999994" x14ac:dyDescent="0.3">
      <c r="B214" s="1414" t="s">
        <v>408</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x14ac:dyDescent="0.3">
      <c r="B215" s="1392"/>
      <c r="C215" s="1393" t="s">
        <v>1362</v>
      </c>
      <c r="D215" s="1394"/>
      <c r="E215" s="1395"/>
      <c r="F215" s="1396"/>
      <c r="G215" s="1397"/>
      <c r="H215" s="1398"/>
      <c r="I215" s="1399"/>
      <c r="J215" s="1397"/>
      <c r="K215" s="1398"/>
      <c r="L215" s="1399"/>
      <c r="M215" s="1400"/>
      <c r="N215" s="1409"/>
      <c r="O215" s="1410"/>
      <c r="P215" s="1410"/>
    </row>
    <row r="216" spans="2:16" x14ac:dyDescent="0.3">
      <c r="B216" s="1392"/>
      <c r="C216" s="1393" t="s">
        <v>1362</v>
      </c>
      <c r="D216" s="1394"/>
      <c r="E216" s="1395"/>
      <c r="F216" s="1396"/>
      <c r="G216" s="1397"/>
      <c r="H216" s="1398"/>
      <c r="I216" s="1399"/>
      <c r="J216" s="1397"/>
      <c r="K216" s="1398"/>
      <c r="L216" s="1399"/>
      <c r="M216" s="1400"/>
      <c r="N216" s="1409"/>
      <c r="O216" s="1410"/>
      <c r="P216" s="1410"/>
    </row>
    <row r="217" spans="2:16" x14ac:dyDescent="0.3">
      <c r="B217" s="1392"/>
      <c r="C217" s="1393" t="s">
        <v>1362</v>
      </c>
      <c r="D217" s="1394"/>
      <c r="E217" s="1395"/>
      <c r="F217" s="1396"/>
      <c r="G217" s="1397"/>
      <c r="H217" s="1398"/>
      <c r="I217" s="1399"/>
      <c r="J217" s="1397"/>
      <c r="K217" s="1398"/>
      <c r="L217" s="1399"/>
      <c r="M217" s="1400"/>
      <c r="N217" s="1409"/>
      <c r="O217" s="1410"/>
      <c r="P217" s="1410"/>
    </row>
    <row r="218" spans="2:16" x14ac:dyDescent="0.3">
      <c r="B218" s="1414" t="s">
        <v>626</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x14ac:dyDescent="0.3">
      <c r="B219" s="1392"/>
      <c r="C219" s="1393" t="s">
        <v>1362</v>
      </c>
      <c r="D219" s="1394"/>
      <c r="E219" s="1395"/>
      <c r="F219" s="1396"/>
      <c r="G219" s="1397"/>
      <c r="H219" s="1398"/>
      <c r="I219" s="1399"/>
      <c r="J219" s="1397"/>
      <c r="K219" s="1398"/>
      <c r="L219" s="1399"/>
      <c r="M219" s="1400"/>
      <c r="N219" s="1409"/>
      <c r="O219" s="1410"/>
      <c r="P219" s="1410"/>
    </row>
    <row r="220" spans="2:16" x14ac:dyDescent="0.3">
      <c r="B220" s="1392"/>
      <c r="C220" s="1393" t="s">
        <v>1362</v>
      </c>
      <c r="D220" s="1394"/>
      <c r="E220" s="1395"/>
      <c r="F220" s="1396"/>
      <c r="G220" s="1397"/>
      <c r="H220" s="1398"/>
      <c r="I220" s="1399"/>
      <c r="J220" s="1397"/>
      <c r="K220" s="1398"/>
      <c r="L220" s="1399"/>
      <c r="M220" s="1400"/>
      <c r="N220" s="1409"/>
      <c r="O220" s="1410"/>
      <c r="P220" s="1410"/>
    </row>
    <row r="221" spans="2:16" x14ac:dyDescent="0.3">
      <c r="B221" s="1392"/>
      <c r="C221" s="1393" t="s">
        <v>1362</v>
      </c>
      <c r="D221" s="1394"/>
      <c r="E221" s="1395"/>
      <c r="F221" s="1396"/>
      <c r="G221" s="1397"/>
      <c r="H221" s="1398"/>
      <c r="I221" s="1399"/>
      <c r="J221" s="1397"/>
      <c r="K221" s="1398"/>
      <c r="L221" s="1399"/>
      <c r="M221" s="1400"/>
      <c r="N221" s="1409"/>
      <c r="O221" s="1410"/>
      <c r="P221" s="1410"/>
    </row>
    <row r="222" spans="2:16" x14ac:dyDescent="0.3">
      <c r="B222" s="1411" t="s">
        <v>409</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x14ac:dyDescent="0.3">
      <c r="B223" s="1414" t="s">
        <v>410</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x14ac:dyDescent="0.3">
      <c r="B224" s="1392"/>
      <c r="C224" s="1393" t="s">
        <v>1362</v>
      </c>
      <c r="D224" s="1394"/>
      <c r="E224" s="1395"/>
      <c r="F224" s="1396"/>
      <c r="G224" s="1397"/>
      <c r="H224" s="1398"/>
      <c r="I224" s="1399"/>
      <c r="J224" s="1397"/>
      <c r="K224" s="1398"/>
      <c r="L224" s="1399"/>
      <c r="M224" s="1400"/>
      <c r="N224" s="1397"/>
      <c r="O224" s="1401"/>
      <c r="P224" s="1401"/>
    </row>
    <row r="225" spans="2:16" x14ac:dyDescent="0.3">
      <c r="B225" s="1392"/>
      <c r="C225" s="1393" t="s">
        <v>1362</v>
      </c>
      <c r="D225" s="1394"/>
      <c r="E225" s="1395"/>
      <c r="F225" s="1396"/>
      <c r="G225" s="1397"/>
      <c r="H225" s="1398"/>
      <c r="I225" s="1399"/>
      <c r="J225" s="1397"/>
      <c r="K225" s="1398"/>
      <c r="L225" s="1399"/>
      <c r="M225" s="1400"/>
      <c r="N225" s="1397"/>
      <c r="O225" s="1401"/>
      <c r="P225" s="1401"/>
    </row>
    <row r="226" spans="2:16" x14ac:dyDescent="0.3">
      <c r="B226" s="1392"/>
      <c r="C226" s="1393" t="s">
        <v>1362</v>
      </c>
      <c r="D226" s="1394"/>
      <c r="E226" s="1395"/>
      <c r="F226" s="1396"/>
      <c r="G226" s="1397"/>
      <c r="H226" s="1398"/>
      <c r="I226" s="1399"/>
      <c r="J226" s="1397"/>
      <c r="K226" s="1398"/>
      <c r="L226" s="1399"/>
      <c r="M226" s="1400"/>
      <c r="N226" s="1397"/>
      <c r="O226" s="1401"/>
      <c r="P226" s="1401"/>
    </row>
    <row r="227" spans="2:16" x14ac:dyDescent="0.3">
      <c r="B227" s="1414" t="s">
        <v>411</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x14ac:dyDescent="0.3">
      <c r="B228" s="1392"/>
      <c r="C228" s="1393" t="s">
        <v>1362</v>
      </c>
      <c r="D228" s="1394"/>
      <c r="E228" s="1395"/>
      <c r="F228" s="1396"/>
      <c r="G228" s="1397"/>
      <c r="H228" s="1398"/>
      <c r="I228" s="1399"/>
      <c r="J228" s="1397"/>
      <c r="K228" s="1398"/>
      <c r="L228" s="1399"/>
      <c r="M228" s="1400"/>
      <c r="N228" s="1397"/>
      <c r="O228" s="1401"/>
      <c r="P228" s="1401"/>
    </row>
    <row r="229" spans="2:16" x14ac:dyDescent="0.3">
      <c r="B229" s="1392"/>
      <c r="C229" s="1393" t="s">
        <v>1362</v>
      </c>
      <c r="D229" s="1394"/>
      <c r="E229" s="1395"/>
      <c r="F229" s="1396"/>
      <c r="G229" s="1397"/>
      <c r="H229" s="1398"/>
      <c r="I229" s="1399"/>
      <c r="J229" s="1397"/>
      <c r="K229" s="1398"/>
      <c r="L229" s="1399"/>
      <c r="M229" s="1400"/>
      <c r="N229" s="1397"/>
      <c r="O229" s="1401"/>
      <c r="P229" s="1401"/>
    </row>
    <row r="230" spans="2:16" x14ac:dyDescent="0.3">
      <c r="B230" s="1392"/>
      <c r="C230" s="1393" t="s">
        <v>1362</v>
      </c>
      <c r="D230" s="1394"/>
      <c r="E230" s="1395"/>
      <c r="F230" s="1396"/>
      <c r="G230" s="1397"/>
      <c r="H230" s="1398"/>
      <c r="I230" s="1399"/>
      <c r="J230" s="1397"/>
      <c r="K230" s="1398"/>
      <c r="L230" s="1399"/>
      <c r="M230" s="1400"/>
      <c r="N230" s="1397"/>
      <c r="O230" s="1401"/>
      <c r="P230" s="1401"/>
    </row>
    <row r="231" spans="2:16" ht="29.25" customHeight="1" x14ac:dyDescent="0.3">
      <c r="B231" s="1414" t="s">
        <v>412</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x14ac:dyDescent="0.3">
      <c r="B232" s="1392"/>
      <c r="C232" s="1393" t="s">
        <v>1362</v>
      </c>
      <c r="D232" s="1394"/>
      <c r="E232" s="1395"/>
      <c r="F232" s="1396"/>
      <c r="G232" s="1397"/>
      <c r="H232" s="1398"/>
      <c r="I232" s="1399"/>
      <c r="J232" s="1397"/>
      <c r="K232" s="1398"/>
      <c r="L232" s="1399"/>
      <c r="M232" s="1400"/>
      <c r="N232" s="1397"/>
      <c r="O232" s="1401"/>
      <c r="P232" s="1401"/>
    </row>
    <row r="233" spans="2:16" x14ac:dyDescent="0.3">
      <c r="B233" s="1392"/>
      <c r="C233" s="1393" t="s">
        <v>1362</v>
      </c>
      <c r="D233" s="1394"/>
      <c r="E233" s="1395"/>
      <c r="F233" s="1396"/>
      <c r="G233" s="1397"/>
      <c r="H233" s="1398"/>
      <c r="I233" s="1399"/>
      <c r="J233" s="1397"/>
      <c r="K233" s="1398"/>
      <c r="L233" s="1399"/>
      <c r="M233" s="1400"/>
      <c r="N233" s="1397"/>
      <c r="O233" s="1401"/>
      <c r="P233" s="1401"/>
    </row>
    <row r="234" spans="2:16" x14ac:dyDescent="0.3">
      <c r="B234" s="1392"/>
      <c r="C234" s="1393" t="s">
        <v>1362</v>
      </c>
      <c r="D234" s="1394"/>
      <c r="E234" s="1395"/>
      <c r="F234" s="1396"/>
      <c r="G234" s="1397"/>
      <c r="H234" s="1398"/>
      <c r="I234" s="1399"/>
      <c r="J234" s="1397"/>
      <c r="K234" s="1398"/>
      <c r="L234" s="1399"/>
      <c r="M234" s="1400"/>
      <c r="N234" s="1397"/>
      <c r="O234" s="1401"/>
      <c r="P234" s="1401"/>
    </row>
    <row r="235" spans="2:16" ht="27" x14ac:dyDescent="0.3">
      <c r="B235" s="1414" t="s">
        <v>413</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x14ac:dyDescent="0.3">
      <c r="B236" s="1392"/>
      <c r="C236" s="1393" t="s">
        <v>1362</v>
      </c>
      <c r="D236" s="1394"/>
      <c r="E236" s="1395"/>
      <c r="F236" s="1396"/>
      <c r="G236" s="1397"/>
      <c r="H236" s="1398"/>
      <c r="I236" s="1399"/>
      <c r="J236" s="1397"/>
      <c r="K236" s="1398"/>
      <c r="L236" s="1399"/>
      <c r="M236" s="1400"/>
      <c r="N236" s="1397"/>
      <c r="O236" s="1401"/>
      <c r="P236" s="1401"/>
    </row>
    <row r="237" spans="2:16" x14ac:dyDescent="0.3">
      <c r="B237" s="1392"/>
      <c r="C237" s="1393" t="s">
        <v>1362</v>
      </c>
      <c r="D237" s="1394"/>
      <c r="E237" s="1395"/>
      <c r="F237" s="1396"/>
      <c r="G237" s="1397"/>
      <c r="H237" s="1398"/>
      <c r="I237" s="1399"/>
      <c r="J237" s="1397"/>
      <c r="K237" s="1398"/>
      <c r="L237" s="1399"/>
      <c r="M237" s="1400"/>
      <c r="N237" s="1397"/>
      <c r="O237" s="1401"/>
      <c r="P237" s="1401"/>
    </row>
    <row r="238" spans="2:16" x14ac:dyDescent="0.3">
      <c r="B238" s="1392"/>
      <c r="C238" s="1393" t="s">
        <v>1362</v>
      </c>
      <c r="D238" s="1394"/>
      <c r="E238" s="1395"/>
      <c r="F238" s="1396"/>
      <c r="G238" s="1397"/>
      <c r="H238" s="1398"/>
      <c r="I238" s="1399"/>
      <c r="J238" s="1397"/>
      <c r="K238" s="1398"/>
      <c r="L238" s="1399"/>
      <c r="M238" s="1400"/>
      <c r="N238" s="1397"/>
      <c r="O238" s="1401"/>
      <c r="P238" s="1401"/>
    </row>
    <row r="239" spans="2:16" ht="27" x14ac:dyDescent="0.3">
      <c r="B239" s="1414" t="s">
        <v>414</v>
      </c>
      <c r="C239" s="1419" t="s">
        <v>608</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x14ac:dyDescent="0.3">
      <c r="B240" s="1392"/>
      <c r="C240" s="1393" t="s">
        <v>1362</v>
      </c>
      <c r="D240" s="1394"/>
      <c r="E240" s="1395"/>
      <c r="F240" s="1396"/>
      <c r="G240" s="1397"/>
      <c r="H240" s="1398"/>
      <c r="I240" s="1399"/>
      <c r="J240" s="1397"/>
      <c r="K240" s="1398"/>
      <c r="L240" s="1399"/>
      <c r="M240" s="1400"/>
      <c r="N240" s="1397"/>
      <c r="O240" s="1401"/>
      <c r="P240" s="1401"/>
    </row>
    <row r="241" spans="2:16" x14ac:dyDescent="0.3">
      <c r="B241" s="1392"/>
      <c r="C241" s="1393" t="s">
        <v>1362</v>
      </c>
      <c r="D241" s="1394"/>
      <c r="E241" s="1395"/>
      <c r="F241" s="1396"/>
      <c r="G241" s="1397"/>
      <c r="H241" s="1398"/>
      <c r="I241" s="1399"/>
      <c r="J241" s="1397"/>
      <c r="K241" s="1398"/>
      <c r="L241" s="1399"/>
      <c r="M241" s="1400"/>
      <c r="N241" s="1397"/>
      <c r="O241" s="1401"/>
      <c r="P241" s="1401"/>
    </row>
    <row r="242" spans="2:16" x14ac:dyDescent="0.3">
      <c r="B242" s="1392"/>
      <c r="C242" s="1393" t="s">
        <v>1362</v>
      </c>
      <c r="D242" s="1394"/>
      <c r="E242" s="1395"/>
      <c r="F242" s="1396"/>
      <c r="G242" s="1397"/>
      <c r="H242" s="1398"/>
      <c r="I242" s="1399"/>
      <c r="J242" s="1397"/>
      <c r="K242" s="1398"/>
      <c r="L242" s="1399"/>
      <c r="M242" s="1400"/>
      <c r="N242" s="1397"/>
      <c r="O242" s="1401"/>
      <c r="P242" s="1401"/>
    </row>
    <row r="243" spans="2:16" x14ac:dyDescent="0.3">
      <c r="B243" s="1411" t="s">
        <v>415</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x14ac:dyDescent="0.3">
      <c r="B244" s="1414" t="s">
        <v>627</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x14ac:dyDescent="0.3">
      <c r="B245" s="1392"/>
      <c r="C245" s="1393" t="s">
        <v>1362</v>
      </c>
      <c r="D245" s="1394"/>
      <c r="E245" s="1395"/>
      <c r="F245" s="1396"/>
      <c r="G245" s="1432"/>
      <c r="H245" s="1433"/>
      <c r="I245" s="1434"/>
      <c r="J245" s="1432"/>
      <c r="K245" s="1433"/>
      <c r="L245" s="1434"/>
      <c r="M245" s="1435"/>
      <c r="N245" s="1432"/>
      <c r="O245" s="1436"/>
      <c r="P245" s="1436"/>
    </row>
    <row r="246" spans="2:16" x14ac:dyDescent="0.3">
      <c r="B246" s="1392"/>
      <c r="C246" s="1393" t="s">
        <v>1362</v>
      </c>
      <c r="D246" s="1394"/>
      <c r="E246" s="1430"/>
      <c r="F246" s="1431"/>
      <c r="G246" s="1432"/>
      <c r="H246" s="1433"/>
      <c r="I246" s="1434"/>
      <c r="J246" s="1432"/>
      <c r="K246" s="1433"/>
      <c r="L246" s="1434"/>
      <c r="M246" s="1435"/>
      <c r="N246" s="1432"/>
      <c r="O246" s="1436"/>
      <c r="P246" s="1436"/>
    </row>
    <row r="247" spans="2:16" x14ac:dyDescent="0.3">
      <c r="B247" s="1392"/>
      <c r="C247" s="1393" t="s">
        <v>1362</v>
      </c>
      <c r="D247" s="1394"/>
      <c r="E247" s="1430"/>
      <c r="F247" s="1431"/>
      <c r="G247" s="1437"/>
      <c r="H247" s="1438"/>
      <c r="I247" s="1439"/>
      <c r="J247" s="1437"/>
      <c r="K247" s="1438"/>
      <c r="L247" s="1439"/>
      <c r="M247" s="1440"/>
      <c r="N247" s="1437"/>
      <c r="O247" s="1441"/>
      <c r="P247" s="1441"/>
    </row>
    <row r="248" spans="2:16" ht="27" x14ac:dyDescent="0.3">
      <c r="B248" s="1414" t="s">
        <v>628</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x14ac:dyDescent="0.3">
      <c r="B249" s="1392"/>
      <c r="C249" s="1393" t="s">
        <v>1362</v>
      </c>
      <c r="D249" s="1394"/>
      <c r="E249" s="1395"/>
      <c r="F249" s="1396"/>
      <c r="G249" s="1437"/>
      <c r="H249" s="1438"/>
      <c r="I249" s="1439"/>
      <c r="J249" s="1437"/>
      <c r="K249" s="1438"/>
      <c r="L249" s="1439"/>
      <c r="M249" s="1440"/>
      <c r="N249" s="1437"/>
      <c r="O249" s="1441"/>
      <c r="P249" s="1441"/>
    </row>
    <row r="250" spans="2:16" x14ac:dyDescent="0.3">
      <c r="B250" s="1392"/>
      <c r="C250" s="1393" t="s">
        <v>1362</v>
      </c>
      <c r="D250" s="1394"/>
      <c r="E250" s="1444"/>
      <c r="F250" s="1445"/>
      <c r="G250" s="1437"/>
      <c r="H250" s="1438"/>
      <c r="I250" s="1439"/>
      <c r="J250" s="1437"/>
      <c r="K250" s="1438"/>
      <c r="L250" s="1439"/>
      <c r="M250" s="1440"/>
      <c r="N250" s="1437"/>
      <c r="O250" s="1441"/>
      <c r="P250" s="1441"/>
    </row>
    <row r="251" spans="2:16" x14ac:dyDescent="0.3">
      <c r="B251" s="1392"/>
      <c r="C251" s="1393" t="s">
        <v>1362</v>
      </c>
      <c r="D251" s="1394"/>
      <c r="E251" s="1444"/>
      <c r="F251" s="1445"/>
      <c r="G251" s="1437"/>
      <c r="H251" s="1438"/>
      <c r="I251" s="1439"/>
      <c r="J251" s="1437"/>
      <c r="K251" s="1438"/>
      <c r="L251" s="1439"/>
      <c r="M251" s="1440"/>
      <c r="N251" s="1437"/>
      <c r="O251" s="1441"/>
      <c r="P251" s="1441"/>
    </row>
    <row r="252" spans="2:16" x14ac:dyDescent="0.3">
      <c r="B252" s="1411" t="s">
        <v>416</v>
      </c>
      <c r="C252" s="1412" t="s">
        <v>609</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x14ac:dyDescent="0.3">
      <c r="B253" s="1392"/>
      <c r="C253" s="1393" t="s">
        <v>1363</v>
      </c>
      <c r="D253" s="1394"/>
      <c r="E253" s="1451"/>
      <c r="F253" s="1452"/>
      <c r="G253" s="1453"/>
      <c r="H253" s="1454"/>
      <c r="I253" s="1455"/>
      <c r="J253" s="1453"/>
      <c r="K253" s="1454"/>
      <c r="L253" s="1455"/>
      <c r="M253" s="1456"/>
      <c r="N253" s="1453"/>
      <c r="O253" s="1457"/>
      <c r="P253" s="1457"/>
    </row>
    <row r="254" spans="2:16" x14ac:dyDescent="0.3">
      <c r="B254" s="1392"/>
      <c r="C254" s="1393" t="s">
        <v>1363</v>
      </c>
      <c r="D254" s="1394"/>
      <c r="E254" s="1451"/>
      <c r="F254" s="1452"/>
      <c r="G254" s="1453"/>
      <c r="H254" s="1454"/>
      <c r="I254" s="1455"/>
      <c r="J254" s="1453"/>
      <c r="K254" s="1454"/>
      <c r="L254" s="1455"/>
      <c r="M254" s="1456"/>
      <c r="N254" s="1453"/>
      <c r="O254" s="1457"/>
      <c r="P254" s="1457"/>
    </row>
    <row r="255" spans="2:16" x14ac:dyDescent="0.3">
      <c r="B255" s="1458"/>
      <c r="C255" s="1459" t="s">
        <v>1363</v>
      </c>
      <c r="D255" s="1460"/>
      <c r="E255" s="1461"/>
      <c r="F255" s="1462"/>
      <c r="G255" s="1463"/>
      <c r="H255" s="1464"/>
      <c r="I255" s="1465"/>
      <c r="J255" s="1463"/>
      <c r="K255" s="1464"/>
      <c r="L255" s="1465"/>
      <c r="M255" s="1466"/>
      <c r="N255" s="1463"/>
      <c r="O255" s="1467"/>
      <c r="P255" s="1467"/>
    </row>
    <row r="257" spans="2:15" x14ac:dyDescent="0.3">
      <c r="B257" s="1504" t="s">
        <v>1364</v>
      </c>
      <c r="C257" s="1504"/>
      <c r="D257" s="1504"/>
      <c r="E257" s="1504"/>
      <c r="F257" s="1504"/>
      <c r="G257" s="1504"/>
      <c r="H257" s="1504"/>
      <c r="I257" s="1504"/>
      <c r="J257" s="1504"/>
      <c r="K257" s="1504"/>
      <c r="L257" s="1504"/>
      <c r="M257" s="1505"/>
      <c r="N257" s="1505"/>
      <c r="O257" s="1505"/>
    </row>
    <row r="258" spans="2:15" ht="39" customHeight="1" x14ac:dyDescent="0.3">
      <c r="B258" s="1504"/>
      <c r="C258" s="1504"/>
      <c r="D258" s="1504"/>
      <c r="E258" s="1504"/>
      <c r="F258" s="1504"/>
      <c r="G258" s="1504"/>
      <c r="H258" s="1504"/>
      <c r="I258" s="1504"/>
      <c r="J258" s="1504"/>
      <c r="K258" s="1504"/>
      <c r="L258" s="1504"/>
      <c r="M258" s="1505"/>
      <c r="N258" s="1505"/>
      <c r="O258" s="1505"/>
    </row>
    <row r="259" spans="2:15" ht="72" customHeight="1" x14ac:dyDescent="0.3">
      <c r="B259" s="1506" t="s">
        <v>1365</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1"/>
  <sheetViews>
    <sheetView zoomScale="93" zoomScaleNormal="93" workbookViewId="0"/>
  </sheetViews>
  <sheetFormatPr defaultColWidth="9.109375" defaultRowHeight="13.8" x14ac:dyDescent="0.25"/>
  <cols>
    <col min="1" max="1" width="9.109375" style="35"/>
    <col min="2" max="2" width="6.6640625" style="35" customWidth="1"/>
    <col min="3" max="3" width="71.33203125" style="35" customWidth="1"/>
    <col min="4" max="4" width="22.109375" style="35" customWidth="1"/>
    <col min="5" max="5" width="32" style="35" customWidth="1"/>
    <col min="6" max="6" width="9.109375" style="35"/>
    <col min="7" max="7" width="49.33203125" style="35" customWidth="1"/>
    <col min="8" max="16384" width="9.109375" style="35"/>
  </cols>
  <sheetData>
    <row r="1" spans="1:4" x14ac:dyDescent="0.25">
      <c r="A1" s="36" t="s">
        <v>0</v>
      </c>
      <c r="B1" s="37"/>
      <c r="C1" s="37"/>
      <c r="D1" s="37"/>
    </row>
    <row r="2" spans="1:4" x14ac:dyDescent="0.25">
      <c r="A2" s="36" t="s">
        <v>1</v>
      </c>
      <c r="B2" s="37"/>
      <c r="C2" s="37"/>
      <c r="D2" s="37"/>
    </row>
    <row r="3" spans="1:4" x14ac:dyDescent="0.25">
      <c r="A3" s="37"/>
      <c r="B3" s="37"/>
      <c r="C3" s="37"/>
      <c r="D3" s="37"/>
    </row>
    <row r="4" spans="1:4" x14ac:dyDescent="0.25">
      <c r="A4" s="37"/>
      <c r="B4" s="37"/>
      <c r="C4" s="37"/>
      <c r="D4" s="37"/>
    </row>
    <row r="5" spans="1:4" x14ac:dyDescent="0.25">
      <c r="A5" s="38" t="s">
        <v>58</v>
      </c>
      <c r="B5" s="37"/>
      <c r="C5" s="37"/>
      <c r="D5" s="37"/>
    </row>
    <row r="6" spans="1:4" x14ac:dyDescent="0.25">
      <c r="A6" s="1470" t="s">
        <v>59</v>
      </c>
      <c r="B6" s="1471"/>
      <c r="C6" s="1471"/>
      <c r="D6" s="1471"/>
    </row>
    <row r="7" spans="1:4" x14ac:dyDescent="0.25">
      <c r="A7" s="1471"/>
      <c r="B7" s="1471"/>
      <c r="C7" s="1471"/>
      <c r="D7" s="1471"/>
    </row>
    <row r="8" spans="1:4" x14ac:dyDescent="0.25">
      <c r="A8" s="37"/>
      <c r="B8" s="37"/>
      <c r="C8" s="37"/>
      <c r="D8" s="37"/>
    </row>
    <row r="9" spans="1:4" ht="48.75" customHeight="1" x14ac:dyDescent="0.25">
      <c r="B9" s="1469" t="s">
        <v>60</v>
      </c>
      <c r="C9" s="1469"/>
      <c r="D9" s="1469"/>
    </row>
    <row r="10" spans="1:4" ht="12.6" customHeight="1" x14ac:dyDescent="0.25">
      <c r="B10" s="39"/>
      <c r="C10" s="39"/>
      <c r="D10" s="39"/>
    </row>
    <row r="11" spans="1:4" x14ac:dyDescent="0.25">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03"/>
  <sheetViews>
    <sheetView topLeftCell="A93" zoomScale="85" zoomScaleNormal="85" workbookViewId="0">
      <selection activeCell="C115" sqref="C115"/>
    </sheetView>
  </sheetViews>
  <sheetFormatPr defaultColWidth="9.109375" defaultRowHeight="13.8" x14ac:dyDescent="0.25"/>
  <cols>
    <col min="1" max="2" width="9.109375" style="42"/>
    <col min="3" max="3" width="67.88671875" style="42" customWidth="1"/>
    <col min="4" max="4" width="22.5546875" style="42" customWidth="1"/>
    <col min="5" max="5" width="20.109375" style="42" customWidth="1"/>
    <col min="6" max="6" width="18.109375" style="42" customWidth="1"/>
    <col min="7" max="7" width="10.5546875" style="43" customWidth="1"/>
    <col min="8" max="8" width="32.109375" style="43" bestFit="1" customWidth="1"/>
    <col min="9" max="9" width="11.33203125" style="42" customWidth="1"/>
    <col min="10" max="16384" width="9.109375" style="42"/>
  </cols>
  <sheetData>
    <row r="1" spans="1:12" x14ac:dyDescent="0.25">
      <c r="A1" s="44" t="s">
        <v>0</v>
      </c>
      <c r="B1" s="45"/>
      <c r="C1" s="45"/>
      <c r="D1" s="45"/>
      <c r="E1" s="45"/>
      <c r="F1" s="45"/>
      <c r="G1" s="46"/>
      <c r="H1" s="46"/>
      <c r="I1" s="45"/>
      <c r="J1" s="45"/>
      <c r="K1" s="45"/>
      <c r="L1" s="45"/>
    </row>
    <row r="2" spans="1:12" x14ac:dyDescent="0.25">
      <c r="A2" s="44" t="s">
        <v>1</v>
      </c>
      <c r="B2" s="45"/>
      <c r="C2" s="45"/>
      <c r="D2" s="45"/>
      <c r="E2" s="45"/>
      <c r="F2" s="45"/>
      <c r="G2" s="46"/>
      <c r="H2" s="46"/>
      <c r="I2" s="45"/>
      <c r="J2" s="45"/>
      <c r="K2" s="45"/>
      <c r="L2" s="45"/>
    </row>
    <row r="3" spans="1:12" x14ac:dyDescent="0.25">
      <c r="A3" s="45"/>
      <c r="B3" s="45"/>
      <c r="C3" s="45"/>
      <c r="D3" s="45"/>
      <c r="E3" s="45"/>
      <c r="F3" s="45"/>
      <c r="G3" s="46"/>
      <c r="H3" s="46"/>
      <c r="I3" s="45"/>
      <c r="J3" s="45"/>
      <c r="K3" s="45"/>
      <c r="L3" s="45"/>
    </row>
    <row r="4" spans="1:12" x14ac:dyDescent="0.25">
      <c r="A4" s="45"/>
      <c r="B4" s="45"/>
      <c r="C4" s="45"/>
      <c r="D4" s="45"/>
      <c r="E4" s="45"/>
      <c r="F4" s="45"/>
      <c r="G4" s="46"/>
      <c r="H4" s="46"/>
      <c r="I4" s="45"/>
      <c r="J4" s="45"/>
      <c r="K4" s="45"/>
      <c r="L4" s="45"/>
    </row>
    <row r="5" spans="1:12" x14ac:dyDescent="0.25">
      <c r="A5" s="47" t="s">
        <v>62</v>
      </c>
      <c r="B5" s="45"/>
      <c r="C5" s="45"/>
      <c r="D5" s="45"/>
      <c r="E5" s="45"/>
      <c r="F5" s="45"/>
      <c r="G5" s="46"/>
      <c r="H5" s="46"/>
      <c r="I5" s="45"/>
      <c r="J5" s="45"/>
      <c r="K5" s="45"/>
      <c r="L5" s="45"/>
    </row>
    <row r="6" spans="1:12" x14ac:dyDescent="0.25">
      <c r="A6" s="45"/>
      <c r="B6" s="45"/>
      <c r="C6" s="45"/>
      <c r="D6" s="45"/>
      <c r="E6" s="45"/>
      <c r="F6" s="45"/>
      <c r="G6" s="46"/>
      <c r="H6" s="46"/>
      <c r="I6" s="45"/>
      <c r="J6" s="45"/>
      <c r="K6" s="45"/>
      <c r="L6" s="45"/>
    </row>
    <row r="8" spans="1:12" ht="19.5" customHeight="1" x14ac:dyDescent="0.25">
      <c r="B8" s="1468" t="s">
        <v>63</v>
      </c>
      <c r="C8" s="1468"/>
      <c r="D8" s="1468"/>
      <c r="E8" s="1468"/>
    </row>
    <row r="9" spans="1:12" x14ac:dyDescent="0.25">
      <c r="B9" s="48" t="s">
        <v>4</v>
      </c>
      <c r="C9" s="49" t="s">
        <v>64</v>
      </c>
      <c r="D9" s="50" t="s">
        <v>65</v>
      </c>
      <c r="E9" s="51" t="s">
        <v>66</v>
      </c>
    </row>
    <row r="10" spans="1:12" x14ac:dyDescent="0.25">
      <c r="B10" s="52" t="s">
        <v>7</v>
      </c>
      <c r="C10" s="53" t="s">
        <v>67</v>
      </c>
      <c r="D10" s="54"/>
      <c r="E10" s="55"/>
    </row>
    <row r="11" spans="1:12" ht="22.8" x14ac:dyDescent="0.25">
      <c r="B11" s="52" t="s">
        <v>68</v>
      </c>
      <c r="C11" s="53" t="s">
        <v>69</v>
      </c>
      <c r="D11" s="56">
        <f>D12+D15+D31</f>
        <v>1761.8892034000003</v>
      </c>
      <c r="E11" s="57"/>
      <c r="I11" s="58"/>
    </row>
    <row r="12" spans="1:12" x14ac:dyDescent="0.25">
      <c r="B12" s="59" t="s">
        <v>70</v>
      </c>
      <c r="C12" s="60" t="s">
        <v>71</v>
      </c>
      <c r="D12" s="61">
        <f>SUM(D13:D14)</f>
        <v>663.66419159999998</v>
      </c>
      <c r="E12" s="62"/>
    </row>
    <row r="13" spans="1:12" x14ac:dyDescent="0.25">
      <c r="B13" s="63" t="s">
        <v>72</v>
      </c>
      <c r="C13" s="64" t="s">
        <v>73</v>
      </c>
      <c r="D13" s="65">
        <v>655.88453159999995</v>
      </c>
      <c r="E13" s="66"/>
    </row>
    <row r="14" spans="1:12" x14ac:dyDescent="0.25">
      <c r="B14" s="67" t="s">
        <v>74</v>
      </c>
      <c r="C14" s="68" t="s">
        <v>75</v>
      </c>
      <c r="D14" s="69">
        <v>7.7796599999999998</v>
      </c>
      <c r="E14" s="70"/>
    </row>
    <row r="15" spans="1:12" x14ac:dyDescent="0.25">
      <c r="B15" s="59" t="s">
        <v>76</v>
      </c>
      <c r="C15" s="60" t="s">
        <v>77</v>
      </c>
      <c r="D15" s="61">
        <f>D16+D20+D26</f>
        <v>1036.3200401000001</v>
      </c>
      <c r="E15" s="62"/>
    </row>
    <row r="16" spans="1:12" ht="17.25" customHeight="1" x14ac:dyDescent="0.25">
      <c r="B16" s="71" t="s">
        <v>78</v>
      </c>
      <c r="C16" s="72" t="s">
        <v>79</v>
      </c>
      <c r="D16" s="73">
        <f>SUM(D17:D19)</f>
        <v>427.74864990000003</v>
      </c>
      <c r="E16" s="66"/>
    </row>
    <row r="17" spans="2:12" x14ac:dyDescent="0.25">
      <c r="B17" s="63" t="s">
        <v>80</v>
      </c>
      <c r="C17" s="64" t="s">
        <v>81</v>
      </c>
      <c r="D17" s="65">
        <v>427.74864990000003</v>
      </c>
      <c r="E17" s="66"/>
    </row>
    <row r="18" spans="2:12" x14ac:dyDescent="0.25">
      <c r="B18" s="63" t="s">
        <v>82</v>
      </c>
      <c r="C18" s="64" t="s">
        <v>83</v>
      </c>
      <c r="D18" s="65">
        <v>0</v>
      </c>
      <c r="E18" s="66"/>
    </row>
    <row r="19" spans="2:12" x14ac:dyDescent="0.25">
      <c r="B19" s="63" t="s">
        <v>84</v>
      </c>
      <c r="C19" s="64" t="s">
        <v>75</v>
      </c>
      <c r="D19" s="65">
        <v>0</v>
      </c>
      <c r="E19" s="66"/>
      <c r="L19" s="42" t="s">
        <v>85</v>
      </c>
    </row>
    <row r="20" spans="2:12" x14ac:dyDescent="0.25">
      <c r="B20" s="71" t="s">
        <v>86</v>
      </c>
      <c r="C20" s="72" t="s">
        <v>87</v>
      </c>
      <c r="D20" s="73">
        <f>SUM(D21:D25)</f>
        <v>506.32601220000004</v>
      </c>
      <c r="E20" s="66"/>
    </row>
    <row r="21" spans="2:12" x14ac:dyDescent="0.25">
      <c r="B21" s="63" t="s">
        <v>88</v>
      </c>
      <c r="C21" s="64" t="s">
        <v>89</v>
      </c>
      <c r="D21" s="65">
        <v>503.96027220000002</v>
      </c>
      <c r="E21" s="66"/>
    </row>
    <row r="22" spans="2:12" x14ac:dyDescent="0.25">
      <c r="B22" s="63" t="s">
        <v>90</v>
      </c>
      <c r="C22" s="64" t="s">
        <v>91</v>
      </c>
      <c r="D22" s="65">
        <v>0</v>
      </c>
      <c r="E22" s="66"/>
    </row>
    <row r="23" spans="2:12" x14ac:dyDescent="0.25">
      <c r="B23" s="63" t="s">
        <v>92</v>
      </c>
      <c r="C23" s="64" t="s">
        <v>83</v>
      </c>
      <c r="D23" s="65">
        <v>0</v>
      </c>
      <c r="E23" s="66"/>
    </row>
    <row r="24" spans="2:12" x14ac:dyDescent="0.25">
      <c r="B24" s="63" t="s">
        <v>93</v>
      </c>
      <c r="C24" s="64" t="s">
        <v>75</v>
      </c>
      <c r="D24" s="65">
        <v>2.3657399999999997</v>
      </c>
      <c r="E24" s="66"/>
    </row>
    <row r="25" spans="2:12" x14ac:dyDescent="0.25">
      <c r="B25" s="63" t="s">
        <v>94</v>
      </c>
      <c r="C25" s="64" t="s">
        <v>95</v>
      </c>
      <c r="D25" s="65">
        <v>0</v>
      </c>
      <c r="E25" s="66"/>
    </row>
    <row r="26" spans="2:12" x14ac:dyDescent="0.25">
      <c r="B26" s="71" t="s">
        <v>96</v>
      </c>
      <c r="C26" s="72" t="s">
        <v>97</v>
      </c>
      <c r="D26" s="73">
        <f>SUM(D27:D30)</f>
        <v>102.24537800000002</v>
      </c>
      <c r="E26" s="66"/>
    </row>
    <row r="27" spans="2:12" x14ac:dyDescent="0.25">
      <c r="B27" s="63" t="s">
        <v>98</v>
      </c>
      <c r="C27" s="64" t="s">
        <v>99</v>
      </c>
      <c r="D27" s="65">
        <v>102.24537800000002</v>
      </c>
      <c r="E27" s="66"/>
    </row>
    <row r="28" spans="2:12" x14ac:dyDescent="0.25">
      <c r="B28" s="63" t="s">
        <v>100</v>
      </c>
      <c r="C28" s="64" t="s">
        <v>101</v>
      </c>
      <c r="D28" s="65">
        <v>0</v>
      </c>
      <c r="E28" s="66"/>
    </row>
    <row r="29" spans="2:12" x14ac:dyDescent="0.25">
      <c r="B29" s="63" t="s">
        <v>102</v>
      </c>
      <c r="C29" s="68" t="s">
        <v>83</v>
      </c>
      <c r="D29" s="69">
        <v>0</v>
      </c>
      <c r="E29" s="70"/>
    </row>
    <row r="30" spans="2:12" x14ac:dyDescent="0.25">
      <c r="B30" s="67" t="s">
        <v>103</v>
      </c>
      <c r="C30" s="68" t="s">
        <v>75</v>
      </c>
      <c r="D30" s="69">
        <v>0</v>
      </c>
      <c r="E30" s="70"/>
    </row>
    <row r="31" spans="2:12" x14ac:dyDescent="0.25">
      <c r="B31" s="59" t="s">
        <v>104</v>
      </c>
      <c r="C31" s="60" t="s">
        <v>105</v>
      </c>
      <c r="D31" s="74">
        <f>SUM(D32+D33)</f>
        <v>61.904971699999997</v>
      </c>
      <c r="E31" s="62"/>
    </row>
    <row r="32" spans="2:12" ht="24" x14ac:dyDescent="0.25">
      <c r="B32" s="63" t="s">
        <v>106</v>
      </c>
      <c r="C32" s="64" t="s">
        <v>107</v>
      </c>
      <c r="D32" s="65">
        <v>61.904971699999997</v>
      </c>
      <c r="E32" s="66"/>
    </row>
    <row r="33" spans="2:9" x14ac:dyDescent="0.25">
      <c r="B33" s="63" t="s">
        <v>108</v>
      </c>
      <c r="C33" s="68" t="s">
        <v>75</v>
      </c>
      <c r="D33" s="69">
        <v>0</v>
      </c>
      <c r="E33" s="70"/>
    </row>
    <row r="34" spans="2:9" x14ac:dyDescent="0.25">
      <c r="B34" s="59" t="s">
        <v>109</v>
      </c>
      <c r="C34" s="75" t="s">
        <v>110</v>
      </c>
      <c r="D34" s="61">
        <f>D35+D40</f>
        <v>307.09349000000003</v>
      </c>
      <c r="E34" s="62"/>
    </row>
    <row r="35" spans="2:9" x14ac:dyDescent="0.25">
      <c r="B35" s="71" t="s">
        <v>111</v>
      </c>
      <c r="C35" s="72" t="s">
        <v>112</v>
      </c>
      <c r="D35" s="73">
        <f>SUM(D36:D39)</f>
        <v>160.62292000000002</v>
      </c>
      <c r="E35" s="66"/>
    </row>
    <row r="36" spans="2:9" x14ac:dyDescent="0.25">
      <c r="B36" s="63" t="s">
        <v>113</v>
      </c>
      <c r="C36" s="64" t="s">
        <v>114</v>
      </c>
      <c r="D36" s="65">
        <v>160.62292000000002</v>
      </c>
      <c r="E36" s="66"/>
    </row>
    <row r="37" spans="2:9" x14ac:dyDescent="0.25">
      <c r="B37" s="63" t="s">
        <v>115</v>
      </c>
      <c r="C37" s="64" t="s">
        <v>116</v>
      </c>
      <c r="D37" s="65">
        <v>0</v>
      </c>
      <c r="E37" s="66"/>
    </row>
    <row r="38" spans="2:9" x14ac:dyDescent="0.25">
      <c r="B38" s="63" t="s">
        <v>117</v>
      </c>
      <c r="C38" s="64" t="s">
        <v>118</v>
      </c>
      <c r="D38" s="65">
        <v>0</v>
      </c>
      <c r="E38" s="66"/>
    </row>
    <row r="39" spans="2:9" x14ac:dyDescent="0.25">
      <c r="B39" s="63" t="s">
        <v>119</v>
      </c>
      <c r="C39" s="64" t="s">
        <v>75</v>
      </c>
      <c r="D39" s="65">
        <v>0</v>
      </c>
      <c r="E39" s="66"/>
    </row>
    <row r="40" spans="2:9" x14ac:dyDescent="0.25">
      <c r="B40" s="71" t="s">
        <v>120</v>
      </c>
      <c r="C40" s="72" t="s">
        <v>121</v>
      </c>
      <c r="D40" s="73">
        <f>SUM(D41:D43)</f>
        <v>146.47057000000001</v>
      </c>
      <c r="E40" s="66"/>
    </row>
    <row r="41" spans="2:9" x14ac:dyDescent="0.25">
      <c r="B41" s="63" t="s">
        <v>122</v>
      </c>
      <c r="C41" s="64" t="s">
        <v>123</v>
      </c>
      <c r="D41" s="76">
        <v>136.32517000000001</v>
      </c>
      <c r="E41" s="66"/>
    </row>
    <row r="42" spans="2:9" x14ac:dyDescent="0.25">
      <c r="B42" s="67" t="s">
        <v>124</v>
      </c>
      <c r="C42" s="68" t="s">
        <v>75</v>
      </c>
      <c r="D42" s="69">
        <v>10.145399999999999</v>
      </c>
      <c r="E42" s="70"/>
    </row>
    <row r="43" spans="2:9" x14ac:dyDescent="0.25">
      <c r="B43" s="67" t="s">
        <v>125</v>
      </c>
      <c r="C43" s="68" t="s">
        <v>95</v>
      </c>
      <c r="D43" s="69">
        <v>0</v>
      </c>
      <c r="E43" s="70"/>
    </row>
    <row r="44" spans="2:9" x14ac:dyDescent="0.25">
      <c r="B44" s="77" t="s">
        <v>126</v>
      </c>
      <c r="C44" s="78" t="s">
        <v>127</v>
      </c>
      <c r="D44" s="79">
        <f>D45+D52</f>
        <v>1703.2293262057233</v>
      </c>
      <c r="E44" s="80" t="s">
        <v>128</v>
      </c>
      <c r="F44" s="81"/>
      <c r="I44" s="58"/>
    </row>
    <row r="45" spans="2:9" ht="22.8" x14ac:dyDescent="0.25">
      <c r="B45" s="59" t="s">
        <v>129</v>
      </c>
      <c r="C45" s="75" t="s">
        <v>130</v>
      </c>
      <c r="D45" s="82">
        <f>D46+D47+D51</f>
        <v>1488.2606933659824</v>
      </c>
      <c r="E45" s="62" t="s">
        <v>128</v>
      </c>
      <c r="F45" s="81"/>
      <c r="I45" s="58"/>
    </row>
    <row r="46" spans="2:9" x14ac:dyDescent="0.25">
      <c r="B46" s="63" t="s">
        <v>131</v>
      </c>
      <c r="C46" s="83" t="s">
        <v>132</v>
      </c>
      <c r="D46" s="84">
        <f>VAS073_F_Visospaskirsto13IsViso</f>
        <v>501.24464960047965</v>
      </c>
      <c r="E46" s="66" t="s">
        <v>128</v>
      </c>
    </row>
    <row r="47" spans="2:9" x14ac:dyDescent="0.25">
      <c r="B47" s="63" t="s">
        <v>133</v>
      </c>
      <c r="C47" s="83" t="s">
        <v>134</v>
      </c>
      <c r="D47" s="84">
        <f>VAS073_F_Visospaskirsto14IsViso</f>
        <v>948.22972511896251</v>
      </c>
      <c r="E47" s="66" t="s">
        <v>128</v>
      </c>
    </row>
    <row r="48" spans="2:9" s="1" customFormat="1" x14ac:dyDescent="0.25">
      <c r="B48" s="85" t="s">
        <v>135</v>
      </c>
      <c r="C48" s="86" t="s">
        <v>136</v>
      </c>
      <c r="D48" s="87">
        <f>VAS073_F_Visospaskirsto141NuotekuSurinkimas</f>
        <v>358.53359237518566</v>
      </c>
      <c r="E48" s="88" t="s">
        <v>128</v>
      </c>
      <c r="G48" s="89"/>
      <c r="H48" s="89"/>
    </row>
    <row r="49" spans="2:9" s="1" customFormat="1" x14ac:dyDescent="0.25">
      <c r="B49" s="85" t="s">
        <v>137</v>
      </c>
      <c r="C49" s="86" t="s">
        <v>138</v>
      </c>
      <c r="D49" s="87">
        <f>VAS073_F_Visospaskirsto142NuotekuValymas</f>
        <v>488.85372980518571</v>
      </c>
      <c r="E49" s="88" t="s">
        <v>128</v>
      </c>
      <c r="G49" s="89"/>
      <c r="H49" s="89"/>
    </row>
    <row r="50" spans="2:9" s="1" customFormat="1" x14ac:dyDescent="0.25">
      <c r="B50" s="85" t="s">
        <v>139</v>
      </c>
      <c r="C50" s="86" t="s">
        <v>140</v>
      </c>
      <c r="D50" s="87">
        <f>VAS073_F_Visospaskirsto143NuotekuDumblo</f>
        <v>100.84240293859115</v>
      </c>
      <c r="E50" s="88" t="s">
        <v>128</v>
      </c>
      <c r="G50" s="89"/>
      <c r="H50" s="89"/>
    </row>
    <row r="51" spans="2:9" x14ac:dyDescent="0.25">
      <c r="B51" s="67" t="s">
        <v>141</v>
      </c>
      <c r="C51" s="83" t="s">
        <v>142</v>
      </c>
      <c r="D51" s="84">
        <f>VAS073_F_Visospaskirsto15PavirsiniuNuoteku</f>
        <v>38.786318646540316</v>
      </c>
      <c r="E51" s="66" t="s">
        <v>128</v>
      </c>
    </row>
    <row r="52" spans="2:9" x14ac:dyDescent="0.25">
      <c r="B52" s="59" t="s">
        <v>143</v>
      </c>
      <c r="C52" s="75" t="s">
        <v>144</v>
      </c>
      <c r="D52" s="82">
        <f>SUM(D53:D55)</f>
        <v>214.96863283974096</v>
      </c>
      <c r="E52" s="62" t="s">
        <v>128</v>
      </c>
      <c r="I52" s="58"/>
    </row>
    <row r="53" spans="2:9" x14ac:dyDescent="0.25">
      <c r="B53" s="63" t="s">
        <v>145</v>
      </c>
      <c r="C53" s="83" t="s">
        <v>146</v>
      </c>
      <c r="D53" s="84">
        <f>VAS073_F_Visospaskirsto1Apskaitosveikla1</f>
        <v>141.82609236777827</v>
      </c>
      <c r="E53" s="66" t="s">
        <v>128</v>
      </c>
      <c r="I53" s="58"/>
    </row>
    <row r="54" spans="2:9" x14ac:dyDescent="0.25">
      <c r="B54" s="63" t="s">
        <v>147</v>
      </c>
      <c r="C54" s="83" t="s">
        <v>148</v>
      </c>
      <c r="D54" s="84">
        <f>VAS073_F_Visospaskirsto1Kitareguliuoja1</f>
        <v>0</v>
      </c>
      <c r="E54" s="66" t="s">
        <v>128</v>
      </c>
      <c r="G54" s="90"/>
      <c r="H54" s="90"/>
    </row>
    <row r="55" spans="2:9" x14ac:dyDescent="0.25">
      <c r="B55" s="67" t="s">
        <v>149</v>
      </c>
      <c r="C55" s="91" t="s">
        <v>150</v>
      </c>
      <c r="D55" s="92">
        <f>VAS073_F_Visospaskirsto17KitosVeiklos</f>
        <v>73.14254047196269</v>
      </c>
      <c r="E55" s="70" t="s">
        <v>128</v>
      </c>
    </row>
    <row r="56" spans="2:9" x14ac:dyDescent="0.25">
      <c r="B56" s="59" t="s">
        <v>151</v>
      </c>
      <c r="C56" s="93" t="s">
        <v>152</v>
      </c>
      <c r="D56" s="82">
        <f>SUM(D57:D76)</f>
        <v>336.71807379427685</v>
      </c>
      <c r="E56" s="62"/>
      <c r="I56" s="58"/>
    </row>
    <row r="57" spans="2:9" x14ac:dyDescent="0.25">
      <c r="B57" s="94" t="s">
        <v>153</v>
      </c>
      <c r="C57" s="95" t="s">
        <v>154</v>
      </c>
      <c r="D57" s="96">
        <v>8.225839999999998</v>
      </c>
      <c r="E57" s="97"/>
    </row>
    <row r="58" spans="2:9" ht="52.8" x14ac:dyDescent="0.25">
      <c r="B58" s="98" t="s">
        <v>155</v>
      </c>
      <c r="C58" s="95" t="s">
        <v>156</v>
      </c>
      <c r="D58" s="96">
        <v>0</v>
      </c>
      <c r="E58" s="97"/>
      <c r="G58" s="90"/>
      <c r="H58" s="90"/>
    </row>
    <row r="59" spans="2:9" x14ac:dyDescent="0.25">
      <c r="B59" s="98" t="s">
        <v>157</v>
      </c>
      <c r="C59" s="95" t="s">
        <v>158</v>
      </c>
      <c r="D59" s="96">
        <v>0</v>
      </c>
      <c r="E59" s="97"/>
    </row>
    <row r="60" spans="2:9" ht="30.75" customHeight="1" x14ac:dyDescent="0.25">
      <c r="B60" s="98" t="s">
        <v>159</v>
      </c>
      <c r="C60" s="95" t="s">
        <v>160</v>
      </c>
      <c r="D60" s="96">
        <v>3.6930000000000001</v>
      </c>
      <c r="E60" s="97"/>
    </row>
    <row r="61" spans="2:9" x14ac:dyDescent="0.25">
      <c r="B61" s="98" t="s">
        <v>161</v>
      </c>
      <c r="C61" s="95" t="s">
        <v>162</v>
      </c>
      <c r="D61" s="96">
        <v>0.38962000000000002</v>
      </c>
      <c r="E61" s="97"/>
    </row>
    <row r="62" spans="2:9" ht="52.8" x14ac:dyDescent="0.25">
      <c r="B62" s="98" t="s">
        <v>163</v>
      </c>
      <c r="C62" s="95" t="s">
        <v>164</v>
      </c>
      <c r="D62" s="96">
        <v>0</v>
      </c>
      <c r="E62" s="97"/>
    </row>
    <row r="63" spans="2:9" ht="26.4" x14ac:dyDescent="0.25">
      <c r="B63" s="98" t="s">
        <v>165</v>
      </c>
      <c r="C63" s="95" t="s">
        <v>166</v>
      </c>
      <c r="D63" s="96">
        <v>0</v>
      </c>
      <c r="E63" s="97"/>
    </row>
    <row r="64" spans="2:9" ht="92.4" x14ac:dyDescent="0.25">
      <c r="B64" s="98" t="s">
        <v>167</v>
      </c>
      <c r="C64" s="95" t="s">
        <v>168</v>
      </c>
      <c r="D64" s="96">
        <v>0.66106000000000009</v>
      </c>
      <c r="E64" s="99"/>
    </row>
    <row r="65" spans="2:9" x14ac:dyDescent="0.25">
      <c r="B65" s="98" t="s">
        <v>169</v>
      </c>
      <c r="C65" s="95" t="s">
        <v>170</v>
      </c>
      <c r="D65" s="96">
        <v>0</v>
      </c>
      <c r="E65" s="97"/>
    </row>
    <row r="66" spans="2:9" ht="44.25" customHeight="1" x14ac:dyDescent="0.25">
      <c r="B66" s="98" t="s">
        <v>171</v>
      </c>
      <c r="C66" s="95" t="s">
        <v>172</v>
      </c>
      <c r="D66" s="96">
        <v>0</v>
      </c>
      <c r="E66" s="97"/>
      <c r="F66" s="100"/>
      <c r="G66" s="101"/>
      <c r="H66" s="90"/>
    </row>
    <row r="67" spans="2:9" ht="26.4" x14ac:dyDescent="0.25">
      <c r="B67" s="98" t="s">
        <v>173</v>
      </c>
      <c r="C67" s="95" t="s">
        <v>174</v>
      </c>
      <c r="D67" s="96">
        <v>0</v>
      </c>
      <c r="E67" s="97"/>
    </row>
    <row r="68" spans="2:9" ht="26.4" x14ac:dyDescent="0.25">
      <c r="B68" s="98" t="s">
        <v>175</v>
      </c>
      <c r="C68" s="95" t="s">
        <v>176</v>
      </c>
      <c r="D68" s="96">
        <v>0</v>
      </c>
      <c r="E68" s="97"/>
    </row>
    <row r="69" spans="2:9" ht="26.4" x14ac:dyDescent="0.25">
      <c r="B69" s="98" t="s">
        <v>177</v>
      </c>
      <c r="C69" s="95" t="s">
        <v>178</v>
      </c>
      <c r="D69" s="96">
        <v>0</v>
      </c>
      <c r="E69" s="97"/>
    </row>
    <row r="70" spans="2:9" ht="79.2" x14ac:dyDescent="0.25">
      <c r="B70" s="98" t="s">
        <v>179</v>
      </c>
      <c r="C70" s="95" t="s">
        <v>180</v>
      </c>
      <c r="D70" s="96">
        <v>0</v>
      </c>
      <c r="E70" s="97"/>
    </row>
    <row r="71" spans="2:9" ht="66" x14ac:dyDescent="0.25">
      <c r="B71" s="102" t="s">
        <v>181</v>
      </c>
      <c r="C71" s="95" t="s">
        <v>182</v>
      </c>
      <c r="D71" s="96">
        <v>2.9626100000000002</v>
      </c>
      <c r="E71" s="103"/>
    </row>
    <row r="72" spans="2:9" ht="39.6" x14ac:dyDescent="0.25">
      <c r="B72" s="102" t="s">
        <v>183</v>
      </c>
      <c r="C72" s="95" t="s">
        <v>184</v>
      </c>
      <c r="D72" s="96">
        <v>49.636869999999995</v>
      </c>
      <c r="E72" s="103"/>
    </row>
    <row r="73" spans="2:9" ht="52.8" x14ac:dyDescent="0.25">
      <c r="B73" s="102" t="s">
        <v>185</v>
      </c>
      <c r="C73" s="95" t="s">
        <v>186</v>
      </c>
      <c r="D73" s="96">
        <v>0</v>
      </c>
      <c r="E73" s="103"/>
    </row>
    <row r="74" spans="2:9" ht="39.6" x14ac:dyDescent="0.25">
      <c r="B74" s="102" t="s">
        <v>187</v>
      </c>
      <c r="C74" s="95" t="s">
        <v>188</v>
      </c>
      <c r="D74" s="96">
        <v>0</v>
      </c>
      <c r="E74" s="103"/>
    </row>
    <row r="75" spans="2:9" x14ac:dyDescent="0.25">
      <c r="B75" s="102" t="s">
        <v>189</v>
      </c>
      <c r="C75" s="95" t="s">
        <v>190</v>
      </c>
      <c r="D75" s="96">
        <v>0</v>
      </c>
      <c r="E75" s="103"/>
    </row>
    <row r="76" spans="2:9" ht="26.4" x14ac:dyDescent="0.25">
      <c r="B76" s="104" t="s">
        <v>191</v>
      </c>
      <c r="C76" s="105" t="s">
        <v>192</v>
      </c>
      <c r="D76" s="106">
        <v>271.14907379427683</v>
      </c>
      <c r="E76" s="107"/>
    </row>
    <row r="77" spans="2:9" x14ac:dyDescent="0.25">
      <c r="B77" s="108" t="s">
        <v>193</v>
      </c>
      <c r="C77" s="109" t="s">
        <v>194</v>
      </c>
      <c r="D77" s="110">
        <v>0</v>
      </c>
      <c r="E77" s="111"/>
    </row>
    <row r="78" spans="2:9" x14ac:dyDescent="0.25">
      <c r="B78" s="77" t="s">
        <v>195</v>
      </c>
      <c r="C78" s="112" t="s">
        <v>196</v>
      </c>
      <c r="D78" s="113">
        <v>29.035293399999773</v>
      </c>
      <c r="E78" s="80"/>
      <c r="I78" s="58"/>
    </row>
    <row r="79" spans="2:9" ht="22.8" x14ac:dyDescent="0.25">
      <c r="B79" s="114" t="s">
        <v>197</v>
      </c>
      <c r="C79" s="115" t="s">
        <v>198</v>
      </c>
      <c r="D79" s="116">
        <f>D11-D45</f>
        <v>273.62851003401784</v>
      </c>
      <c r="E79" s="117"/>
      <c r="I79" s="58"/>
    </row>
    <row r="80" spans="2:9" x14ac:dyDescent="0.25">
      <c r="B80" s="63" t="s">
        <v>199</v>
      </c>
      <c r="C80" s="83" t="s">
        <v>200</v>
      </c>
      <c r="D80" s="84">
        <f>D12-D46</f>
        <v>162.41954199952033</v>
      </c>
      <c r="E80" s="66"/>
    </row>
    <row r="81" spans="2:9" x14ac:dyDescent="0.25">
      <c r="B81" s="63" t="s">
        <v>201</v>
      </c>
      <c r="C81" s="83" t="s">
        <v>202</v>
      </c>
      <c r="D81" s="84">
        <f>D15-D47</f>
        <v>88.090314981037636</v>
      </c>
      <c r="E81" s="66"/>
    </row>
    <row r="82" spans="2:9" x14ac:dyDescent="0.25">
      <c r="B82" s="63" t="s">
        <v>203</v>
      </c>
      <c r="C82" s="83" t="s">
        <v>204</v>
      </c>
      <c r="D82" s="84">
        <f>D16-D48</f>
        <v>69.21505752481437</v>
      </c>
      <c r="E82" s="66"/>
    </row>
    <row r="83" spans="2:9" x14ac:dyDescent="0.25">
      <c r="B83" s="63" t="s">
        <v>205</v>
      </c>
      <c r="C83" s="83" t="s">
        <v>206</v>
      </c>
      <c r="D83" s="84">
        <f>D20-D49</f>
        <v>17.472282394814329</v>
      </c>
      <c r="E83" s="66"/>
    </row>
    <row r="84" spans="2:9" x14ac:dyDescent="0.25">
      <c r="B84" s="63" t="s">
        <v>207</v>
      </c>
      <c r="C84" s="83" t="s">
        <v>208</v>
      </c>
      <c r="D84" s="84">
        <f>D26-D50</f>
        <v>1.402975061408867</v>
      </c>
      <c r="E84" s="66"/>
    </row>
    <row r="85" spans="2:9" ht="25.95" customHeight="1" x14ac:dyDescent="0.25">
      <c r="B85" s="67" t="s">
        <v>209</v>
      </c>
      <c r="C85" s="83" t="s">
        <v>210</v>
      </c>
      <c r="D85" s="84">
        <f>D31-D51</f>
        <v>23.118653053459681</v>
      </c>
      <c r="E85" s="66"/>
    </row>
    <row r="86" spans="2:9" x14ac:dyDescent="0.25">
      <c r="B86" s="59" t="s">
        <v>211</v>
      </c>
      <c r="C86" s="75" t="s">
        <v>212</v>
      </c>
      <c r="D86" s="82">
        <f>D34-D52</f>
        <v>92.124857160259069</v>
      </c>
      <c r="E86" s="62"/>
      <c r="I86" s="58"/>
    </row>
    <row r="87" spans="2:9" x14ac:dyDescent="0.25">
      <c r="B87" s="63" t="s">
        <v>213</v>
      </c>
      <c r="C87" s="83" t="s">
        <v>214</v>
      </c>
      <c r="D87" s="84">
        <f>D36-D53</f>
        <v>18.796827632221749</v>
      </c>
      <c r="E87" s="66"/>
      <c r="I87" s="58"/>
    </row>
    <row r="88" spans="2:9" x14ac:dyDescent="0.25">
      <c r="B88" s="63" t="s">
        <v>215</v>
      </c>
      <c r="C88" s="83" t="s">
        <v>216</v>
      </c>
      <c r="D88" s="84">
        <f>D38+D39-D54</f>
        <v>0</v>
      </c>
      <c r="E88" s="66"/>
    </row>
    <row r="89" spans="2:9" x14ac:dyDescent="0.25">
      <c r="B89" s="67" t="s">
        <v>217</v>
      </c>
      <c r="C89" s="91" t="s">
        <v>218</v>
      </c>
      <c r="D89" s="92">
        <f>IFERROR(D40-D55,"-")</f>
        <v>73.32802952803732</v>
      </c>
      <c r="E89" s="70"/>
    </row>
    <row r="90" spans="2:9" x14ac:dyDescent="0.25">
      <c r="B90" s="118" t="s">
        <v>219</v>
      </c>
      <c r="C90" s="119" t="s">
        <v>220</v>
      </c>
      <c r="D90" s="120">
        <v>0</v>
      </c>
      <c r="E90" s="70"/>
    </row>
    <row r="91" spans="2:9" x14ac:dyDescent="0.25">
      <c r="B91" s="77" t="s">
        <v>221</v>
      </c>
      <c r="C91" s="78" t="s">
        <v>222</v>
      </c>
      <c r="D91" s="113">
        <v>0</v>
      </c>
      <c r="E91" s="80"/>
      <c r="I91" s="58"/>
    </row>
    <row r="92" spans="2:9" x14ac:dyDescent="0.25">
      <c r="B92" s="77" t="s">
        <v>223</v>
      </c>
      <c r="C92" s="78" t="s">
        <v>224</v>
      </c>
      <c r="D92" s="79">
        <f>IFERROR(D78+D90-D91,"0")</f>
        <v>29.035293399999773</v>
      </c>
      <c r="E92" s="80"/>
      <c r="I92" s="58"/>
    </row>
    <row r="93" spans="2:9" ht="22.8" x14ac:dyDescent="0.25">
      <c r="B93" s="114" t="s">
        <v>225</v>
      </c>
      <c r="C93" s="115" t="s">
        <v>226</v>
      </c>
      <c r="D93" s="116">
        <f>IFERROR((D79/D11)*100,"0")</f>
        <v>15.530403926988376</v>
      </c>
      <c r="E93" s="117"/>
    </row>
    <row r="94" spans="2:9" x14ac:dyDescent="0.25">
      <c r="B94" s="63" t="s">
        <v>227</v>
      </c>
      <c r="C94" s="83" t="s">
        <v>228</v>
      </c>
      <c r="D94" s="84">
        <f>IFERROR((D80/D12)*100,"0")</f>
        <v>24.473151339979623</v>
      </c>
      <c r="E94" s="66"/>
    </row>
    <row r="95" spans="2:9" x14ac:dyDescent="0.25">
      <c r="B95" s="63" t="s">
        <v>229</v>
      </c>
      <c r="C95" s="83" t="s">
        <v>230</v>
      </c>
      <c r="D95" s="84">
        <f>IFERROR((D81/D15)*100,"0")</f>
        <v>8.5003002520859603</v>
      </c>
      <c r="E95" s="66"/>
    </row>
    <row r="96" spans="2:9" x14ac:dyDescent="0.25">
      <c r="B96" s="63" t="s">
        <v>231</v>
      </c>
      <c r="C96" s="83" t="s">
        <v>232</v>
      </c>
      <c r="D96" s="84">
        <f>IFERROR((D82/D16)*100,"0")</f>
        <v>16.181245116961936</v>
      </c>
      <c r="E96" s="66"/>
    </row>
    <row r="97" spans="2:5" x14ac:dyDescent="0.25">
      <c r="B97" s="63" t="s">
        <v>233</v>
      </c>
      <c r="C97" s="83" t="s">
        <v>234</v>
      </c>
      <c r="D97" s="84">
        <f>IFERROR((D83/D20)*100,"0")</f>
        <v>3.4507969122298885</v>
      </c>
      <c r="E97" s="66"/>
    </row>
    <row r="98" spans="2:5" x14ac:dyDescent="0.25">
      <c r="B98" s="63" t="s">
        <v>235</v>
      </c>
      <c r="C98" s="83" t="s">
        <v>236</v>
      </c>
      <c r="D98" s="84">
        <f>IFERROR((D84/D26)*100,"0")</f>
        <v>1.3721647754178841</v>
      </c>
      <c r="E98" s="66"/>
    </row>
    <row r="99" spans="2:5" ht="24" x14ac:dyDescent="0.25">
      <c r="B99" s="121" t="s">
        <v>237</v>
      </c>
      <c r="C99" s="122" t="s">
        <v>238</v>
      </c>
      <c r="D99" s="123">
        <f>IFERROR((D85/D31)*100,"0")</f>
        <v>37.345389907446936</v>
      </c>
      <c r="E99" s="124"/>
    </row>
    <row r="101" spans="2:5" x14ac:dyDescent="0.25">
      <c r="C101" s="89" t="s">
        <v>239</v>
      </c>
    </row>
    <row r="102" spans="2:5" x14ac:dyDescent="0.25">
      <c r="C102" s="89" t="s">
        <v>240</v>
      </c>
    </row>
    <row r="103" spans="2:5" x14ac:dyDescent="0.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248"/>
  <sheetViews>
    <sheetView topLeftCell="A4" zoomScale="55" zoomScaleNormal="55" workbookViewId="0">
      <selection activeCell="F30" sqref="F30"/>
    </sheetView>
  </sheetViews>
  <sheetFormatPr defaultColWidth="9.109375" defaultRowHeight="14.4" x14ac:dyDescent="0.3"/>
  <cols>
    <col min="1" max="1" width="9.109375" style="5"/>
    <col min="2" max="2" width="10.6640625" style="5" customWidth="1"/>
    <col min="3" max="3" width="71.109375" style="5" customWidth="1"/>
    <col min="4" max="4" width="13.5546875" style="5" customWidth="1"/>
    <col min="5" max="5" width="13.44140625" style="5" customWidth="1"/>
    <col min="6" max="6" width="16.88671875" style="5" customWidth="1"/>
    <col min="7" max="7" width="16.109375" style="5" customWidth="1"/>
    <col min="8" max="8" width="15.6640625" style="5" customWidth="1"/>
    <col min="9" max="9" width="14" style="5" customWidth="1"/>
    <col min="10" max="11" width="14.5546875" style="5" customWidth="1"/>
    <col min="12" max="12" width="16.5546875" style="5" customWidth="1"/>
    <col min="13" max="13" width="15" style="5" customWidth="1"/>
    <col min="14" max="16" width="17.88671875" style="5" customWidth="1"/>
    <col min="17" max="17" width="23.33203125" style="5" customWidth="1"/>
    <col min="18" max="18" width="12.44140625" style="125" customWidth="1"/>
    <col min="19" max="19" width="5.44140625" style="125" customWidth="1"/>
    <col min="20" max="20" width="9.109375" style="5"/>
    <col min="21" max="21" width="12.6640625" style="5" bestFit="1" customWidth="1"/>
    <col min="22" max="16384" width="9.109375" style="5"/>
  </cols>
  <sheetData>
    <row r="1" spans="1:19" x14ac:dyDescent="0.3">
      <c r="A1" s="6" t="s">
        <v>0</v>
      </c>
      <c r="B1" s="7"/>
      <c r="C1" s="7"/>
      <c r="D1" s="7"/>
      <c r="E1" s="7"/>
      <c r="F1" s="7"/>
      <c r="G1" s="7"/>
      <c r="H1" s="7"/>
      <c r="I1" s="7"/>
      <c r="J1" s="7"/>
      <c r="K1" s="7"/>
      <c r="L1" s="7"/>
      <c r="M1" s="7"/>
      <c r="N1" s="7"/>
      <c r="O1" s="7"/>
      <c r="P1" s="7"/>
      <c r="Q1" s="7"/>
      <c r="R1" s="126"/>
    </row>
    <row r="2" spans="1:19" x14ac:dyDescent="0.3">
      <c r="A2" s="6" t="s">
        <v>1</v>
      </c>
      <c r="B2" s="7"/>
      <c r="C2" s="7"/>
      <c r="D2" s="7"/>
      <c r="E2" s="7"/>
      <c r="F2" s="7"/>
      <c r="G2" s="7"/>
      <c r="H2" s="7"/>
      <c r="I2" s="7"/>
      <c r="J2" s="7"/>
      <c r="K2" s="7"/>
      <c r="L2" s="7"/>
      <c r="M2" s="7"/>
      <c r="N2" s="7"/>
      <c r="O2" s="7"/>
      <c r="P2" s="7"/>
      <c r="Q2" s="7"/>
      <c r="R2" s="126"/>
    </row>
    <row r="3" spans="1:19" x14ac:dyDescent="0.3">
      <c r="A3" s="7"/>
      <c r="B3" s="7"/>
      <c r="C3" s="7"/>
      <c r="D3" s="7"/>
      <c r="E3" s="7"/>
      <c r="F3" s="7"/>
      <c r="G3" s="7"/>
      <c r="H3" s="7"/>
      <c r="I3" s="7"/>
      <c r="J3" s="7"/>
      <c r="K3" s="7"/>
      <c r="L3" s="7"/>
      <c r="M3" s="7"/>
      <c r="N3" s="7"/>
      <c r="O3" s="7"/>
      <c r="P3" s="7"/>
      <c r="Q3" s="7"/>
      <c r="R3" s="126"/>
    </row>
    <row r="4" spans="1:19" x14ac:dyDescent="0.3">
      <c r="A4" s="7"/>
      <c r="B4" s="7"/>
      <c r="C4" s="7"/>
      <c r="D4" s="7"/>
      <c r="E4" s="7"/>
      <c r="F4" s="7"/>
      <c r="G4" s="7"/>
      <c r="H4" s="7"/>
      <c r="I4" s="7"/>
      <c r="J4" s="7"/>
      <c r="K4" s="7"/>
      <c r="L4" s="7"/>
      <c r="M4" s="7"/>
      <c r="N4" s="7"/>
      <c r="O4" s="7"/>
      <c r="P4" s="7"/>
      <c r="Q4" s="7"/>
      <c r="R4" s="126"/>
    </row>
    <row r="5" spans="1:19" x14ac:dyDescent="0.3">
      <c r="A5" s="8" t="s">
        <v>242</v>
      </c>
      <c r="B5" s="7"/>
      <c r="C5" s="7"/>
      <c r="D5" s="7"/>
      <c r="E5" s="7"/>
      <c r="F5" s="7"/>
      <c r="G5" s="7"/>
      <c r="H5" s="7"/>
      <c r="I5" s="7"/>
      <c r="J5" s="7"/>
      <c r="K5" s="7"/>
      <c r="L5" s="7"/>
      <c r="M5" s="7"/>
      <c r="N5" s="7"/>
      <c r="O5" s="7"/>
      <c r="P5" s="7"/>
      <c r="Q5" s="7"/>
      <c r="R5" s="126"/>
    </row>
    <row r="6" spans="1:19" x14ac:dyDescent="0.3">
      <c r="A6" s="7"/>
      <c r="B6" s="7"/>
      <c r="C6" s="7"/>
      <c r="D6" s="7"/>
      <c r="E6" s="7"/>
      <c r="F6" s="7"/>
      <c r="G6" s="7"/>
      <c r="H6" s="7"/>
      <c r="I6" s="7"/>
      <c r="J6" s="7"/>
      <c r="K6" s="7"/>
      <c r="L6" s="7"/>
      <c r="M6" s="7"/>
      <c r="N6" s="7"/>
      <c r="O6" s="7"/>
      <c r="P6" s="7"/>
      <c r="Q6" s="7"/>
      <c r="R6" s="126"/>
    </row>
    <row r="8" spans="1:19" x14ac:dyDescent="0.3">
      <c r="B8" s="1468" t="s">
        <v>243</v>
      </c>
      <c r="C8" s="1468"/>
      <c r="D8" s="1468"/>
      <c r="E8" s="1468"/>
      <c r="F8" s="1468"/>
      <c r="G8" s="1468"/>
      <c r="H8" s="1468"/>
      <c r="I8" s="1468"/>
      <c r="J8" s="1468"/>
      <c r="K8" s="1468"/>
      <c r="L8" s="1468"/>
      <c r="M8" s="1468"/>
      <c r="N8" s="1468"/>
      <c r="O8" s="1468"/>
      <c r="P8" s="1468"/>
      <c r="Q8" s="1468"/>
    </row>
    <row r="9" spans="1:19" ht="124.5" customHeight="1" x14ac:dyDescent="0.3">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x14ac:dyDescent="0.3">
      <c r="B10" s="138" t="s">
        <v>68</v>
      </c>
      <c r="C10" s="139" t="s">
        <v>259</v>
      </c>
      <c r="D10" s="140"/>
      <c r="E10" s="141"/>
      <c r="F10" s="142"/>
      <c r="G10" s="143"/>
      <c r="H10" s="144"/>
      <c r="I10" s="141"/>
      <c r="J10" s="142"/>
      <c r="K10" s="143"/>
      <c r="L10" s="143"/>
      <c r="M10" s="141"/>
      <c r="N10" s="145"/>
      <c r="O10" s="146"/>
      <c r="P10" s="144"/>
      <c r="Q10" s="141"/>
    </row>
    <row r="11" spans="1:19" x14ac:dyDescent="0.3">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x14ac:dyDescent="0.3">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x14ac:dyDescent="0.3">
      <c r="B13" s="155" t="s">
        <v>104</v>
      </c>
      <c r="C13" s="156" t="s">
        <v>262</v>
      </c>
      <c r="D13" s="157">
        <f t="shared" ref="D13:Q13" si="1">D34+D93</f>
        <v>334.46151999999995</v>
      </c>
      <c r="E13" s="158">
        <f t="shared" si="1"/>
        <v>98.509133885875173</v>
      </c>
      <c r="F13" s="159">
        <f t="shared" si="1"/>
        <v>30.349125755874709</v>
      </c>
      <c r="G13" s="160">
        <f t="shared" si="1"/>
        <v>18.064694310358906</v>
      </c>
      <c r="H13" s="161">
        <f t="shared" si="1"/>
        <v>50.095313819641561</v>
      </c>
      <c r="I13" s="158">
        <f t="shared" si="1"/>
        <v>234.26855785642761</v>
      </c>
      <c r="J13" s="159">
        <f t="shared" si="1"/>
        <v>96.068272998549148</v>
      </c>
      <c r="K13" s="160">
        <f t="shared" si="1"/>
        <v>135.37260942578916</v>
      </c>
      <c r="L13" s="160">
        <f t="shared" si="1"/>
        <v>2.8276754320893311</v>
      </c>
      <c r="M13" s="158">
        <f t="shared" si="1"/>
        <v>0.29070319590267579</v>
      </c>
      <c r="N13" s="162">
        <f t="shared" si="1"/>
        <v>0.62704209550939061</v>
      </c>
      <c r="O13" s="163">
        <f t="shared" si="1"/>
        <v>0.62704209550939061</v>
      </c>
      <c r="P13" s="161">
        <f t="shared" si="1"/>
        <v>0</v>
      </c>
      <c r="Q13" s="158">
        <f t="shared" si="1"/>
        <v>0.76608296628512562</v>
      </c>
    </row>
    <row r="14" spans="1:19" s="2" customFormat="1" ht="35.25" customHeight="1" x14ac:dyDescent="0.3">
      <c r="B14" s="164" t="s">
        <v>106</v>
      </c>
      <c r="C14" s="165" t="s">
        <v>263</v>
      </c>
      <c r="D14" s="166">
        <f t="shared" ref="D14:Q14" si="2">D35+D94</f>
        <v>290.33552999999995</v>
      </c>
      <c r="E14" s="167">
        <f t="shared" si="2"/>
        <v>87.729459999999989</v>
      </c>
      <c r="F14" s="168">
        <f t="shared" si="2"/>
        <v>27.62059</v>
      </c>
      <c r="G14" s="169">
        <f t="shared" si="2"/>
        <v>16.356339999999999</v>
      </c>
      <c r="H14" s="170">
        <f t="shared" si="2"/>
        <v>43.75253</v>
      </c>
      <c r="I14" s="167">
        <f t="shared" si="2"/>
        <v>202.60606999999999</v>
      </c>
      <c r="J14" s="168">
        <f t="shared" si="2"/>
        <v>87.864779999999996</v>
      </c>
      <c r="K14" s="169">
        <f t="shared" si="2"/>
        <v>112.92862</v>
      </c>
      <c r="L14" s="169">
        <f t="shared" si="2"/>
        <v>1.81267</v>
      </c>
      <c r="M14" s="167">
        <f t="shared" si="2"/>
        <v>0</v>
      </c>
      <c r="N14" s="171">
        <f t="shared" si="2"/>
        <v>0</v>
      </c>
      <c r="O14" s="172">
        <f t="shared" si="2"/>
        <v>0</v>
      </c>
      <c r="P14" s="170">
        <f t="shared" si="2"/>
        <v>0</v>
      </c>
      <c r="Q14" s="167">
        <f t="shared" si="2"/>
        <v>0</v>
      </c>
      <c r="R14" s="173"/>
      <c r="S14" s="173"/>
    </row>
    <row r="15" spans="1:19" x14ac:dyDescent="0.3">
      <c r="B15" s="155" t="s">
        <v>264</v>
      </c>
      <c r="C15" s="156" t="s">
        <v>265</v>
      </c>
      <c r="D15" s="157">
        <f t="shared" ref="D15:Q15" si="3">D37</f>
        <v>2.9472899999999997</v>
      </c>
      <c r="E15" s="158">
        <f t="shared" si="3"/>
        <v>0</v>
      </c>
      <c r="F15" s="159">
        <f t="shared" si="3"/>
        <v>0</v>
      </c>
      <c r="G15" s="160">
        <f t="shared" si="3"/>
        <v>0</v>
      </c>
      <c r="H15" s="161">
        <f t="shared" si="3"/>
        <v>0</v>
      </c>
      <c r="I15" s="158">
        <f t="shared" si="3"/>
        <v>2.9472899999999997</v>
      </c>
      <c r="J15" s="159">
        <f t="shared" si="3"/>
        <v>0</v>
      </c>
      <c r="K15" s="160">
        <f t="shared" si="3"/>
        <v>0</v>
      </c>
      <c r="L15" s="160">
        <f t="shared" si="3"/>
        <v>2.9472899999999997</v>
      </c>
      <c r="M15" s="158">
        <f t="shared" si="3"/>
        <v>0</v>
      </c>
      <c r="N15" s="162">
        <f t="shared" si="3"/>
        <v>0</v>
      </c>
      <c r="O15" s="163">
        <f t="shared" si="3"/>
        <v>0</v>
      </c>
      <c r="P15" s="161">
        <f t="shared" si="3"/>
        <v>0</v>
      </c>
      <c r="Q15" s="158">
        <f t="shared" si="3"/>
        <v>0</v>
      </c>
    </row>
    <row r="16" spans="1:19" x14ac:dyDescent="0.3">
      <c r="B16" s="155" t="s">
        <v>266</v>
      </c>
      <c r="C16" s="156" t="s">
        <v>267</v>
      </c>
      <c r="D16" s="157">
        <f t="shared" ref="D16:Q16" si="4">D45+D101+D198</f>
        <v>128.65343000000001</v>
      </c>
      <c r="E16" s="158">
        <f t="shared" si="4"/>
        <v>44.035841060195622</v>
      </c>
      <c r="F16" s="159">
        <f t="shared" si="4"/>
        <v>6.5286858530371354</v>
      </c>
      <c r="G16" s="160">
        <f t="shared" si="4"/>
        <v>11.446198325392336</v>
      </c>
      <c r="H16" s="161">
        <f t="shared" si="4"/>
        <v>26.060956881766145</v>
      </c>
      <c r="I16" s="158">
        <f t="shared" si="4"/>
        <v>73.862241201638966</v>
      </c>
      <c r="J16" s="159">
        <f t="shared" si="4"/>
        <v>38.592015255902012</v>
      </c>
      <c r="K16" s="160">
        <f t="shared" si="4"/>
        <v>32.01770530312514</v>
      </c>
      <c r="L16" s="160">
        <f t="shared" si="4"/>
        <v>3.2525206426118136</v>
      </c>
      <c r="M16" s="158">
        <f t="shared" si="4"/>
        <v>1.706597963472708</v>
      </c>
      <c r="N16" s="162">
        <f t="shared" si="4"/>
        <v>1.1186372415586641</v>
      </c>
      <c r="O16" s="163">
        <f t="shared" si="4"/>
        <v>1.1186372415586641</v>
      </c>
      <c r="P16" s="161">
        <f t="shared" si="4"/>
        <v>0</v>
      </c>
      <c r="Q16" s="158">
        <f t="shared" si="4"/>
        <v>7.9301125331340465</v>
      </c>
    </row>
    <row r="17" spans="1:22" s="2" customFormat="1" x14ac:dyDescent="0.3">
      <c r="B17" s="174" t="s">
        <v>268</v>
      </c>
      <c r="C17" s="175" t="s">
        <v>269</v>
      </c>
      <c r="D17" s="176">
        <f t="shared" ref="D17:Q17" si="5">D46+D102+D199</f>
        <v>80.894120000000001</v>
      </c>
      <c r="E17" s="177">
        <f t="shared" si="5"/>
        <v>30.938851551560166</v>
      </c>
      <c r="F17" s="178">
        <f t="shared" si="5"/>
        <v>1.2863018801593245</v>
      </c>
      <c r="G17" s="179">
        <f t="shared" si="5"/>
        <v>5.3573668878992065</v>
      </c>
      <c r="H17" s="180">
        <f t="shared" si="5"/>
        <v>24.295182783501634</v>
      </c>
      <c r="I17" s="177">
        <f t="shared" si="5"/>
        <v>42.094715600874231</v>
      </c>
      <c r="J17" s="178">
        <f t="shared" si="5"/>
        <v>27.517160205693823</v>
      </c>
      <c r="K17" s="179">
        <f t="shared" si="5"/>
        <v>13.106799646575999</v>
      </c>
      <c r="L17" s="179">
        <f t="shared" si="5"/>
        <v>1.4707557486044043</v>
      </c>
      <c r="M17" s="177">
        <f t="shared" si="5"/>
        <v>1.4430625080335002</v>
      </c>
      <c r="N17" s="181">
        <f t="shared" si="5"/>
        <v>0.74581943068798462</v>
      </c>
      <c r="O17" s="182">
        <f t="shared" si="5"/>
        <v>0.74581943068798462</v>
      </c>
      <c r="P17" s="180">
        <f t="shared" si="5"/>
        <v>0</v>
      </c>
      <c r="Q17" s="177">
        <f t="shared" si="5"/>
        <v>5.6716709088441304</v>
      </c>
      <c r="R17" s="173"/>
      <c r="S17" s="173"/>
    </row>
    <row r="18" spans="1:22" s="2" customFormat="1" x14ac:dyDescent="0.3">
      <c r="B18" s="174" t="s">
        <v>270</v>
      </c>
      <c r="C18" s="175" t="s">
        <v>271</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x14ac:dyDescent="0.3">
      <c r="B19" s="183" t="s">
        <v>272</v>
      </c>
      <c r="C19" s="184" t="s">
        <v>273</v>
      </c>
      <c r="D19" s="185">
        <f t="shared" ref="D19:Q19" si="7">D47+D103+D200</f>
        <v>41.837530000000001</v>
      </c>
      <c r="E19" s="186">
        <f t="shared" si="7"/>
        <v>10.618685558482108</v>
      </c>
      <c r="F19" s="187">
        <f t="shared" si="7"/>
        <v>3.252688842122414</v>
      </c>
      <c r="G19" s="188">
        <f t="shared" si="7"/>
        <v>5.9314734393896087</v>
      </c>
      <c r="H19" s="189">
        <f t="shared" si="7"/>
        <v>1.4345232769700844</v>
      </c>
      <c r="I19" s="186">
        <f t="shared" si="7"/>
        <v>28.579517510646195</v>
      </c>
      <c r="J19" s="187">
        <f t="shared" si="7"/>
        <v>10.226402932608881</v>
      </c>
      <c r="K19" s="188">
        <f t="shared" si="7"/>
        <v>16.690992713978051</v>
      </c>
      <c r="L19" s="188">
        <f t="shared" si="7"/>
        <v>1.6621218640592583</v>
      </c>
      <c r="M19" s="186">
        <f t="shared" si="7"/>
        <v>0.21393529702615274</v>
      </c>
      <c r="N19" s="190">
        <f t="shared" si="7"/>
        <v>0.28846785301228378</v>
      </c>
      <c r="O19" s="191">
        <f t="shared" si="7"/>
        <v>0.28846785301228378</v>
      </c>
      <c r="P19" s="189">
        <f t="shared" si="7"/>
        <v>0</v>
      </c>
      <c r="Q19" s="186">
        <f t="shared" si="7"/>
        <v>2.1369237808332646</v>
      </c>
      <c r="R19" s="173"/>
      <c r="S19" s="173"/>
    </row>
    <row r="20" spans="1:22" x14ac:dyDescent="0.3">
      <c r="B20" s="155" t="s">
        <v>274</v>
      </c>
      <c r="C20" s="192" t="s">
        <v>275</v>
      </c>
      <c r="D20" s="157">
        <f t="shared" ref="D20:Q20" si="8">D52+D108+D205</f>
        <v>849.67751999999996</v>
      </c>
      <c r="E20" s="158">
        <f t="shared" si="8"/>
        <v>216.86430200288277</v>
      </c>
      <c r="F20" s="159">
        <f t="shared" si="8"/>
        <v>20.430298737954658</v>
      </c>
      <c r="G20" s="160">
        <f t="shared" si="8"/>
        <v>78.711516077855151</v>
      </c>
      <c r="H20" s="161">
        <f t="shared" si="8"/>
        <v>117.72248718707297</v>
      </c>
      <c r="I20" s="158">
        <f t="shared" si="8"/>
        <v>479.74138968710406</v>
      </c>
      <c r="J20" s="159">
        <f t="shared" si="8"/>
        <v>160.61756958153151</v>
      </c>
      <c r="K20" s="160">
        <f t="shared" si="8"/>
        <v>243.24247152713849</v>
      </c>
      <c r="L20" s="160">
        <f t="shared" si="8"/>
        <v>75.881348578434114</v>
      </c>
      <c r="M20" s="158">
        <f t="shared" si="8"/>
        <v>28.964856371798248</v>
      </c>
      <c r="N20" s="162">
        <f t="shared" si="8"/>
        <v>87.051461693342503</v>
      </c>
      <c r="O20" s="163">
        <f t="shared" si="8"/>
        <v>87.051461693342503</v>
      </c>
      <c r="P20" s="161">
        <f t="shared" si="8"/>
        <v>0</v>
      </c>
      <c r="Q20" s="158">
        <f t="shared" si="8"/>
        <v>37.055510244872387</v>
      </c>
    </row>
    <row r="21" spans="1:22" x14ac:dyDescent="0.3">
      <c r="B21" s="174" t="s">
        <v>276</v>
      </c>
      <c r="C21" s="193" t="s">
        <v>277</v>
      </c>
      <c r="D21" s="176">
        <f t="shared" ref="D21:Q21" si="9">D53+D109+D206</f>
        <v>814.93311999999992</v>
      </c>
      <c r="E21" s="177">
        <f t="shared" si="9"/>
        <v>206.86613105966074</v>
      </c>
      <c r="F21" s="178">
        <f t="shared" si="9"/>
        <v>19.936742583575366</v>
      </c>
      <c r="G21" s="179">
        <f t="shared" si="9"/>
        <v>73.651180572770159</v>
      </c>
      <c r="H21" s="180">
        <f t="shared" si="9"/>
        <v>113.27820790331521</v>
      </c>
      <c r="I21" s="177">
        <f t="shared" si="9"/>
        <v>459.86073746759007</v>
      </c>
      <c r="J21" s="178">
        <f t="shared" si="9"/>
        <v>153.01663646755537</v>
      </c>
      <c r="K21" s="179">
        <f t="shared" si="9"/>
        <v>234.36965243928029</v>
      </c>
      <c r="L21" s="179">
        <f t="shared" si="9"/>
        <v>72.474448560754425</v>
      </c>
      <c r="M21" s="177">
        <f t="shared" si="9"/>
        <v>27.872189598848315</v>
      </c>
      <c r="N21" s="181">
        <f t="shared" si="9"/>
        <v>84.213609373581065</v>
      </c>
      <c r="O21" s="182">
        <f t="shared" si="9"/>
        <v>84.213609373581065</v>
      </c>
      <c r="P21" s="180">
        <f t="shared" si="9"/>
        <v>0</v>
      </c>
      <c r="Q21" s="177">
        <f t="shared" si="9"/>
        <v>36.120452500319814</v>
      </c>
    </row>
    <row r="22" spans="1:22" x14ac:dyDescent="0.3">
      <c r="A22" s="194"/>
      <c r="B22" s="195" t="s">
        <v>278</v>
      </c>
      <c r="C22" s="196" t="s">
        <v>279</v>
      </c>
      <c r="D22" s="197">
        <f>D32+D33+D47+D69+D71+D75+D77+D78+D79+D81+D87+D88+D103+D122+D124+D128+D131+D132+D134+D140+D141+D200+D219+D221+D225+D227+D228+D229+D231+D238+D239+D130</f>
        <v>94.902370000000005</v>
      </c>
      <c r="E22" s="198">
        <f t="shared" ref="E22:Q22" si="10">E32+E33+E47+E69+E71+E75+E77+E78+E79+E81+E87+E88+E103+E122+E124+E128+E131+E132+E134+E140+E141+E200+E219+E221+E225+E227+E228+E229+E231+E238+E239+E130</f>
        <v>31.646765444809319</v>
      </c>
      <c r="F22" s="199">
        <f t="shared" si="10"/>
        <v>7.2408452157372123</v>
      </c>
      <c r="G22" s="200">
        <f t="shared" si="10"/>
        <v>9.2499629173153419</v>
      </c>
      <c r="H22" s="201">
        <f t="shared" si="10"/>
        <v>15.155957311756774</v>
      </c>
      <c r="I22" s="198">
        <f t="shared" si="10"/>
        <v>53.241842950041018</v>
      </c>
      <c r="J22" s="199">
        <f t="shared" si="10"/>
        <v>17.352915281491452</v>
      </c>
      <c r="K22" s="200">
        <f t="shared" si="10"/>
        <v>30.436267918286774</v>
      </c>
      <c r="L22" s="200">
        <f t="shared" si="10"/>
        <v>5.4526597502627991</v>
      </c>
      <c r="M22" s="198">
        <f t="shared" si="10"/>
        <v>1.1539305792257017</v>
      </c>
      <c r="N22" s="202">
        <f t="shared" si="10"/>
        <v>4.8584534954424408</v>
      </c>
      <c r="O22" s="203">
        <f t="shared" si="10"/>
        <v>4.8584534954424408</v>
      </c>
      <c r="P22" s="201">
        <f t="shared" si="10"/>
        <v>0</v>
      </c>
      <c r="Q22" s="204">
        <f t="shared" si="10"/>
        <v>4.0013775304815002</v>
      </c>
    </row>
    <row r="23" spans="1:22" x14ac:dyDescent="0.3">
      <c r="A23" s="194"/>
      <c r="B23" s="205" t="s">
        <v>280</v>
      </c>
      <c r="C23" s="139" t="s">
        <v>281</v>
      </c>
      <c r="D23" s="206">
        <f t="shared" ref="D23:Q23" si="11">D29+D92+D190</f>
        <v>1703.2293262057237</v>
      </c>
      <c r="E23" s="205">
        <f t="shared" si="11"/>
        <v>501.24464960047965</v>
      </c>
      <c r="F23" s="207">
        <f t="shared" si="11"/>
        <v>102.68936964438758</v>
      </c>
      <c r="G23" s="208">
        <f t="shared" si="11"/>
        <v>140.99533500760032</v>
      </c>
      <c r="H23" s="209">
        <f t="shared" si="11"/>
        <v>257.55994494849176</v>
      </c>
      <c r="I23" s="205">
        <f t="shared" si="11"/>
        <v>948.22972511896251</v>
      </c>
      <c r="J23" s="207">
        <f t="shared" si="11"/>
        <v>358.53359237518566</v>
      </c>
      <c r="K23" s="208">
        <f t="shared" si="11"/>
        <v>488.85372980518571</v>
      </c>
      <c r="L23" s="208">
        <f t="shared" si="11"/>
        <v>100.84240293859115</v>
      </c>
      <c r="M23" s="205">
        <f t="shared" si="11"/>
        <v>38.786318646540316</v>
      </c>
      <c r="N23" s="210">
        <f t="shared" si="11"/>
        <v>141.82609236777827</v>
      </c>
      <c r="O23" s="211">
        <f t="shared" si="11"/>
        <v>141.82609236777827</v>
      </c>
      <c r="P23" s="209">
        <f t="shared" si="11"/>
        <v>0</v>
      </c>
      <c r="Q23" s="212">
        <f t="shared" si="11"/>
        <v>73.14254047196269</v>
      </c>
      <c r="T23" s="125"/>
      <c r="U23" s="213"/>
      <c r="V23" s="3"/>
    </row>
    <row r="24" spans="1:22" x14ac:dyDescent="0.3">
      <c r="B24" s="214" t="s">
        <v>282</v>
      </c>
      <c r="C24" s="215" t="s">
        <v>283</v>
      </c>
      <c r="D24" s="157">
        <f t="shared" ref="D24:D31" si="12">E24+I24+M24+N24+Q24</f>
        <v>1356.6965062057236</v>
      </c>
      <c r="E24" s="158">
        <f t="shared" ref="E24:Q24" si="13">SUM(E25:E27)</f>
        <v>379.20118960047967</v>
      </c>
      <c r="F24" s="159">
        <f t="shared" si="13"/>
        <v>40.754779644387575</v>
      </c>
      <c r="G24" s="160">
        <f t="shared" si="13"/>
        <v>124.63899500760033</v>
      </c>
      <c r="H24" s="161">
        <f t="shared" si="13"/>
        <v>213.80741494849173</v>
      </c>
      <c r="I24" s="158">
        <f t="shared" si="13"/>
        <v>723.74036511896247</v>
      </c>
      <c r="J24" s="159">
        <f t="shared" si="13"/>
        <v>270.66881237518567</v>
      </c>
      <c r="K24" s="160">
        <f t="shared" si="13"/>
        <v>356.98910980518565</v>
      </c>
      <c r="L24" s="160">
        <f t="shared" si="13"/>
        <v>96.082442938591143</v>
      </c>
      <c r="M24" s="158">
        <f t="shared" si="13"/>
        <v>38.786318646540316</v>
      </c>
      <c r="N24" s="162">
        <f t="shared" si="13"/>
        <v>141.82609236777827</v>
      </c>
      <c r="O24" s="163">
        <f t="shared" si="13"/>
        <v>141.82609236777827</v>
      </c>
      <c r="P24" s="161">
        <f t="shared" si="13"/>
        <v>0</v>
      </c>
      <c r="Q24" s="214">
        <f t="shared" si="13"/>
        <v>73.14254047196269</v>
      </c>
      <c r="T24" s="125"/>
      <c r="U24" s="125"/>
      <c r="V24" s="216"/>
    </row>
    <row r="25" spans="1:22" x14ac:dyDescent="0.3">
      <c r="B25" s="217" t="s">
        <v>284</v>
      </c>
      <c r="C25" s="218" t="s">
        <v>285</v>
      </c>
      <c r="D25" s="219">
        <f t="shared" si="12"/>
        <v>784.35142451573142</v>
      </c>
      <c r="E25" s="217">
        <f t="shared" ref="E25:E30" si="14">SUM(F25:H25)</f>
        <v>221.09362695688668</v>
      </c>
      <c r="F25" s="220">
        <f>F29-F30-F31-F35-F38-F39-F59-F60-F91</f>
        <v>27.347475423656007</v>
      </c>
      <c r="G25" s="221">
        <f>G29-G30-G31-G35-G38-G39-G59-G60-G91</f>
        <v>74.431516101301199</v>
      </c>
      <c r="H25" s="222">
        <f>H29-H30-H31-H35-H38-H39-H59-H60-H91</f>
        <v>119.31463543192947</v>
      </c>
      <c r="I25" s="217">
        <f t="shared" ref="I25:I57" si="15">SUM(J25:L25)</f>
        <v>400.83584205923762</v>
      </c>
      <c r="J25" s="220">
        <f t="shared" ref="J25:Q25" si="16">J29-J30-J31-J35-J38-J39-J59-J60-J91</f>
        <v>137.4691438073362</v>
      </c>
      <c r="K25" s="221">
        <f t="shared" si="16"/>
        <v>205.76172149532619</v>
      </c>
      <c r="L25" s="221">
        <f t="shared" si="16"/>
        <v>57.604976756575255</v>
      </c>
      <c r="M25" s="217">
        <f t="shared" si="16"/>
        <v>23.076053174103532</v>
      </c>
      <c r="N25" s="223">
        <f>SUM(O25:P25)</f>
        <v>99.647524172555563</v>
      </c>
      <c r="O25" s="224">
        <f t="shared" si="16"/>
        <v>99.647524172555563</v>
      </c>
      <c r="P25" s="222">
        <f t="shared" si="16"/>
        <v>0</v>
      </c>
      <c r="Q25" s="217">
        <f t="shared" si="16"/>
        <v>39.698378152947953</v>
      </c>
      <c r="T25" s="125"/>
      <c r="U25" s="125"/>
      <c r="V25" s="216"/>
    </row>
    <row r="26" spans="1:22" x14ac:dyDescent="0.3">
      <c r="B26" s="217" t="s">
        <v>286</v>
      </c>
      <c r="C26" s="225" t="s">
        <v>287</v>
      </c>
      <c r="D26" s="226">
        <f t="shared" si="12"/>
        <v>201.00652930791864</v>
      </c>
      <c r="E26" s="227">
        <f t="shared" si="14"/>
        <v>54.317201156179962</v>
      </c>
      <c r="F26" s="228">
        <f>F92-F94-F143</f>
        <v>2.2523990473394209</v>
      </c>
      <c r="G26" s="229">
        <f>G92-G94-G143</f>
        <v>16.092801257486343</v>
      </c>
      <c r="H26" s="230">
        <f>H92-H94-H143</f>
        <v>35.972000851354203</v>
      </c>
      <c r="I26" s="227">
        <f t="shared" si="15"/>
        <v>124.81106718773319</v>
      </c>
      <c r="J26" s="228">
        <f t="shared" ref="J26:Q26" si="17">J92-J94-J143</f>
        <v>59.115476191271185</v>
      </c>
      <c r="K26" s="229">
        <f t="shared" si="17"/>
        <v>53.516648549819678</v>
      </c>
      <c r="L26" s="229">
        <f t="shared" si="17"/>
        <v>12.17894244664233</v>
      </c>
      <c r="M26" s="227">
        <f t="shared" si="17"/>
        <v>5.0941436260581829</v>
      </c>
      <c r="N26" s="231">
        <f>SUM(O26:P26)</f>
        <v>3.3596462115973953</v>
      </c>
      <c r="O26" s="232">
        <f t="shared" si="17"/>
        <v>3.3596462115973953</v>
      </c>
      <c r="P26" s="230">
        <f t="shared" si="17"/>
        <v>0</v>
      </c>
      <c r="Q26" s="227">
        <f t="shared" si="17"/>
        <v>13.424471126349928</v>
      </c>
    </row>
    <row r="27" spans="1:22" x14ac:dyDescent="0.3">
      <c r="B27" s="217" t="s">
        <v>288</v>
      </c>
      <c r="C27" s="233" t="s">
        <v>289</v>
      </c>
      <c r="D27" s="234">
        <f t="shared" si="12"/>
        <v>371.33855238207343</v>
      </c>
      <c r="E27" s="235">
        <f t="shared" si="14"/>
        <v>103.79036148741298</v>
      </c>
      <c r="F27" s="236">
        <f>F190</f>
        <v>11.154905173392146</v>
      </c>
      <c r="G27" s="237">
        <f>G190</f>
        <v>34.11467764881278</v>
      </c>
      <c r="H27" s="238">
        <f>H190</f>
        <v>58.520778665208056</v>
      </c>
      <c r="I27" s="235">
        <f t="shared" si="15"/>
        <v>198.09345587199169</v>
      </c>
      <c r="J27" s="236">
        <f t="shared" ref="J27:Q27" si="18">J190</f>
        <v>74.084192376578315</v>
      </c>
      <c r="K27" s="237">
        <f t="shared" si="18"/>
        <v>97.710739760039786</v>
      </c>
      <c r="L27" s="237">
        <f t="shared" si="18"/>
        <v>26.298523735373568</v>
      </c>
      <c r="M27" s="235">
        <f t="shared" si="18"/>
        <v>10.616121846378599</v>
      </c>
      <c r="N27" s="239">
        <f>SUM(O27:P27)</f>
        <v>38.818921983625309</v>
      </c>
      <c r="O27" s="240">
        <f t="shared" si="18"/>
        <v>38.818921983625309</v>
      </c>
      <c r="P27" s="238">
        <f t="shared" si="18"/>
        <v>0</v>
      </c>
      <c r="Q27" s="235">
        <f t="shared" si="18"/>
        <v>20.019691192664816</v>
      </c>
    </row>
    <row r="28" spans="1:22" x14ac:dyDescent="0.3">
      <c r="B28" s="214" t="s">
        <v>290</v>
      </c>
      <c r="C28" s="215" t="s">
        <v>291</v>
      </c>
      <c r="D28" s="206">
        <f t="shared" si="12"/>
        <v>346.53282000000002</v>
      </c>
      <c r="E28" s="205">
        <f t="shared" si="14"/>
        <v>122.04346000000001</v>
      </c>
      <c r="F28" s="207">
        <f>F30+F31+F35+F38+F39+F59+F60+F91+F94+F143</f>
        <v>61.93459</v>
      </c>
      <c r="G28" s="208">
        <f>G30+G31+G35+G38+G39+G59+G60+G91+G94+G143</f>
        <v>16.356339999999999</v>
      </c>
      <c r="H28" s="209">
        <f>H30+H31+H35+H38+H39+H59+H60+H91+H94+H143</f>
        <v>43.75253</v>
      </c>
      <c r="I28" s="205">
        <f t="shared" si="15"/>
        <v>224.48936</v>
      </c>
      <c r="J28" s="207">
        <f t="shared" ref="J28:Q28" si="19">J30+J31+J35+J38+J39+J59+J60+J91+J94+J143</f>
        <v>87.864779999999996</v>
      </c>
      <c r="K28" s="208">
        <f t="shared" si="19"/>
        <v>131.86462</v>
      </c>
      <c r="L28" s="208">
        <f t="shared" si="19"/>
        <v>4.7599599999999995</v>
      </c>
      <c r="M28" s="205">
        <f t="shared" si="19"/>
        <v>0</v>
      </c>
      <c r="N28" s="210">
        <f>SUM(O28:P28)</f>
        <v>0</v>
      </c>
      <c r="O28" s="211">
        <f t="shared" si="19"/>
        <v>0</v>
      </c>
      <c r="P28" s="209">
        <f t="shared" si="19"/>
        <v>0</v>
      </c>
      <c r="Q28" s="205">
        <f t="shared" si="19"/>
        <v>0</v>
      </c>
    </row>
    <row r="29" spans="1:22" ht="45" customHeight="1" x14ac:dyDescent="0.3">
      <c r="B29" s="138" t="s">
        <v>109</v>
      </c>
      <c r="C29" s="139" t="s">
        <v>292</v>
      </c>
      <c r="D29" s="241">
        <f t="shared" si="12"/>
        <v>1130.8842445157316</v>
      </c>
      <c r="E29" s="138">
        <f t="shared" si="14"/>
        <v>343.13708695688672</v>
      </c>
      <c r="F29" s="242">
        <f>F30+F31+F34+F37+F40+F43+F45+F51+F52+F58+F65+F68+F83+F84</f>
        <v>89.282065423656007</v>
      </c>
      <c r="G29" s="243">
        <f>G30+G31+G34+G37+G40+G43+G45+G51+G52+G58+G65+G68+G83+G84</f>
        <v>90.787856101301202</v>
      </c>
      <c r="H29" s="244">
        <f>H30+H31+H34+H37+H40+H43+H45+H51+H52+H58+H65+H68+H83+H84</f>
        <v>163.06716543192948</v>
      </c>
      <c r="I29" s="138">
        <f t="shared" si="15"/>
        <v>625.32520205923765</v>
      </c>
      <c r="J29" s="242">
        <f t="shared" ref="J29:Q29" si="20">J30+J31+J34+J37+J40+J43+J45+J51+J52+J58+J65+J68+J83+J84</f>
        <v>225.33392380733619</v>
      </c>
      <c r="K29" s="243">
        <f t="shared" si="20"/>
        <v>337.62634149532619</v>
      </c>
      <c r="L29" s="243">
        <f t="shared" si="20"/>
        <v>62.364936756575254</v>
      </c>
      <c r="M29" s="138">
        <f t="shared" si="20"/>
        <v>23.076053174103532</v>
      </c>
      <c r="N29" s="245">
        <f>SUM(O29:P29)</f>
        <v>99.647524172555563</v>
      </c>
      <c r="O29" s="246">
        <f t="shared" si="20"/>
        <v>99.647524172555563</v>
      </c>
      <c r="P29" s="244">
        <f t="shared" si="20"/>
        <v>0</v>
      </c>
      <c r="Q29" s="138">
        <f t="shared" si="20"/>
        <v>39.698378152947953</v>
      </c>
      <c r="R29" s="247"/>
      <c r="S29" s="247"/>
      <c r="T29" s="216"/>
    </row>
    <row r="30" spans="1:22" x14ac:dyDescent="0.3">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x14ac:dyDescent="0.3">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x14ac:dyDescent="0.3">
      <c r="B32" s="174" t="s">
        <v>122</v>
      </c>
      <c r="C32" s="175" t="s">
        <v>261</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x14ac:dyDescent="0.3">
      <c r="B33" s="174" t="s">
        <v>124</v>
      </c>
      <c r="C33" s="175" t="s">
        <v>293</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x14ac:dyDescent="0.3">
      <c r="B34" s="155" t="s">
        <v>294</v>
      </c>
      <c r="C34" s="254" t="s">
        <v>295</v>
      </c>
      <c r="D34" s="157">
        <f t="shared" ref="D34:D91" si="23">E34+I34+M34+N34+Q34</f>
        <v>322.99084999999997</v>
      </c>
      <c r="E34" s="158">
        <f>E35+E36</f>
        <v>95.409459999999996</v>
      </c>
      <c r="F34" s="159">
        <f>F35+F36</f>
        <v>30.220590000000001</v>
      </c>
      <c r="G34" s="160">
        <f>G35+G36</f>
        <v>17.146339999999999</v>
      </c>
      <c r="H34" s="161">
        <f>H35+H36</f>
        <v>48.042529999999999</v>
      </c>
      <c r="I34" s="158">
        <f t="shared" si="15"/>
        <v>227.14606999999998</v>
      </c>
      <c r="J34" s="159">
        <f t="shared" ref="J34:Q34" si="24">SUM(J35:J36)</f>
        <v>92.694779999999994</v>
      </c>
      <c r="K34" s="160">
        <f t="shared" si="24"/>
        <v>132.31862000000001</v>
      </c>
      <c r="L34" s="160">
        <f t="shared" si="24"/>
        <v>2.1326700000000001</v>
      </c>
      <c r="M34" s="157">
        <f t="shared" si="24"/>
        <v>0</v>
      </c>
      <c r="N34" s="158">
        <f t="shared" si="21"/>
        <v>0.43531999999999998</v>
      </c>
      <c r="O34" s="163">
        <f t="shared" si="24"/>
        <v>0.43531999999999998</v>
      </c>
      <c r="P34" s="161">
        <f t="shared" si="24"/>
        <v>0</v>
      </c>
      <c r="Q34" s="158">
        <f t="shared" si="24"/>
        <v>0</v>
      </c>
      <c r="T34" s="216"/>
    </row>
    <row r="35" spans="2:20" ht="33" customHeight="1" x14ac:dyDescent="0.3">
      <c r="B35" s="174" t="s">
        <v>296</v>
      </c>
      <c r="C35" s="175" t="s">
        <v>263</v>
      </c>
      <c r="D35" s="219">
        <f t="shared" si="23"/>
        <v>290.33552999999995</v>
      </c>
      <c r="E35" s="217">
        <f t="shared" ref="E35:E99" si="25">SUM(F35:H35)</f>
        <v>87.729459999999989</v>
      </c>
      <c r="F35" s="256">
        <v>27.62059</v>
      </c>
      <c r="G35" s="96">
        <v>16.356339999999999</v>
      </c>
      <c r="H35" s="257">
        <v>43.75253</v>
      </c>
      <c r="I35" s="217">
        <f t="shared" si="15"/>
        <v>202.60606999999999</v>
      </c>
      <c r="J35" s="256">
        <v>87.864779999999996</v>
      </c>
      <c r="K35" s="96">
        <v>112.92862</v>
      </c>
      <c r="L35" s="96">
        <v>1.81267</v>
      </c>
      <c r="M35" s="258">
        <v>0</v>
      </c>
      <c r="N35" s="217">
        <f t="shared" si="21"/>
        <v>0</v>
      </c>
      <c r="O35" s="259">
        <v>0</v>
      </c>
      <c r="P35" s="257">
        <v>0</v>
      </c>
      <c r="Q35" s="255">
        <v>0</v>
      </c>
    </row>
    <row r="36" spans="2:20" ht="26.25" customHeight="1" x14ac:dyDescent="0.3">
      <c r="B36" s="174" t="s">
        <v>297</v>
      </c>
      <c r="C36" s="175" t="s">
        <v>298</v>
      </c>
      <c r="D36" s="219">
        <f t="shared" si="23"/>
        <v>32.655319999999996</v>
      </c>
      <c r="E36" s="217">
        <f t="shared" si="25"/>
        <v>7.68</v>
      </c>
      <c r="F36" s="256">
        <v>2.6</v>
      </c>
      <c r="G36" s="260">
        <v>0.79</v>
      </c>
      <c r="H36" s="261">
        <v>4.29</v>
      </c>
      <c r="I36" s="217">
        <f t="shared" si="15"/>
        <v>24.54</v>
      </c>
      <c r="J36" s="262">
        <v>4.83</v>
      </c>
      <c r="K36" s="260">
        <v>19.39</v>
      </c>
      <c r="L36" s="260">
        <v>0.32</v>
      </c>
      <c r="M36" s="258">
        <v>0</v>
      </c>
      <c r="N36" s="217">
        <f t="shared" si="21"/>
        <v>0.43531999999999998</v>
      </c>
      <c r="O36" s="259">
        <v>0.43531999999999998</v>
      </c>
      <c r="P36" s="257">
        <v>0</v>
      </c>
      <c r="Q36" s="255">
        <v>0</v>
      </c>
    </row>
    <row r="37" spans="2:20" x14ac:dyDescent="0.3">
      <c r="B37" s="155" t="s">
        <v>299</v>
      </c>
      <c r="C37" s="254" t="s">
        <v>265</v>
      </c>
      <c r="D37" s="157">
        <f t="shared" si="23"/>
        <v>2.9472899999999997</v>
      </c>
      <c r="E37" s="158">
        <f t="shared" si="25"/>
        <v>0</v>
      </c>
      <c r="F37" s="159">
        <f>F38</f>
        <v>0</v>
      </c>
      <c r="G37" s="160">
        <f>G38</f>
        <v>0</v>
      </c>
      <c r="H37" s="161">
        <f>H38</f>
        <v>0</v>
      </c>
      <c r="I37" s="158">
        <f t="shared" si="15"/>
        <v>2.9472899999999997</v>
      </c>
      <c r="J37" s="159">
        <f t="shared" ref="J37:Q37" si="26">SUM(J38:J39)</f>
        <v>0</v>
      </c>
      <c r="K37" s="160">
        <f t="shared" si="26"/>
        <v>0</v>
      </c>
      <c r="L37" s="160">
        <f t="shared" si="26"/>
        <v>2.9472899999999997</v>
      </c>
      <c r="M37" s="157">
        <f t="shared" si="26"/>
        <v>0</v>
      </c>
      <c r="N37" s="158">
        <f t="shared" si="21"/>
        <v>0</v>
      </c>
      <c r="O37" s="163">
        <f t="shared" si="26"/>
        <v>0</v>
      </c>
      <c r="P37" s="161">
        <f t="shared" si="26"/>
        <v>0</v>
      </c>
      <c r="Q37" s="158">
        <f t="shared" si="26"/>
        <v>0</v>
      </c>
    </row>
    <row r="38" spans="2:20" x14ac:dyDescent="0.3">
      <c r="B38" s="174" t="s">
        <v>300</v>
      </c>
      <c r="C38" s="175" t="s">
        <v>301</v>
      </c>
      <c r="D38" s="219">
        <f t="shared" si="23"/>
        <v>2.9472899999999997</v>
      </c>
      <c r="E38" s="217">
        <f t="shared" si="25"/>
        <v>0</v>
      </c>
      <c r="F38" s="262">
        <v>0</v>
      </c>
      <c r="G38" s="260">
        <v>0</v>
      </c>
      <c r="H38" s="261">
        <v>0</v>
      </c>
      <c r="I38" s="217">
        <f t="shared" si="15"/>
        <v>2.9472899999999997</v>
      </c>
      <c r="J38" s="262">
        <v>0</v>
      </c>
      <c r="K38" s="260">
        <v>0</v>
      </c>
      <c r="L38" s="260">
        <v>2.9472899999999997</v>
      </c>
      <c r="M38" s="263">
        <v>0</v>
      </c>
      <c r="N38" s="217">
        <f t="shared" si="21"/>
        <v>0</v>
      </c>
      <c r="O38" s="259">
        <v>0</v>
      </c>
      <c r="P38" s="257">
        <v>0</v>
      </c>
      <c r="Q38" s="255">
        <v>0</v>
      </c>
    </row>
    <row r="39" spans="2:20" x14ac:dyDescent="0.3">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x14ac:dyDescent="0.3">
      <c r="B40" s="155" t="s">
        <v>304</v>
      </c>
      <c r="C40" s="254" t="s">
        <v>305</v>
      </c>
      <c r="D40" s="157">
        <f t="shared" si="23"/>
        <v>13.909700000000001</v>
      </c>
      <c r="E40" s="158">
        <f t="shared" si="25"/>
        <v>0</v>
      </c>
      <c r="F40" s="159">
        <f>SUM(F41:F42)</f>
        <v>0</v>
      </c>
      <c r="G40" s="160">
        <f>SUM(G41:G42)</f>
        <v>0</v>
      </c>
      <c r="H40" s="161">
        <f>SUM(H41:H42)</f>
        <v>0</v>
      </c>
      <c r="I40" s="158">
        <f t="shared" si="15"/>
        <v>4.7527100000000004</v>
      </c>
      <c r="J40" s="159">
        <f t="shared" ref="J40:Q40" si="27">SUM(J41:J42)</f>
        <v>0</v>
      </c>
      <c r="K40" s="160">
        <f t="shared" si="27"/>
        <v>0</v>
      </c>
      <c r="L40" s="160">
        <f t="shared" si="27"/>
        <v>4.7527100000000004</v>
      </c>
      <c r="M40" s="157">
        <f t="shared" si="27"/>
        <v>0</v>
      </c>
      <c r="N40" s="158">
        <f t="shared" si="21"/>
        <v>2.1318800000000002</v>
      </c>
      <c r="O40" s="163">
        <f t="shared" si="27"/>
        <v>2.1318800000000002</v>
      </c>
      <c r="P40" s="161">
        <f t="shared" si="27"/>
        <v>0</v>
      </c>
      <c r="Q40" s="158">
        <f t="shared" si="27"/>
        <v>7.0251099999999997</v>
      </c>
    </row>
    <row r="41" spans="2:20" ht="31.5" customHeight="1" x14ac:dyDescent="0.3">
      <c r="B41" s="174" t="s">
        <v>306</v>
      </c>
      <c r="C41" s="175" t="s">
        <v>307</v>
      </c>
      <c r="D41" s="219">
        <f t="shared" si="23"/>
        <v>13.909700000000001</v>
      </c>
      <c r="E41" s="217">
        <f t="shared" si="25"/>
        <v>0</v>
      </c>
      <c r="F41" s="256">
        <v>0</v>
      </c>
      <c r="G41" s="96">
        <v>0</v>
      </c>
      <c r="H41" s="257">
        <v>0</v>
      </c>
      <c r="I41" s="217">
        <f t="shared" si="15"/>
        <v>4.7527100000000004</v>
      </c>
      <c r="J41" s="256">
        <v>0</v>
      </c>
      <c r="K41" s="96">
        <v>0</v>
      </c>
      <c r="L41" s="96">
        <v>4.7527100000000004</v>
      </c>
      <c r="M41" s="258">
        <v>0</v>
      </c>
      <c r="N41" s="217">
        <f t="shared" si="21"/>
        <v>2.1318800000000002</v>
      </c>
      <c r="O41" s="259">
        <v>2.1318800000000002</v>
      </c>
      <c r="P41" s="257">
        <v>0</v>
      </c>
      <c r="Q41" s="255">
        <v>7.0251099999999997</v>
      </c>
    </row>
    <row r="42" spans="2:20" x14ac:dyDescent="0.3">
      <c r="B42" s="174" t="s">
        <v>308</v>
      </c>
      <c r="C42" s="175" t="s">
        <v>309</v>
      </c>
      <c r="D42" s="219">
        <f t="shared" si="23"/>
        <v>0</v>
      </c>
      <c r="E42" s="217">
        <f t="shared" si="25"/>
        <v>0</v>
      </c>
      <c r="F42" s="256">
        <v>0</v>
      </c>
      <c r="G42" s="96">
        <v>0</v>
      </c>
      <c r="H42" s="257">
        <v>0</v>
      </c>
      <c r="I42" s="217">
        <f t="shared" si="15"/>
        <v>0</v>
      </c>
      <c r="J42" s="256">
        <v>0</v>
      </c>
      <c r="K42" s="96">
        <v>0</v>
      </c>
      <c r="L42" s="96">
        <v>0</v>
      </c>
      <c r="M42" s="258">
        <v>0</v>
      </c>
      <c r="N42" s="217">
        <f t="shared" si="21"/>
        <v>0</v>
      </c>
      <c r="O42" s="259">
        <v>0</v>
      </c>
      <c r="P42" s="257">
        <v>0</v>
      </c>
      <c r="Q42" s="255">
        <v>0</v>
      </c>
    </row>
    <row r="43" spans="2:20" x14ac:dyDescent="0.3">
      <c r="B43" s="155" t="s">
        <v>310</v>
      </c>
      <c r="C43" s="254" t="s">
        <v>311</v>
      </c>
      <c r="D43" s="157">
        <f t="shared" si="23"/>
        <v>0</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0</v>
      </c>
    </row>
    <row r="44" spans="2:20" x14ac:dyDescent="0.3">
      <c r="B44" s="174" t="s">
        <v>312</v>
      </c>
      <c r="C44" s="175" t="s">
        <v>313</v>
      </c>
      <c r="D44" s="219">
        <f t="shared" si="23"/>
        <v>0</v>
      </c>
      <c r="E44" s="217">
        <f t="shared" si="25"/>
        <v>0</v>
      </c>
      <c r="F44" s="256">
        <v>0</v>
      </c>
      <c r="G44" s="96">
        <v>0</v>
      </c>
      <c r="H44" s="257">
        <v>0</v>
      </c>
      <c r="I44" s="217">
        <f t="shared" si="15"/>
        <v>0</v>
      </c>
      <c r="J44" s="256">
        <v>0</v>
      </c>
      <c r="K44" s="96">
        <v>0</v>
      </c>
      <c r="L44" s="96">
        <v>0</v>
      </c>
      <c r="M44" s="258">
        <v>0</v>
      </c>
      <c r="N44" s="217">
        <f t="shared" si="21"/>
        <v>0</v>
      </c>
      <c r="O44" s="259">
        <v>0</v>
      </c>
      <c r="P44" s="257">
        <v>0</v>
      </c>
      <c r="Q44" s="255">
        <v>0</v>
      </c>
    </row>
    <row r="45" spans="2:20" x14ac:dyDescent="0.3">
      <c r="B45" s="155" t="s">
        <v>314</v>
      </c>
      <c r="C45" s="254" t="s">
        <v>315</v>
      </c>
      <c r="D45" s="157">
        <f t="shared" si="23"/>
        <v>95.922370000000015</v>
      </c>
      <c r="E45" s="158">
        <f t="shared" si="25"/>
        <v>35.171050000000001</v>
      </c>
      <c r="F45" s="159">
        <f>SUM(F46:F50)</f>
        <v>6.1212999999999997</v>
      </c>
      <c r="G45" s="160">
        <f>SUM(G46:G50)</f>
        <v>8.8002500000000001</v>
      </c>
      <c r="H45" s="161">
        <f>SUM(H46:H50)</f>
        <v>20.249500000000001</v>
      </c>
      <c r="I45" s="158">
        <f t="shared" si="15"/>
        <v>53.727160000000005</v>
      </c>
      <c r="J45" s="159">
        <f t="shared" ref="J45:Q45" si="29">SUM(J46:J50)</f>
        <v>29.169879999999999</v>
      </c>
      <c r="K45" s="160">
        <f t="shared" si="29"/>
        <v>23.309990000000003</v>
      </c>
      <c r="L45" s="160">
        <f t="shared" si="29"/>
        <v>1.24729</v>
      </c>
      <c r="M45" s="157">
        <f t="shared" si="29"/>
        <v>0.87009000000000003</v>
      </c>
      <c r="N45" s="158">
        <f t="shared" si="21"/>
        <v>0.38218000000000002</v>
      </c>
      <c r="O45" s="163">
        <f t="shared" si="29"/>
        <v>0.38218000000000002</v>
      </c>
      <c r="P45" s="161">
        <f t="shared" si="29"/>
        <v>0</v>
      </c>
      <c r="Q45" s="158">
        <f t="shared" si="29"/>
        <v>5.7718900000000009</v>
      </c>
    </row>
    <row r="46" spans="2:20" x14ac:dyDescent="0.3">
      <c r="B46" s="174" t="s">
        <v>316</v>
      </c>
      <c r="C46" s="175" t="s">
        <v>269</v>
      </c>
      <c r="D46" s="219">
        <f t="shared" si="23"/>
        <v>58.286520000000003</v>
      </c>
      <c r="E46" s="217">
        <f t="shared" si="25"/>
        <v>24.829620000000002</v>
      </c>
      <c r="F46" s="256">
        <v>1.0328299999999999</v>
      </c>
      <c r="G46" s="96">
        <v>3.5472899999999998</v>
      </c>
      <c r="H46" s="257">
        <v>20.249500000000001</v>
      </c>
      <c r="I46" s="217">
        <f t="shared" si="15"/>
        <v>28.05762</v>
      </c>
      <c r="J46" s="256">
        <v>20.869029999999999</v>
      </c>
      <c r="K46" s="96">
        <v>7.0876999999999999</v>
      </c>
      <c r="L46" s="96">
        <v>0.10089000000000001</v>
      </c>
      <c r="M46" s="258">
        <v>0.87009000000000003</v>
      </c>
      <c r="N46" s="217">
        <f t="shared" si="21"/>
        <v>0.36730000000000002</v>
      </c>
      <c r="O46" s="259">
        <v>0.36730000000000002</v>
      </c>
      <c r="P46" s="257">
        <v>0</v>
      </c>
      <c r="Q46" s="255">
        <v>4.1618900000000005</v>
      </c>
    </row>
    <row r="47" spans="2:20" x14ac:dyDescent="0.3">
      <c r="B47" s="174" t="s">
        <v>317</v>
      </c>
      <c r="C47" s="175" t="s">
        <v>273</v>
      </c>
      <c r="D47" s="219">
        <f t="shared" si="23"/>
        <v>33.61627</v>
      </c>
      <c r="E47" s="217">
        <f t="shared" si="25"/>
        <v>8.3811299999999989</v>
      </c>
      <c r="F47" s="256">
        <v>3.1281699999999999</v>
      </c>
      <c r="G47" s="96">
        <v>5.2529599999999999</v>
      </c>
      <c r="H47" s="257">
        <v>0</v>
      </c>
      <c r="I47" s="217">
        <f t="shared" si="15"/>
        <v>23.625140000000002</v>
      </c>
      <c r="J47" s="256">
        <v>7.9712500000000004</v>
      </c>
      <c r="K47" s="96">
        <v>14.507490000000001</v>
      </c>
      <c r="L47" s="96">
        <v>1.1464000000000001</v>
      </c>
      <c r="M47" s="258">
        <v>0</v>
      </c>
      <c r="N47" s="217">
        <f t="shared" si="21"/>
        <v>0</v>
      </c>
      <c r="O47" s="259">
        <v>0</v>
      </c>
      <c r="P47" s="257">
        <v>0</v>
      </c>
      <c r="Q47" s="255">
        <v>1.61</v>
      </c>
    </row>
    <row r="48" spans="2:20" x14ac:dyDescent="0.3">
      <c r="B48" s="174" t="s">
        <v>318</v>
      </c>
      <c r="C48" s="264" t="s">
        <v>319</v>
      </c>
      <c r="D48" s="219">
        <f t="shared" si="23"/>
        <v>2.1105799999999997</v>
      </c>
      <c r="E48" s="217">
        <f t="shared" si="25"/>
        <v>0.11370000000000001</v>
      </c>
      <c r="F48" s="256">
        <v>0.11370000000000001</v>
      </c>
      <c r="G48" s="96">
        <v>0</v>
      </c>
      <c r="H48" s="257">
        <v>0</v>
      </c>
      <c r="I48" s="217">
        <f t="shared" si="15"/>
        <v>1.982</v>
      </c>
      <c r="J48" s="256">
        <v>0.308</v>
      </c>
      <c r="K48" s="96">
        <v>1.6739999999999999</v>
      </c>
      <c r="L48" s="96">
        <v>0</v>
      </c>
      <c r="M48" s="258">
        <v>0</v>
      </c>
      <c r="N48" s="217">
        <f t="shared" si="21"/>
        <v>1.4880000000000001E-2</v>
      </c>
      <c r="O48" s="259">
        <v>1.4880000000000001E-2</v>
      </c>
      <c r="P48" s="257">
        <v>0</v>
      </c>
      <c r="Q48" s="255">
        <v>0</v>
      </c>
    </row>
    <row r="49" spans="2:17" x14ac:dyDescent="0.3">
      <c r="B49" s="174" t="s">
        <v>320</v>
      </c>
      <c r="C49" s="265" t="s">
        <v>271</v>
      </c>
      <c r="D49" s="219">
        <f t="shared" si="23"/>
        <v>0</v>
      </c>
      <c r="E49" s="217">
        <f t="shared" si="25"/>
        <v>0</v>
      </c>
      <c r="F49" s="256">
        <v>0</v>
      </c>
      <c r="G49" s="96">
        <v>0</v>
      </c>
      <c r="H49" s="257">
        <v>0</v>
      </c>
      <c r="I49" s="217">
        <f t="shared" si="15"/>
        <v>0</v>
      </c>
      <c r="J49" s="256">
        <v>0</v>
      </c>
      <c r="K49" s="96">
        <v>0</v>
      </c>
      <c r="L49" s="96">
        <v>0</v>
      </c>
      <c r="M49" s="258">
        <v>0</v>
      </c>
      <c r="N49" s="217">
        <f t="shared" si="21"/>
        <v>0</v>
      </c>
      <c r="O49" s="259">
        <v>0</v>
      </c>
      <c r="P49" s="257">
        <v>0</v>
      </c>
      <c r="Q49" s="255">
        <v>0</v>
      </c>
    </row>
    <row r="50" spans="2:17" ht="29.25" customHeight="1" x14ac:dyDescent="0.3">
      <c r="B50" s="174" t="s">
        <v>321</v>
      </c>
      <c r="C50" s="265" t="s">
        <v>322</v>
      </c>
      <c r="D50" s="219">
        <f t="shared" si="23"/>
        <v>1.909</v>
      </c>
      <c r="E50" s="217">
        <f t="shared" si="25"/>
        <v>1.8466</v>
      </c>
      <c r="F50" s="256">
        <v>1.8466</v>
      </c>
      <c r="G50" s="96">
        <v>0</v>
      </c>
      <c r="H50" s="257">
        <v>0</v>
      </c>
      <c r="I50" s="217">
        <f t="shared" si="15"/>
        <v>6.2399999999999997E-2</v>
      </c>
      <c r="J50" s="256">
        <v>2.1600000000000001E-2</v>
      </c>
      <c r="K50" s="96">
        <v>4.0799999999999996E-2</v>
      </c>
      <c r="L50" s="96">
        <v>0</v>
      </c>
      <c r="M50" s="258">
        <v>0</v>
      </c>
      <c r="N50" s="217">
        <f t="shared" si="21"/>
        <v>0</v>
      </c>
      <c r="O50" s="259">
        <v>0</v>
      </c>
      <c r="P50" s="257">
        <v>0</v>
      </c>
      <c r="Q50" s="255">
        <v>0</v>
      </c>
    </row>
    <row r="51" spans="2:17" x14ac:dyDescent="0.3">
      <c r="B51" s="155" t="s">
        <v>323</v>
      </c>
      <c r="C51" s="254" t="s">
        <v>324</v>
      </c>
      <c r="D51" s="157">
        <f t="shared" si="23"/>
        <v>152.19569454873132</v>
      </c>
      <c r="E51" s="158">
        <f t="shared" si="25"/>
        <v>53.498681618569663</v>
      </c>
      <c r="F51" s="266">
        <v>4.7821335831560017</v>
      </c>
      <c r="G51" s="267">
        <v>19.241214243301208</v>
      </c>
      <c r="H51" s="268">
        <v>29.475333792112451</v>
      </c>
      <c r="I51" s="158">
        <f t="shared" si="15"/>
        <v>41.87973588255462</v>
      </c>
      <c r="J51" s="266">
        <v>27.478320090966488</v>
      </c>
      <c r="K51" s="267">
        <v>14.037969595855451</v>
      </c>
      <c r="L51" s="267">
        <v>0.36344619573268366</v>
      </c>
      <c r="M51" s="269">
        <v>4.0567898681035341</v>
      </c>
      <c r="N51" s="158">
        <f>SUM(O51:P51)</f>
        <v>40.976196805555553</v>
      </c>
      <c r="O51" s="270">
        <v>40.976196805555553</v>
      </c>
      <c r="P51" s="271">
        <v>0</v>
      </c>
      <c r="Q51" s="272">
        <v>11.784290373947954</v>
      </c>
    </row>
    <row r="52" spans="2:17" x14ac:dyDescent="0.3">
      <c r="B52" s="155" t="s">
        <v>325</v>
      </c>
      <c r="C52" s="254" t="s">
        <v>326</v>
      </c>
      <c r="D52" s="157">
        <f t="shared" si="23"/>
        <v>457.04197996700003</v>
      </c>
      <c r="E52" s="158">
        <f t="shared" si="25"/>
        <v>107.9289848155</v>
      </c>
      <c r="F52" s="159">
        <f>SUM(F53:F57)</f>
        <v>10.2752218405</v>
      </c>
      <c r="G52" s="160">
        <f>SUM(G53:G57)</f>
        <v>43.668261857999994</v>
      </c>
      <c r="H52" s="161">
        <f>SUM(H53:H57)</f>
        <v>53.985501117000005</v>
      </c>
      <c r="I52" s="158">
        <f t="shared" si="15"/>
        <v>262.67205669949999</v>
      </c>
      <c r="J52" s="159">
        <f t="shared" ref="J52:Q52" si="30">SUM(J53:J57)</f>
        <v>74.049943203499993</v>
      </c>
      <c r="K52" s="160">
        <f t="shared" si="30"/>
        <v>139.65690296100001</v>
      </c>
      <c r="L52" s="160">
        <f t="shared" si="30"/>
        <v>48.96521053499999</v>
      </c>
      <c r="M52" s="157">
        <f t="shared" si="30"/>
        <v>18.022423306</v>
      </c>
      <c r="N52" s="158">
        <f>SUM(O52:P52)</f>
        <v>53.651597367000008</v>
      </c>
      <c r="O52" s="163">
        <f t="shared" si="30"/>
        <v>53.651597367000008</v>
      </c>
      <c r="P52" s="161">
        <f t="shared" si="30"/>
        <v>0</v>
      </c>
      <c r="Q52" s="158">
        <f t="shared" si="30"/>
        <v>14.766917778999998</v>
      </c>
    </row>
    <row r="53" spans="2:17" x14ac:dyDescent="0.3">
      <c r="B53" s="273" t="s">
        <v>327</v>
      </c>
      <c r="C53" s="274" t="s">
        <v>328</v>
      </c>
      <c r="D53" s="219">
        <f t="shared" si="23"/>
        <v>434.31909999999999</v>
      </c>
      <c r="E53" s="217">
        <f t="shared" si="25"/>
        <v>101.26809499999999</v>
      </c>
      <c r="F53" s="256">
        <v>10.096555</v>
      </c>
      <c r="G53" s="96">
        <v>39.68334999999999</v>
      </c>
      <c r="H53" s="257">
        <v>51.488190000000003</v>
      </c>
      <c r="I53" s="217">
        <f t="shared" si="15"/>
        <v>249.419105</v>
      </c>
      <c r="J53" s="256">
        <v>69.079574999999991</v>
      </c>
      <c r="K53" s="96">
        <v>133.95496000000003</v>
      </c>
      <c r="L53" s="96">
        <v>46.384569999999989</v>
      </c>
      <c r="M53" s="258">
        <v>17.265470000000001</v>
      </c>
      <c r="N53" s="217">
        <f>SUM(O53:P53)</f>
        <v>51.854860000000009</v>
      </c>
      <c r="O53" s="259">
        <v>51.854860000000009</v>
      </c>
      <c r="P53" s="257">
        <v>0</v>
      </c>
      <c r="Q53" s="255">
        <v>14.511569999999999</v>
      </c>
    </row>
    <row r="54" spans="2:17" x14ac:dyDescent="0.3">
      <c r="B54" s="273" t="s">
        <v>329</v>
      </c>
      <c r="C54" s="274" t="s">
        <v>330</v>
      </c>
      <c r="D54" s="219">
        <f t="shared" si="23"/>
        <v>7.647829966999999</v>
      </c>
      <c r="E54" s="217">
        <f t="shared" si="25"/>
        <v>1.7877398154999997</v>
      </c>
      <c r="F54" s="256">
        <v>0.17866684049999998</v>
      </c>
      <c r="G54" s="96">
        <v>0.69938185799999986</v>
      </c>
      <c r="H54" s="257">
        <v>0.90969111700000005</v>
      </c>
      <c r="I54" s="217">
        <f t="shared" si="15"/>
        <v>4.4100416994999998</v>
      </c>
      <c r="J54" s="256">
        <v>1.2300282034999999</v>
      </c>
      <c r="K54" s="96">
        <v>2.3654829610000001</v>
      </c>
      <c r="L54" s="96">
        <v>0.81453053499999983</v>
      </c>
      <c r="M54" s="258">
        <v>0.30558330600000005</v>
      </c>
      <c r="N54" s="217">
        <f t="shared" ref="N54:N57" si="31">SUM(O54:P54)</f>
        <v>0.88911736700000021</v>
      </c>
      <c r="O54" s="259">
        <v>0.88911736700000021</v>
      </c>
      <c r="P54" s="257">
        <v>0</v>
      </c>
      <c r="Q54" s="255">
        <v>0.25534777899999989</v>
      </c>
    </row>
    <row r="55" spans="2:17" x14ac:dyDescent="0.3">
      <c r="B55" s="273" t="s">
        <v>331</v>
      </c>
      <c r="C55" s="274" t="s">
        <v>332</v>
      </c>
      <c r="D55" s="219">
        <f t="shared" si="23"/>
        <v>0</v>
      </c>
      <c r="E55" s="217">
        <f t="shared" si="25"/>
        <v>0</v>
      </c>
      <c r="F55" s="256">
        <v>0</v>
      </c>
      <c r="G55" s="96">
        <v>0</v>
      </c>
      <c r="H55" s="257">
        <v>0</v>
      </c>
      <c r="I55" s="217">
        <f t="shared" si="15"/>
        <v>0</v>
      </c>
      <c r="J55" s="256">
        <v>0</v>
      </c>
      <c r="K55" s="96">
        <v>0</v>
      </c>
      <c r="L55" s="96">
        <v>0</v>
      </c>
      <c r="M55" s="258">
        <v>0</v>
      </c>
      <c r="N55" s="217">
        <f t="shared" si="31"/>
        <v>0</v>
      </c>
      <c r="O55" s="259">
        <v>0</v>
      </c>
      <c r="P55" s="257">
        <v>0</v>
      </c>
      <c r="Q55" s="255">
        <v>0</v>
      </c>
    </row>
    <row r="56" spans="2:17" x14ac:dyDescent="0.3">
      <c r="B56" s="273" t="s">
        <v>333</v>
      </c>
      <c r="C56" s="264" t="s">
        <v>334</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x14ac:dyDescent="0.3">
      <c r="B57" s="273" t="s">
        <v>335</v>
      </c>
      <c r="C57" s="264" t="s">
        <v>336</v>
      </c>
      <c r="D57" s="219">
        <f>E57+I57+M57+N57+Q57</f>
        <v>15.075049999999999</v>
      </c>
      <c r="E57" s="217">
        <f t="shared" si="25"/>
        <v>4.873149999999999</v>
      </c>
      <c r="F57" s="256">
        <v>0</v>
      </c>
      <c r="G57" s="96">
        <v>3.2855299999999996</v>
      </c>
      <c r="H57" s="257">
        <v>1.5876199999999998</v>
      </c>
      <c r="I57" s="217">
        <f t="shared" si="15"/>
        <v>8.8429099999999998</v>
      </c>
      <c r="J57" s="256">
        <v>3.7403399999999998</v>
      </c>
      <c r="K57" s="96">
        <v>3.3364600000000002</v>
      </c>
      <c r="L57" s="96">
        <v>1.7661100000000001</v>
      </c>
      <c r="M57" s="258">
        <v>0.45136999999999999</v>
      </c>
      <c r="N57" s="217">
        <f t="shared" si="31"/>
        <v>0.90761999999999998</v>
      </c>
      <c r="O57" s="259">
        <v>0.90761999999999998</v>
      </c>
      <c r="P57" s="257">
        <v>0</v>
      </c>
      <c r="Q57" s="255">
        <v>0</v>
      </c>
    </row>
    <row r="58" spans="2:17" x14ac:dyDescent="0.3">
      <c r="B58" s="155" t="s">
        <v>337</v>
      </c>
      <c r="C58" s="254" t="s">
        <v>338</v>
      </c>
      <c r="D58" s="157">
        <f t="shared" si="23"/>
        <v>58.056019999999997</v>
      </c>
      <c r="E58" s="158">
        <f t="shared" si="25"/>
        <v>36.073930522817015</v>
      </c>
      <c r="F58" s="159">
        <f>SUM(F59:F64)</f>
        <v>34.314</v>
      </c>
      <c r="G58" s="160">
        <f>SUM(G59:G64)</f>
        <v>0</v>
      </c>
      <c r="H58" s="161">
        <f>SUM(H59:H64)</f>
        <v>1.759930522817017</v>
      </c>
      <c r="I58" s="158">
        <f t="shared" ref="I58:I123" si="32">SUM(J58:L58)</f>
        <v>21.902489477182982</v>
      </c>
      <c r="J58" s="159">
        <f t="shared" ref="J58:Q58" si="33">SUM(J59:J64)</f>
        <v>1.0432405128697082</v>
      </c>
      <c r="K58" s="160">
        <f t="shared" si="33"/>
        <v>20.5241289384707</v>
      </c>
      <c r="L58" s="160">
        <f t="shared" si="33"/>
        <v>0.33512002584257478</v>
      </c>
      <c r="M58" s="157">
        <f t="shared" si="33"/>
        <v>7.959999999999999E-2</v>
      </c>
      <c r="N58" s="158">
        <f>SUM(O58:P58)</f>
        <v>0</v>
      </c>
      <c r="O58" s="163">
        <f t="shared" si="33"/>
        <v>0</v>
      </c>
      <c r="P58" s="161">
        <f t="shared" si="33"/>
        <v>0</v>
      </c>
      <c r="Q58" s="158">
        <f t="shared" si="33"/>
        <v>0</v>
      </c>
    </row>
    <row r="59" spans="2:17" x14ac:dyDescent="0.3">
      <c r="B59" s="273" t="s">
        <v>339</v>
      </c>
      <c r="C59" s="274" t="s">
        <v>340</v>
      </c>
      <c r="D59" s="176">
        <f t="shared" si="23"/>
        <v>34.314</v>
      </c>
      <c r="E59" s="217">
        <f t="shared" si="25"/>
        <v>34.314</v>
      </c>
      <c r="F59" s="262">
        <v>34.314</v>
      </c>
      <c r="G59" s="260">
        <v>0</v>
      </c>
      <c r="H59" s="261">
        <v>0</v>
      </c>
      <c r="I59" s="217">
        <f t="shared" si="32"/>
        <v>0</v>
      </c>
      <c r="J59" s="262">
        <v>0</v>
      </c>
      <c r="K59" s="260">
        <v>0</v>
      </c>
      <c r="L59" s="260">
        <v>0</v>
      </c>
      <c r="M59" s="263">
        <v>0</v>
      </c>
      <c r="N59" s="217">
        <f>SUM(O59:P59)</f>
        <v>0</v>
      </c>
      <c r="O59" s="259">
        <v>0</v>
      </c>
      <c r="P59" s="257">
        <v>0</v>
      </c>
      <c r="Q59" s="275">
        <v>0</v>
      </c>
    </row>
    <row r="60" spans="2:17" x14ac:dyDescent="0.3">
      <c r="B60" s="273" t="s">
        <v>341</v>
      </c>
      <c r="C60" s="274" t="s">
        <v>342</v>
      </c>
      <c r="D60" s="176">
        <f t="shared" si="23"/>
        <v>18.936</v>
      </c>
      <c r="E60" s="217">
        <f t="shared" si="25"/>
        <v>0</v>
      </c>
      <c r="F60" s="262">
        <v>0</v>
      </c>
      <c r="G60" s="260">
        <v>0</v>
      </c>
      <c r="H60" s="261">
        <v>0</v>
      </c>
      <c r="I60" s="217">
        <f t="shared" si="32"/>
        <v>18.936</v>
      </c>
      <c r="J60" s="262">
        <v>0</v>
      </c>
      <c r="K60" s="260">
        <v>18.936</v>
      </c>
      <c r="L60" s="260">
        <v>0</v>
      </c>
      <c r="M60" s="263">
        <v>0</v>
      </c>
      <c r="N60" s="217">
        <f t="shared" ref="N60:N64" si="34">SUM(O60:P60)</f>
        <v>0</v>
      </c>
      <c r="O60" s="259">
        <v>0</v>
      </c>
      <c r="P60" s="257">
        <v>0</v>
      </c>
      <c r="Q60" s="275">
        <v>0</v>
      </c>
    </row>
    <row r="61" spans="2:17" x14ac:dyDescent="0.3">
      <c r="B61" s="273" t="s">
        <v>343</v>
      </c>
      <c r="C61" s="274" t="s">
        <v>344</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x14ac:dyDescent="0.3">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x14ac:dyDescent="0.3">
      <c r="B63" s="276" t="s">
        <v>347</v>
      </c>
      <c r="C63" s="264" t="s">
        <v>348</v>
      </c>
      <c r="D63" s="176">
        <f t="shared" si="23"/>
        <v>0</v>
      </c>
      <c r="E63" s="217">
        <f t="shared" si="25"/>
        <v>0</v>
      </c>
      <c r="F63" s="277">
        <v>0</v>
      </c>
      <c r="G63" s="278">
        <v>0</v>
      </c>
      <c r="H63" s="279">
        <v>0</v>
      </c>
      <c r="I63" s="217">
        <f t="shared" si="32"/>
        <v>0</v>
      </c>
      <c r="J63" s="277">
        <v>0</v>
      </c>
      <c r="K63" s="278">
        <v>0</v>
      </c>
      <c r="L63" s="278">
        <v>0</v>
      </c>
      <c r="M63" s="280">
        <v>0</v>
      </c>
      <c r="N63" s="217">
        <f t="shared" si="34"/>
        <v>0</v>
      </c>
      <c r="O63" s="281">
        <v>0</v>
      </c>
      <c r="P63" s="282">
        <v>0</v>
      </c>
      <c r="Q63" s="283">
        <v>0</v>
      </c>
    </row>
    <row r="64" spans="2:17" x14ac:dyDescent="0.3">
      <c r="B64" s="276" t="s">
        <v>349</v>
      </c>
      <c r="C64" s="264" t="s">
        <v>350</v>
      </c>
      <c r="D64" s="185">
        <f t="shared" si="23"/>
        <v>4.8060200000000011</v>
      </c>
      <c r="E64" s="227">
        <f t="shared" si="25"/>
        <v>1.759930522817017</v>
      </c>
      <c r="F64" s="277">
        <v>0</v>
      </c>
      <c r="G64" s="278">
        <v>0</v>
      </c>
      <c r="H64" s="279">
        <v>1.759930522817017</v>
      </c>
      <c r="I64" s="227">
        <f t="shared" si="32"/>
        <v>2.9664894771829835</v>
      </c>
      <c r="J64" s="277">
        <v>1.0432405128697082</v>
      </c>
      <c r="K64" s="278">
        <v>1.5881289384707007</v>
      </c>
      <c r="L64" s="278">
        <v>0.33512002584257478</v>
      </c>
      <c r="M64" s="280">
        <v>7.959999999999999E-2</v>
      </c>
      <c r="N64" s="217">
        <f t="shared" si="34"/>
        <v>0</v>
      </c>
      <c r="O64" s="281">
        <v>0</v>
      </c>
      <c r="P64" s="282">
        <v>0</v>
      </c>
      <c r="Q64" s="283">
        <v>0</v>
      </c>
    </row>
    <row r="65" spans="2:17" x14ac:dyDescent="0.3">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x14ac:dyDescent="0.3">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x14ac:dyDescent="0.3">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x14ac:dyDescent="0.3">
      <c r="B68" s="155" t="s">
        <v>357</v>
      </c>
      <c r="C68" s="254" t="s">
        <v>358</v>
      </c>
      <c r="D68" s="157">
        <f t="shared" si="23"/>
        <v>5.8690699999999998</v>
      </c>
      <c r="E68" s="158">
        <f t="shared" si="25"/>
        <v>0.72836999999999996</v>
      </c>
      <c r="F68" s="159">
        <f>SUM(F69:F82)</f>
        <v>0.45200000000000001</v>
      </c>
      <c r="G68" s="160">
        <f>SUM(G69:G82)</f>
        <v>0.27637</v>
      </c>
      <c r="H68" s="161">
        <f>SUM(H69:H82)</f>
        <v>0</v>
      </c>
      <c r="I68" s="158">
        <f t="shared" si="32"/>
        <v>3.4323299999999994</v>
      </c>
      <c r="J68" s="159">
        <f t="shared" ref="J68:Q68" si="36">SUM(J69:J82)</f>
        <v>0.60653000000000001</v>
      </c>
      <c r="K68" s="160">
        <f t="shared" si="36"/>
        <v>2.5532499999999998</v>
      </c>
      <c r="L68" s="160">
        <f t="shared" si="36"/>
        <v>0.27255000000000001</v>
      </c>
      <c r="M68" s="157">
        <f t="shared" si="36"/>
        <v>0</v>
      </c>
      <c r="N68" s="158">
        <f>SUM(O68:P68)</f>
        <v>1.7083700000000002</v>
      </c>
      <c r="O68" s="163">
        <f t="shared" si="36"/>
        <v>1.7083700000000002</v>
      </c>
      <c r="P68" s="161">
        <f t="shared" si="36"/>
        <v>0</v>
      </c>
      <c r="Q68" s="158">
        <f t="shared" si="36"/>
        <v>0</v>
      </c>
    </row>
    <row r="69" spans="2:17" x14ac:dyDescent="0.3">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x14ac:dyDescent="0.3">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x14ac:dyDescent="0.3">
      <c r="B71" s="273" t="s">
        <v>363</v>
      </c>
      <c r="C71" s="274" t="s">
        <v>364</v>
      </c>
      <c r="D71" s="176">
        <f t="shared" si="23"/>
        <v>1.5</v>
      </c>
      <c r="E71" s="177">
        <f t="shared" si="25"/>
        <v>0</v>
      </c>
      <c r="F71" s="284">
        <v>0</v>
      </c>
      <c r="G71" s="285">
        <v>0</v>
      </c>
      <c r="H71" s="286">
        <v>0</v>
      </c>
      <c r="I71" s="177">
        <f t="shared" si="32"/>
        <v>0</v>
      </c>
      <c r="J71" s="284">
        <v>0</v>
      </c>
      <c r="K71" s="285">
        <v>0</v>
      </c>
      <c r="L71" s="285">
        <v>0</v>
      </c>
      <c r="M71" s="287">
        <v>0</v>
      </c>
      <c r="N71" s="177">
        <f t="shared" si="37"/>
        <v>1.5</v>
      </c>
      <c r="O71" s="296">
        <v>1.5</v>
      </c>
      <c r="P71" s="297">
        <v>0</v>
      </c>
      <c r="Q71" s="289">
        <v>0</v>
      </c>
    </row>
    <row r="72" spans="2:17" x14ac:dyDescent="0.3">
      <c r="B72" s="273" t="s">
        <v>365</v>
      </c>
      <c r="C72" s="274" t="s">
        <v>366</v>
      </c>
      <c r="D72" s="176">
        <f t="shared" si="23"/>
        <v>1.2715900000000002</v>
      </c>
      <c r="E72" s="177">
        <f t="shared" si="25"/>
        <v>0.27637</v>
      </c>
      <c r="F72" s="284">
        <v>0</v>
      </c>
      <c r="G72" s="285">
        <v>0.27637</v>
      </c>
      <c r="H72" s="286">
        <v>0</v>
      </c>
      <c r="I72" s="177">
        <f t="shared" si="32"/>
        <v>0.87251000000000001</v>
      </c>
      <c r="J72" s="284">
        <v>0.60653000000000001</v>
      </c>
      <c r="K72" s="285">
        <v>0.26597999999999999</v>
      </c>
      <c r="L72" s="285">
        <v>0</v>
      </c>
      <c r="M72" s="287">
        <v>0</v>
      </c>
      <c r="N72" s="177">
        <f t="shared" si="37"/>
        <v>0.12271</v>
      </c>
      <c r="O72" s="296">
        <v>0.12271</v>
      </c>
      <c r="P72" s="297">
        <v>0</v>
      </c>
      <c r="Q72" s="289">
        <v>0</v>
      </c>
    </row>
    <row r="73" spans="2:17" x14ac:dyDescent="0.3">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x14ac:dyDescent="0.3">
      <c r="B74" s="273" t="s">
        <v>369</v>
      </c>
      <c r="C74" s="274" t="s">
        <v>370</v>
      </c>
      <c r="D74" s="176">
        <f t="shared" si="23"/>
        <v>6.5659999999999996E-2</v>
      </c>
      <c r="E74" s="177">
        <f t="shared" si="25"/>
        <v>0</v>
      </c>
      <c r="F74" s="284">
        <v>0</v>
      </c>
      <c r="G74" s="285">
        <v>0</v>
      </c>
      <c r="H74" s="286">
        <v>0</v>
      </c>
      <c r="I74" s="177">
        <f t="shared" si="32"/>
        <v>0</v>
      </c>
      <c r="J74" s="284">
        <v>0</v>
      </c>
      <c r="K74" s="285">
        <v>0</v>
      </c>
      <c r="L74" s="285">
        <v>0</v>
      </c>
      <c r="M74" s="287">
        <v>0</v>
      </c>
      <c r="N74" s="177">
        <f t="shared" si="37"/>
        <v>6.5659999999999996E-2</v>
      </c>
      <c r="O74" s="296">
        <v>6.5659999999999996E-2</v>
      </c>
      <c r="P74" s="297">
        <v>0</v>
      </c>
      <c r="Q74" s="289">
        <v>0</v>
      </c>
    </row>
    <row r="75" spans="2:17" x14ac:dyDescent="0.3">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x14ac:dyDescent="0.3">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x14ac:dyDescent="0.3">
      <c r="B77" s="273" t="s">
        <v>375</v>
      </c>
      <c r="C77" s="274" t="s">
        <v>376</v>
      </c>
      <c r="D77" s="176">
        <f t="shared" si="23"/>
        <v>2.5598199999999998</v>
      </c>
      <c r="E77" s="177">
        <f t="shared" si="25"/>
        <v>0</v>
      </c>
      <c r="F77" s="284">
        <v>0</v>
      </c>
      <c r="G77" s="285">
        <v>0</v>
      </c>
      <c r="H77" s="286">
        <v>0</v>
      </c>
      <c r="I77" s="177">
        <f t="shared" si="32"/>
        <v>2.5598199999999998</v>
      </c>
      <c r="J77" s="284">
        <v>0</v>
      </c>
      <c r="K77" s="285">
        <v>2.2872699999999999</v>
      </c>
      <c r="L77" s="285">
        <v>0.27255000000000001</v>
      </c>
      <c r="M77" s="287">
        <v>0</v>
      </c>
      <c r="N77" s="177">
        <f t="shared" si="37"/>
        <v>0</v>
      </c>
      <c r="O77" s="296">
        <v>0</v>
      </c>
      <c r="P77" s="297">
        <v>0</v>
      </c>
      <c r="Q77" s="289">
        <v>0</v>
      </c>
    </row>
    <row r="78" spans="2:17" x14ac:dyDescent="0.3">
      <c r="B78" s="273" t="s">
        <v>377</v>
      </c>
      <c r="C78" s="274" t="s">
        <v>378</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x14ac:dyDescent="0.3">
      <c r="B79" s="273" t="s">
        <v>379</v>
      </c>
      <c r="C79" s="274" t="s">
        <v>380</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x14ac:dyDescent="0.3">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x14ac:dyDescent="0.3">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x14ac:dyDescent="0.3">
      <c r="B82" s="298" t="s">
        <v>385</v>
      </c>
      <c r="C82" s="299" t="s">
        <v>386</v>
      </c>
      <c r="D82" s="300">
        <f t="shared" si="23"/>
        <v>0.47200000000000003</v>
      </c>
      <c r="E82" s="301">
        <f t="shared" si="25"/>
        <v>0.45200000000000001</v>
      </c>
      <c r="F82" s="302">
        <v>0.45200000000000001</v>
      </c>
      <c r="G82" s="303">
        <v>0</v>
      </c>
      <c r="H82" s="304">
        <v>0</v>
      </c>
      <c r="I82" s="301">
        <f t="shared" si="32"/>
        <v>0</v>
      </c>
      <c r="J82" s="302">
        <v>0</v>
      </c>
      <c r="K82" s="303">
        <v>0</v>
      </c>
      <c r="L82" s="303">
        <v>0</v>
      </c>
      <c r="M82" s="305">
        <v>0</v>
      </c>
      <c r="N82" s="177">
        <f t="shared" si="37"/>
        <v>0.02</v>
      </c>
      <c r="O82" s="306">
        <v>0.02</v>
      </c>
      <c r="P82" s="307">
        <v>0</v>
      </c>
      <c r="Q82" s="308">
        <v>0</v>
      </c>
    </row>
    <row r="83" spans="1:20" x14ac:dyDescent="0.3">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x14ac:dyDescent="0.3">
      <c r="A84" s="320"/>
      <c r="B84" s="155" t="s">
        <v>389</v>
      </c>
      <c r="C84" s="215" t="s">
        <v>390</v>
      </c>
      <c r="D84" s="157">
        <f t="shared" si="23"/>
        <v>21.951269999999994</v>
      </c>
      <c r="E84" s="158">
        <f t="shared" si="25"/>
        <v>14.326610000000001</v>
      </c>
      <c r="F84" s="159">
        <f>SUM(F85:F91)</f>
        <v>3.1168199999999997</v>
      </c>
      <c r="G84" s="160">
        <f>SUM(G85:G91)</f>
        <v>1.6554199999999999</v>
      </c>
      <c r="H84" s="161">
        <f>SUM(H85:H91)</f>
        <v>9.5543700000000005</v>
      </c>
      <c r="I84" s="158">
        <f t="shared" si="32"/>
        <v>6.865359999999999</v>
      </c>
      <c r="J84" s="159">
        <f t="shared" ref="J84:Q84" si="38">SUM(J85:J91)</f>
        <v>0.29123000000000004</v>
      </c>
      <c r="K84" s="160">
        <f t="shared" si="38"/>
        <v>5.2254799999999992</v>
      </c>
      <c r="L84" s="160">
        <f t="shared" si="38"/>
        <v>1.3486500000000001</v>
      </c>
      <c r="M84" s="157">
        <f t="shared" si="38"/>
        <v>4.7149999999999997E-2</v>
      </c>
      <c r="N84" s="158">
        <f>SUM(O84:P84)</f>
        <v>0.36198000000000002</v>
      </c>
      <c r="O84" s="163">
        <f t="shared" si="38"/>
        <v>0.36198000000000002</v>
      </c>
      <c r="P84" s="161">
        <f t="shared" si="38"/>
        <v>0</v>
      </c>
      <c r="Q84" s="158">
        <f t="shared" si="38"/>
        <v>0.35016999999999998</v>
      </c>
    </row>
    <row r="85" spans="1:20" x14ac:dyDescent="0.3">
      <c r="A85" s="320"/>
      <c r="B85" s="321" t="s">
        <v>391</v>
      </c>
      <c r="C85" s="322" t="s">
        <v>392</v>
      </c>
      <c r="D85" s="323">
        <f t="shared" si="23"/>
        <v>0.44983999999999996</v>
      </c>
      <c r="E85" s="324">
        <f t="shared" si="25"/>
        <v>0</v>
      </c>
      <c r="F85" s="325">
        <v>0</v>
      </c>
      <c r="G85" s="326">
        <v>0</v>
      </c>
      <c r="H85" s="327">
        <v>0</v>
      </c>
      <c r="I85" s="324">
        <f t="shared" si="32"/>
        <v>0.44983999999999996</v>
      </c>
      <c r="J85" s="325">
        <v>0</v>
      </c>
      <c r="K85" s="326">
        <v>0.44983999999999996</v>
      </c>
      <c r="L85" s="326">
        <v>0</v>
      </c>
      <c r="M85" s="328">
        <v>0</v>
      </c>
      <c r="N85" s="324">
        <f>SUM(O85:P85)</f>
        <v>0</v>
      </c>
      <c r="O85" s="329">
        <v>0</v>
      </c>
      <c r="P85" s="330">
        <v>0</v>
      </c>
      <c r="Q85" s="331">
        <v>0</v>
      </c>
    </row>
    <row r="86" spans="1:20" x14ac:dyDescent="0.3">
      <c r="A86" s="320"/>
      <c r="B86" s="321" t="s">
        <v>393</v>
      </c>
      <c r="C86" s="322" t="s">
        <v>394</v>
      </c>
      <c r="D86" s="323">
        <f t="shared" si="23"/>
        <v>0.97793000000000008</v>
      </c>
      <c r="E86" s="324">
        <f t="shared" si="25"/>
        <v>0.60675000000000001</v>
      </c>
      <c r="F86" s="325">
        <v>0</v>
      </c>
      <c r="G86" s="326">
        <v>0.60675000000000001</v>
      </c>
      <c r="H86" s="327">
        <v>0</v>
      </c>
      <c r="I86" s="324">
        <f t="shared" si="32"/>
        <v>0.21052999999999999</v>
      </c>
      <c r="J86" s="325">
        <v>0</v>
      </c>
      <c r="K86" s="326">
        <v>0.12087000000000001</v>
      </c>
      <c r="L86" s="326">
        <v>8.965999999999999E-2</v>
      </c>
      <c r="M86" s="328">
        <v>4.7149999999999997E-2</v>
      </c>
      <c r="N86" s="324">
        <f t="shared" ref="N86:N91" si="39">SUM(O86:P86)</f>
        <v>0</v>
      </c>
      <c r="O86" s="329">
        <v>0</v>
      </c>
      <c r="P86" s="330">
        <v>0</v>
      </c>
      <c r="Q86" s="331">
        <v>0.1135</v>
      </c>
    </row>
    <row r="87" spans="1:20" x14ac:dyDescent="0.3">
      <c r="A87" s="320"/>
      <c r="B87" s="332" t="s">
        <v>395</v>
      </c>
      <c r="C87" s="333" t="s">
        <v>396</v>
      </c>
      <c r="D87" s="323">
        <f t="shared" si="23"/>
        <v>10.748810000000001</v>
      </c>
      <c r="E87" s="217">
        <f t="shared" si="25"/>
        <v>8.3499800000000004</v>
      </c>
      <c r="F87" s="325">
        <v>0</v>
      </c>
      <c r="G87" s="326">
        <v>0</v>
      </c>
      <c r="H87" s="327">
        <v>8.3499800000000004</v>
      </c>
      <c r="I87" s="217">
        <f t="shared" si="32"/>
        <v>2.3988299999999998</v>
      </c>
      <c r="J87" s="325">
        <v>0</v>
      </c>
      <c r="K87" s="326">
        <v>2.3988299999999998</v>
      </c>
      <c r="L87" s="326">
        <v>0</v>
      </c>
      <c r="M87" s="328">
        <v>0</v>
      </c>
      <c r="N87" s="324">
        <f t="shared" si="39"/>
        <v>0</v>
      </c>
      <c r="O87" s="329">
        <v>0</v>
      </c>
      <c r="P87" s="330">
        <v>0</v>
      </c>
      <c r="Q87" s="331">
        <v>0</v>
      </c>
    </row>
    <row r="88" spans="1:20" x14ac:dyDescent="0.3">
      <c r="A88" s="320"/>
      <c r="B88" s="334" t="s">
        <v>397</v>
      </c>
      <c r="C88" s="335" t="s">
        <v>398</v>
      </c>
      <c r="D88" s="323">
        <f t="shared" si="23"/>
        <v>4.8275199999999998</v>
      </c>
      <c r="E88" s="227">
        <f t="shared" si="25"/>
        <v>3.3795199999999999</v>
      </c>
      <c r="F88" s="325">
        <v>3.0750199999999999</v>
      </c>
      <c r="G88" s="326">
        <v>0.30449999999999999</v>
      </c>
      <c r="H88" s="327">
        <v>0</v>
      </c>
      <c r="I88" s="227">
        <f t="shared" si="32"/>
        <v>1.448</v>
      </c>
      <c r="J88" s="325">
        <v>0</v>
      </c>
      <c r="K88" s="326">
        <v>0.248</v>
      </c>
      <c r="L88" s="326">
        <v>1.2</v>
      </c>
      <c r="M88" s="328">
        <v>0</v>
      </c>
      <c r="N88" s="324">
        <f t="shared" si="39"/>
        <v>0</v>
      </c>
      <c r="O88" s="329">
        <v>0</v>
      </c>
      <c r="P88" s="330">
        <v>0</v>
      </c>
      <c r="Q88" s="331">
        <v>0</v>
      </c>
    </row>
    <row r="89" spans="1:20" x14ac:dyDescent="0.3">
      <c r="A89" s="320"/>
      <c r="B89" s="334" t="s">
        <v>399</v>
      </c>
      <c r="C89" s="225" t="s">
        <v>400</v>
      </c>
      <c r="D89" s="323">
        <f t="shared" si="23"/>
        <v>4.9471700000000007</v>
      </c>
      <c r="E89" s="227">
        <f t="shared" si="25"/>
        <v>1.9903599999999999</v>
      </c>
      <c r="F89" s="325">
        <v>4.1799999999999997E-2</v>
      </c>
      <c r="G89" s="326">
        <v>0.74417</v>
      </c>
      <c r="H89" s="327">
        <v>1.2043900000000001</v>
      </c>
      <c r="I89" s="227">
        <f t="shared" si="32"/>
        <v>2.3581600000000003</v>
      </c>
      <c r="J89" s="325">
        <v>0.29123000000000004</v>
      </c>
      <c r="K89" s="326">
        <v>2.0079400000000001</v>
      </c>
      <c r="L89" s="326">
        <v>5.8990000000000001E-2</v>
      </c>
      <c r="M89" s="328">
        <v>0</v>
      </c>
      <c r="N89" s="324">
        <f t="shared" si="39"/>
        <v>0.36198000000000002</v>
      </c>
      <c r="O89" s="329">
        <v>0.36198000000000002</v>
      </c>
      <c r="P89" s="330">
        <v>0</v>
      </c>
      <c r="Q89" s="331">
        <v>0.23666999999999999</v>
      </c>
    </row>
    <row r="90" spans="1:20" x14ac:dyDescent="0.3">
      <c r="A90" s="320"/>
      <c r="B90" s="334" t="s">
        <v>401</v>
      </c>
      <c r="C90" s="225" t="s">
        <v>402</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x14ac:dyDescent="0.3">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x14ac:dyDescent="0.3">
      <c r="A92" s="320"/>
      <c r="B92" s="138" t="s">
        <v>129</v>
      </c>
      <c r="C92" s="139" t="s">
        <v>405</v>
      </c>
      <c r="D92" s="341">
        <f>D93+D96+D99+D101+D107+D108+D114+D118+D121+D136+D137</f>
        <v>201.00652930791864</v>
      </c>
      <c r="E92" s="138">
        <f t="shared" si="25"/>
        <v>54.317201156179962</v>
      </c>
      <c r="F92" s="242">
        <f>F93+F96+F99+F101+F107+F108+F114+F118+F121+F136+F137</f>
        <v>2.2523990473394209</v>
      </c>
      <c r="G92" s="243">
        <f>G93+G96+G99+G101+G107+G108+G114+G118+G121+G136+G137</f>
        <v>16.092801257486343</v>
      </c>
      <c r="H92" s="244">
        <f>H93+H96+H99+H101+H107+H108+H114+H118+H121+H136+H137</f>
        <v>35.972000851354203</v>
      </c>
      <c r="I92" s="138">
        <f t="shared" si="32"/>
        <v>124.81106718773319</v>
      </c>
      <c r="J92" s="242">
        <f t="shared" ref="J92:Q92" si="40">J93+J96+J99+J101+J107+J108+J114+J118+J121+J136+J137</f>
        <v>59.115476191271185</v>
      </c>
      <c r="K92" s="243">
        <f t="shared" si="40"/>
        <v>53.516648549819678</v>
      </c>
      <c r="L92" s="243">
        <f t="shared" si="40"/>
        <v>12.17894244664233</v>
      </c>
      <c r="M92" s="241">
        <f t="shared" si="40"/>
        <v>5.0941436260581829</v>
      </c>
      <c r="N92" s="138">
        <f t="shared" ref="N92:N102" si="41">SUM(O92:P92)</f>
        <v>3.3596462115973953</v>
      </c>
      <c r="O92" s="246">
        <f t="shared" si="40"/>
        <v>3.3596462115973953</v>
      </c>
      <c r="P92" s="244">
        <f t="shared" si="40"/>
        <v>0</v>
      </c>
      <c r="Q92" s="138">
        <f t="shared" si="40"/>
        <v>13.424471126349928</v>
      </c>
      <c r="R92" s="342"/>
      <c r="S92" s="343"/>
    </row>
    <row r="93" spans="1:20" x14ac:dyDescent="0.3">
      <c r="B93" s="147" t="s">
        <v>131</v>
      </c>
      <c r="C93" s="344" t="s">
        <v>295</v>
      </c>
      <c r="D93" s="345">
        <f>D94+D95</f>
        <v>11.47067</v>
      </c>
      <c r="E93" s="346">
        <f t="shared" si="25"/>
        <v>3.0996738858751778</v>
      </c>
      <c r="F93" s="347">
        <f>F94+F95</f>
        <v>0.12853575587470753</v>
      </c>
      <c r="G93" s="348">
        <f>G94+G95</f>
        <v>0.91835431035890625</v>
      </c>
      <c r="H93" s="349">
        <f>H94+H95</f>
        <v>2.0527838196415638</v>
      </c>
      <c r="I93" s="346">
        <f t="shared" si="32"/>
        <v>7.1224878564276324</v>
      </c>
      <c r="J93" s="347">
        <f t="shared" ref="J93:Q93" si="42">J94+J95</f>
        <v>3.3734929985491533</v>
      </c>
      <c r="K93" s="348">
        <f t="shared" si="42"/>
        <v>3.0539894257891484</v>
      </c>
      <c r="L93" s="348">
        <f t="shared" si="42"/>
        <v>0.69500543208933097</v>
      </c>
      <c r="M93" s="350">
        <f t="shared" si="42"/>
        <v>0.29070319590267579</v>
      </c>
      <c r="N93" s="346">
        <f t="shared" si="41"/>
        <v>0.19172209550939059</v>
      </c>
      <c r="O93" s="351">
        <f t="shared" si="42"/>
        <v>0.19172209550939059</v>
      </c>
      <c r="P93" s="349">
        <f t="shared" si="42"/>
        <v>0</v>
      </c>
      <c r="Q93" s="346">
        <f t="shared" si="42"/>
        <v>0.76608296628512562</v>
      </c>
      <c r="R93" s="342"/>
      <c r="S93" s="343"/>
      <c r="T93" s="216"/>
    </row>
    <row r="94" spans="1:20" ht="32.25" customHeight="1" x14ac:dyDescent="0.3">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x14ac:dyDescent="0.3">
      <c r="B95" s="174" t="s">
        <v>407</v>
      </c>
      <c r="C95" s="175" t="s">
        <v>298</v>
      </c>
      <c r="D95" s="352">
        <v>11.47067</v>
      </c>
      <c r="E95" s="217">
        <f t="shared" si="25"/>
        <v>3.0996738858751778</v>
      </c>
      <c r="F95" s="220">
        <f>IFERROR($D$95*F147/100, 0)</f>
        <v>0.12853575587470753</v>
      </c>
      <c r="G95" s="221">
        <f>IFERROR($D$95*G147/100, 0)</f>
        <v>0.91835431035890625</v>
      </c>
      <c r="H95" s="222">
        <f>IFERROR($D$95*H147/100, 0)</f>
        <v>2.0527838196415638</v>
      </c>
      <c r="I95" s="217">
        <f t="shared" si="32"/>
        <v>7.1224878564276324</v>
      </c>
      <c r="J95" s="220">
        <f t="shared" ref="J95:Q95" si="45">IFERROR($D$95*J147/100, 0)</f>
        <v>3.3734929985491533</v>
      </c>
      <c r="K95" s="221">
        <f t="shared" si="45"/>
        <v>3.0539894257891484</v>
      </c>
      <c r="L95" s="221">
        <f t="shared" si="45"/>
        <v>0.69500543208933097</v>
      </c>
      <c r="M95" s="219">
        <f t="shared" si="45"/>
        <v>0.29070319590267579</v>
      </c>
      <c r="N95" s="217">
        <f t="shared" si="41"/>
        <v>0.19172209550939059</v>
      </c>
      <c r="O95" s="224">
        <f t="shared" ref="O95:P95" si="46">IFERROR($D$95*O147/100, 0)</f>
        <v>0.19172209550939059</v>
      </c>
      <c r="P95" s="222">
        <f t="shared" si="46"/>
        <v>0</v>
      </c>
      <c r="Q95" s="217">
        <f t="shared" si="45"/>
        <v>0.76608296628512562</v>
      </c>
      <c r="R95" s="353"/>
      <c r="S95" s="354"/>
    </row>
    <row r="96" spans="1:20" x14ac:dyDescent="0.3">
      <c r="B96" s="155" t="s">
        <v>133</v>
      </c>
      <c r="C96" s="254" t="s">
        <v>305</v>
      </c>
      <c r="D96" s="355">
        <f>D97+D98</f>
        <v>44.694569999999999</v>
      </c>
      <c r="E96" s="158">
        <f t="shared" si="25"/>
        <v>12.077637266996621</v>
      </c>
      <c r="F96" s="159">
        <f>F97+F98</f>
        <v>0.50082953641287098</v>
      </c>
      <c r="G96" s="160">
        <f>G97+G98</f>
        <v>3.5782958632004807</v>
      </c>
      <c r="H96" s="161">
        <f>H97+H98</f>
        <v>7.9985118673832689</v>
      </c>
      <c r="I96" s="158">
        <f t="shared" si="32"/>
        <v>27.752217793141533</v>
      </c>
      <c r="J96" s="159">
        <f t="shared" ref="J96:Q96" si="47">J97+J98</f>
        <v>13.144552059135606</v>
      </c>
      <c r="K96" s="160">
        <f t="shared" si="47"/>
        <v>11.899631335413964</v>
      </c>
      <c r="L96" s="160">
        <f t="shared" si="47"/>
        <v>2.7080343985919608</v>
      </c>
      <c r="M96" s="157">
        <f t="shared" si="47"/>
        <v>1.1327023040934712</v>
      </c>
      <c r="N96" s="158">
        <f t="shared" si="41"/>
        <v>0.74703017507182601</v>
      </c>
      <c r="O96" s="163">
        <f t="shared" ref="O96:P96" si="48">O97+O98</f>
        <v>0.74703017507182601</v>
      </c>
      <c r="P96" s="161">
        <f t="shared" si="48"/>
        <v>0</v>
      </c>
      <c r="Q96" s="158">
        <f t="shared" si="47"/>
        <v>2.9849824606965578</v>
      </c>
      <c r="R96" s="342"/>
      <c r="S96" s="343"/>
    </row>
    <row r="97" spans="2:19" ht="29.25" customHeight="1" x14ac:dyDescent="0.3">
      <c r="B97" s="174" t="s">
        <v>135</v>
      </c>
      <c r="C97" s="175" t="s">
        <v>307</v>
      </c>
      <c r="D97" s="352">
        <v>35.461489999999998</v>
      </c>
      <c r="E97" s="217">
        <f t="shared" si="25"/>
        <v>9.5826184963235566</v>
      </c>
      <c r="F97" s="220">
        <f>IFERROR($D$97*F149/100, 0)</f>
        <v>0.39736732218722898</v>
      </c>
      <c r="G97" s="221">
        <f>IFERROR($D$97*G149/100, 0)</f>
        <v>2.8390854408024331</v>
      </c>
      <c r="H97" s="222">
        <f>IFERROR($D$97*H149/100, 0)</f>
        <v>6.346165733333895</v>
      </c>
      <c r="I97" s="217">
        <f t="shared" si="32"/>
        <v>22.019117618746762</v>
      </c>
      <c r="J97" s="220">
        <f t="shared" ref="J97:Q97" si="49">IFERROR($D$97*J149/100, 0)</f>
        <v>10.429128222947815</v>
      </c>
      <c r="K97" s="221">
        <f t="shared" si="49"/>
        <v>9.441385331696198</v>
      </c>
      <c r="L97" s="221">
        <f t="shared" si="49"/>
        <v>2.14860406410275</v>
      </c>
      <c r="M97" s="219">
        <f t="shared" si="49"/>
        <v>0.89870674289041341</v>
      </c>
      <c r="N97" s="217">
        <f t="shared" si="41"/>
        <v>0.59270741575560093</v>
      </c>
      <c r="O97" s="224">
        <f t="shared" ref="O97:P97" si="50">IFERROR($D$97*O149/100, 0)</f>
        <v>0.59270741575560093</v>
      </c>
      <c r="P97" s="222">
        <f t="shared" si="50"/>
        <v>0</v>
      </c>
      <c r="Q97" s="217">
        <f t="shared" si="49"/>
        <v>2.3683397262836712</v>
      </c>
      <c r="R97" s="353"/>
      <c r="S97" s="354"/>
    </row>
    <row r="98" spans="2:19" ht="25.5" customHeight="1" x14ac:dyDescent="0.3">
      <c r="B98" s="174" t="s">
        <v>137</v>
      </c>
      <c r="C98" s="175" t="s">
        <v>309</v>
      </c>
      <c r="D98" s="352">
        <v>9.2330799999999993</v>
      </c>
      <c r="E98" s="217">
        <f t="shared" si="25"/>
        <v>2.4950187706730631</v>
      </c>
      <c r="F98" s="220">
        <f>IFERROR($D$98*F150/100, 0)</f>
        <v>0.10346221422564197</v>
      </c>
      <c r="G98" s="221">
        <f>IFERROR($D$98*G150/100, 0)</f>
        <v>0.73921042239804735</v>
      </c>
      <c r="H98" s="222">
        <f>IFERROR($D$98*H150/100, 0)</f>
        <v>1.6523461340493737</v>
      </c>
      <c r="I98" s="217">
        <f t="shared" si="32"/>
        <v>5.7331001743947692</v>
      </c>
      <c r="J98" s="220">
        <f t="shared" ref="J98:Q98" si="51">IFERROR($D$98*J150/100, 0)</f>
        <v>2.7154238361877914</v>
      </c>
      <c r="K98" s="221">
        <f t="shared" si="51"/>
        <v>2.4582460037177665</v>
      </c>
      <c r="L98" s="221">
        <f t="shared" si="51"/>
        <v>0.55943033448921109</v>
      </c>
      <c r="M98" s="219">
        <f t="shared" si="51"/>
        <v>0.23399556120305767</v>
      </c>
      <c r="N98" s="217">
        <f t="shared" si="41"/>
        <v>0.15432275931622511</v>
      </c>
      <c r="O98" s="224">
        <f t="shared" ref="O98:P98" si="52">IFERROR($D$98*O150/100, 0)</f>
        <v>0.15432275931622511</v>
      </c>
      <c r="P98" s="222">
        <f t="shared" si="52"/>
        <v>0</v>
      </c>
      <c r="Q98" s="217">
        <f t="shared" si="51"/>
        <v>0.61664273441288675</v>
      </c>
      <c r="R98" s="353"/>
      <c r="S98" s="354"/>
    </row>
    <row r="99" spans="2:19" x14ac:dyDescent="0.3">
      <c r="B99" s="155" t="s">
        <v>141</v>
      </c>
      <c r="C99" s="254" t="s">
        <v>311</v>
      </c>
      <c r="D99" s="355">
        <f>D100</f>
        <v>0</v>
      </c>
      <c r="E99" s="158">
        <f t="shared" si="25"/>
        <v>0</v>
      </c>
      <c r="F99" s="159">
        <f>F100</f>
        <v>0</v>
      </c>
      <c r="G99" s="160">
        <f>G100</f>
        <v>0</v>
      </c>
      <c r="H99" s="161">
        <f>H100</f>
        <v>0</v>
      </c>
      <c r="I99" s="158">
        <f t="shared" si="32"/>
        <v>0</v>
      </c>
      <c r="J99" s="159">
        <f t="shared" ref="J99:Q99" si="53">J100</f>
        <v>0</v>
      </c>
      <c r="K99" s="160">
        <f t="shared" si="53"/>
        <v>0</v>
      </c>
      <c r="L99" s="160">
        <f t="shared" si="53"/>
        <v>0</v>
      </c>
      <c r="M99" s="157">
        <f t="shared" si="53"/>
        <v>0</v>
      </c>
      <c r="N99" s="158">
        <f t="shared" si="41"/>
        <v>0</v>
      </c>
      <c r="O99" s="163">
        <f t="shared" si="53"/>
        <v>0</v>
      </c>
      <c r="P99" s="161">
        <f t="shared" si="53"/>
        <v>0</v>
      </c>
      <c r="Q99" s="158">
        <f t="shared" si="53"/>
        <v>0</v>
      </c>
      <c r="R99" s="342"/>
      <c r="S99" s="343"/>
    </row>
    <row r="100" spans="2:19" x14ac:dyDescent="0.3">
      <c r="B100" s="174" t="s">
        <v>408</v>
      </c>
      <c r="C100" s="175" t="s">
        <v>313</v>
      </c>
      <c r="D100" s="352">
        <v>0</v>
      </c>
      <c r="E100" s="217">
        <f>IFERROR($D$100*E152/100, 0)</f>
        <v>0</v>
      </c>
      <c r="F100" s="220">
        <f>IFERROR($D$100*F152/100, 0)</f>
        <v>0</v>
      </c>
      <c r="G100" s="221">
        <f>IFERROR($D$100*G152/100, 0)</f>
        <v>0</v>
      </c>
      <c r="H100" s="222">
        <f>IFERROR($D$100*H152/100, 0)</f>
        <v>0</v>
      </c>
      <c r="I100" s="217">
        <f t="shared" si="32"/>
        <v>0</v>
      </c>
      <c r="J100" s="220">
        <f t="shared" ref="J100:Q100" si="54">IFERROR($D$100*J152/100, 0)</f>
        <v>0</v>
      </c>
      <c r="K100" s="221">
        <f t="shared" si="54"/>
        <v>0</v>
      </c>
      <c r="L100" s="221">
        <f t="shared" si="54"/>
        <v>0</v>
      </c>
      <c r="M100" s="219">
        <f t="shared" si="54"/>
        <v>0</v>
      </c>
      <c r="N100" s="217">
        <f t="shared" si="41"/>
        <v>0</v>
      </c>
      <c r="O100" s="224">
        <f t="shared" ref="O100:P100" si="55">IFERROR($D$100*O152/100, 0)</f>
        <v>0</v>
      </c>
      <c r="P100" s="222">
        <f t="shared" si="55"/>
        <v>0</v>
      </c>
      <c r="Q100" s="217">
        <f t="shared" si="54"/>
        <v>0</v>
      </c>
      <c r="R100" s="353"/>
      <c r="S100" s="354"/>
    </row>
    <row r="101" spans="2:19" x14ac:dyDescent="0.3">
      <c r="B101" s="155" t="s">
        <v>409</v>
      </c>
      <c r="C101" s="254" t="s">
        <v>315</v>
      </c>
      <c r="D101" s="355">
        <f>SUM(D102:D106)</f>
        <v>30.574619999999996</v>
      </c>
      <c r="E101" s="158">
        <f>SUM(F101:H101)</f>
        <v>8.2620589019261228</v>
      </c>
      <c r="F101" s="159">
        <f>SUM(F102:F106)</f>
        <v>0.34260700484644313</v>
      </c>
      <c r="G101" s="160">
        <f>SUM(G102:G106)</f>
        <v>2.4478373159183917</v>
      </c>
      <c r="H101" s="161">
        <f>SUM(H102:H106)</f>
        <v>5.4716145811612877</v>
      </c>
      <c r="I101" s="158">
        <f t="shared" si="32"/>
        <v>18.984711413098747</v>
      </c>
      <c r="J101" s="159">
        <f t="shared" ref="J101:Q101" si="56">SUM(J102:J106)</f>
        <v>8.9919129835747089</v>
      </c>
      <c r="K101" s="160">
        <f t="shared" si="56"/>
        <v>8.140288769315255</v>
      </c>
      <c r="L101" s="160">
        <f t="shared" si="56"/>
        <v>1.8525096602087845</v>
      </c>
      <c r="M101" s="157">
        <f t="shared" si="56"/>
        <v>0.77485794182117251</v>
      </c>
      <c r="N101" s="158">
        <f t="shared" si="41"/>
        <v>0.51102770943661735</v>
      </c>
      <c r="O101" s="163">
        <f t="shared" ref="O101:P101" si="57">SUM(O102:O106)</f>
        <v>0.51102770943661735</v>
      </c>
      <c r="P101" s="161">
        <f t="shared" si="57"/>
        <v>0</v>
      </c>
      <c r="Q101" s="158">
        <f t="shared" si="56"/>
        <v>2.0419640337173437</v>
      </c>
      <c r="R101" s="342"/>
      <c r="S101" s="343"/>
    </row>
    <row r="102" spans="2:19" x14ac:dyDescent="0.3">
      <c r="B102" s="174" t="s">
        <v>410</v>
      </c>
      <c r="C102" s="175" t="s">
        <v>269</v>
      </c>
      <c r="D102" s="352">
        <v>22.600159999999999</v>
      </c>
      <c r="E102" s="217">
        <f>IFERROR($D$102*E154/100, 0)</f>
        <v>6.1071520467941935</v>
      </c>
      <c r="F102" s="220">
        <f>IFERROR($D$102*F154/100, 0)</f>
        <v>0.25324838466186628</v>
      </c>
      <c r="G102" s="221">
        <f>IFERROR($D$102*G154/100, 0)</f>
        <v>1.8093933790093288</v>
      </c>
      <c r="H102" s="222">
        <f>IFERROR($D$102*H154/100, 0)</f>
        <v>4.0445102831229978</v>
      </c>
      <c r="I102" s="217">
        <f t="shared" si="32"/>
        <v>14.033126674668658</v>
      </c>
      <c r="J102" s="220">
        <f t="shared" ref="J102:Q102" si="58">IFERROR($D$102*J154/100, 0)</f>
        <v>6.6466458825936616</v>
      </c>
      <c r="K102" s="221">
        <f t="shared" si="58"/>
        <v>6.0171419508313706</v>
      </c>
      <c r="L102" s="221">
        <f t="shared" si="58"/>
        <v>1.3693388412436251</v>
      </c>
      <c r="M102" s="219">
        <f t="shared" si="58"/>
        <v>0.57275980739676213</v>
      </c>
      <c r="N102" s="217">
        <f t="shared" si="41"/>
        <v>0.37774166932249892</v>
      </c>
      <c r="O102" s="224">
        <f t="shared" ref="O102:P102" si="59">IFERROR($D$102*O154/100, 0)</f>
        <v>0.37774166932249892</v>
      </c>
      <c r="P102" s="222">
        <f t="shared" si="59"/>
        <v>0</v>
      </c>
      <c r="Q102" s="217">
        <f t="shared" si="58"/>
        <v>1.5093798018178923</v>
      </c>
      <c r="R102" s="353"/>
      <c r="S102" s="354"/>
    </row>
    <row r="103" spans="2:19" x14ac:dyDescent="0.3">
      <c r="B103" s="174" t="s">
        <v>411</v>
      </c>
      <c r="C103" s="175" t="s">
        <v>273</v>
      </c>
      <c r="D103" s="352">
        <v>6.5012599999999994</v>
      </c>
      <c r="E103" s="217">
        <f>IFERROR($D$103*E155/100, 0)</f>
        <v>1.75680983301628</v>
      </c>
      <c r="F103" s="220">
        <f>IFERROR($D$103*F155/100, 0)</f>
        <v>7.2850528193906805E-2</v>
      </c>
      <c r="G103" s="221">
        <f>IFERROR($D$103*G155/100, 0)</f>
        <v>0.52049794334279875</v>
      </c>
      <c r="H103" s="222">
        <f>IFERROR($D$103*H155/100, 0)</f>
        <v>1.1634613614795746</v>
      </c>
      <c r="I103" s="217">
        <f t="shared" si="32"/>
        <v>4.0368300545198066</v>
      </c>
      <c r="J103" s="220">
        <f t="shared" ref="J103:Q103" si="60">IFERROR($D$103*J155/100, 0)</f>
        <v>1.9120029685927384</v>
      </c>
      <c r="K103" s="221">
        <f t="shared" si="60"/>
        <v>1.7309171386070699</v>
      </c>
      <c r="L103" s="221">
        <f t="shared" si="60"/>
        <v>0.39390994731999818</v>
      </c>
      <c r="M103" s="219">
        <f t="shared" si="60"/>
        <v>0.16476256917810642</v>
      </c>
      <c r="N103" s="217">
        <f t="shared" ref="N103:N106" si="61">SUM(O103:P103)</f>
        <v>0.10866280615268162</v>
      </c>
      <c r="O103" s="224">
        <f t="shared" ref="O103:P103" si="62">IFERROR($D$103*O155/100, 0)</f>
        <v>0.10866280615268162</v>
      </c>
      <c r="P103" s="222">
        <f t="shared" si="62"/>
        <v>0</v>
      </c>
      <c r="Q103" s="217">
        <f t="shared" si="60"/>
        <v>0.43419473713312612</v>
      </c>
      <c r="R103" s="353"/>
      <c r="S103" s="354"/>
    </row>
    <row r="104" spans="2:19" x14ac:dyDescent="0.3">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x14ac:dyDescent="0.3">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x14ac:dyDescent="0.3">
      <c r="B106" s="174" t="s">
        <v>414</v>
      </c>
      <c r="C106" s="265" t="s">
        <v>322</v>
      </c>
      <c r="D106" s="352">
        <v>1.4732000000000001</v>
      </c>
      <c r="E106" s="217">
        <f>IFERROR($D$106*E158/100, 0)</f>
        <v>0.39809702211564901</v>
      </c>
      <c r="F106" s="220">
        <f>IFERROR($D$106*F158/100, 0)</f>
        <v>1.6508091990670045E-2</v>
      </c>
      <c r="G106" s="221">
        <f>IFERROR($D$106*G158/100, 0)</f>
        <v>0.11794599356626428</v>
      </c>
      <c r="H106" s="222">
        <f>IFERROR($D$106*H158/100, 0)</f>
        <v>0.26364293655871468</v>
      </c>
      <c r="I106" s="217">
        <f t="shared" si="32"/>
        <v>0.91475468391028503</v>
      </c>
      <c r="J106" s="220">
        <f t="shared" ref="J106:Q106" si="67">IFERROR($D$106*J158/100, 0)</f>
        <v>0.43326413238830974</v>
      </c>
      <c r="K106" s="221">
        <f t="shared" si="67"/>
        <v>0.39222967987681401</v>
      </c>
      <c r="L106" s="221">
        <f t="shared" si="67"/>
        <v>8.9260871645161291E-2</v>
      </c>
      <c r="M106" s="219">
        <f t="shared" si="67"/>
        <v>3.7335565246304013E-2</v>
      </c>
      <c r="N106" s="217">
        <f t="shared" si="61"/>
        <v>2.4623233961436796E-2</v>
      </c>
      <c r="O106" s="224">
        <f t="shared" ref="O106:P106" si="68">IFERROR($D$106*O158/100, 0)</f>
        <v>2.4623233961436796E-2</v>
      </c>
      <c r="P106" s="222">
        <f t="shared" si="68"/>
        <v>0</v>
      </c>
      <c r="Q106" s="217">
        <f t="shared" si="67"/>
        <v>9.8389494766325511E-2</v>
      </c>
      <c r="R106" s="353"/>
      <c r="S106" s="354"/>
    </row>
    <row r="107" spans="2:19" x14ac:dyDescent="0.3">
      <c r="B107" s="155" t="s">
        <v>415</v>
      </c>
      <c r="C107" s="254" t="s">
        <v>324</v>
      </c>
      <c r="D107" s="356">
        <v>14.484441907918633</v>
      </c>
      <c r="E107" s="158">
        <f>IFERROR($D$107*E159/100, 0)</f>
        <v>3.9140735749046409</v>
      </c>
      <c r="F107" s="159">
        <f>IFERROR($D$107*F159/100, 0)</f>
        <v>0.16230688260211587</v>
      </c>
      <c r="G107" s="160">
        <f>IFERROR($D$107*G159/100, 0)</f>
        <v>1.159640165681713</v>
      </c>
      <c r="H107" s="161">
        <f>IFERROR($D$107*H159/100, 0)</f>
        <v>2.5921265266208122</v>
      </c>
      <c r="I107" s="158">
        <f t="shared" si="32"/>
        <v>8.9938304908328757</v>
      </c>
      <c r="J107" s="159">
        <f t="shared" ref="J107:Q107" si="69">IFERROR($D$107*J159/100, 0)</f>
        <v>4.259835159084469</v>
      </c>
      <c r="K107" s="160">
        <f t="shared" si="69"/>
        <v>3.856386106935402</v>
      </c>
      <c r="L107" s="160">
        <f t="shared" si="69"/>
        <v>0.87760922481300596</v>
      </c>
      <c r="M107" s="157">
        <f t="shared" si="69"/>
        <v>0.36708174444026354</v>
      </c>
      <c r="N107" s="158">
        <f>SUM(O107:P107)</f>
        <v>0.24209462523725253</v>
      </c>
      <c r="O107" s="163">
        <f t="shared" si="69"/>
        <v>0.24209462523725253</v>
      </c>
      <c r="P107" s="161">
        <f t="shared" si="69"/>
        <v>0</v>
      </c>
      <c r="Q107" s="158">
        <f t="shared" si="69"/>
        <v>0.96736147250360194</v>
      </c>
      <c r="R107" s="342"/>
      <c r="S107" s="343"/>
    </row>
    <row r="108" spans="2:19" x14ac:dyDescent="0.3">
      <c r="B108" s="155" t="s">
        <v>416</v>
      </c>
      <c r="C108" s="254" t="s">
        <v>326</v>
      </c>
      <c r="D108" s="355">
        <f>SUM(D109:D113)</f>
        <v>87.053927400000006</v>
      </c>
      <c r="E108" s="158">
        <f t="shared" ref="E108:E143" si="70">SUM(F108:H108)</f>
        <v>23.52423924885413</v>
      </c>
      <c r="F108" s="159">
        <f>SUM(F109:F113)</f>
        <v>0.97549161123290229</v>
      </c>
      <c r="G108" s="160">
        <f>SUM(G109:G113)</f>
        <v>6.9696320669552252</v>
      </c>
      <c r="H108" s="161">
        <f>SUM(H109:H113)</f>
        <v>15.579115570666001</v>
      </c>
      <c r="I108" s="158">
        <f t="shared" si="32"/>
        <v>54.054431062948616</v>
      </c>
      <c r="J108" s="159">
        <f t="shared" ref="J108:Q108" si="71">SUM(J109:J113)</f>
        <v>25.602324413491655</v>
      </c>
      <c r="K108" s="160">
        <f t="shared" si="71"/>
        <v>23.177527882243691</v>
      </c>
      <c r="L108" s="160">
        <f t="shared" si="71"/>
        <v>5.2745787672132716</v>
      </c>
      <c r="M108" s="157">
        <f t="shared" si="71"/>
        <v>2.2062229068624171</v>
      </c>
      <c r="N108" s="158">
        <f>SUM(O108:P108)</f>
        <v>1.455029338604489</v>
      </c>
      <c r="O108" s="163">
        <f t="shared" ref="O108:P108" si="72">SUM(O109:O113)</f>
        <v>1.455029338604489</v>
      </c>
      <c r="P108" s="161">
        <f t="shared" si="72"/>
        <v>0</v>
      </c>
      <c r="Q108" s="158">
        <f t="shared" si="71"/>
        <v>5.8140048427303705</v>
      </c>
      <c r="R108" s="357"/>
      <c r="S108" s="343"/>
    </row>
    <row r="109" spans="2:19" x14ac:dyDescent="0.3">
      <c r="B109" s="273" t="s">
        <v>417</v>
      </c>
      <c r="C109" s="274" t="s">
        <v>328</v>
      </c>
      <c r="D109" s="352">
        <v>84.599140000000006</v>
      </c>
      <c r="E109" s="217">
        <f t="shared" si="70"/>
        <v>22.860891737404891</v>
      </c>
      <c r="F109" s="220">
        <f>IFERROR($D$109*F161/100, 0)</f>
        <v>0.94798424209311283</v>
      </c>
      <c r="G109" s="221">
        <f>IFERROR($D$109*G161/100, 0)</f>
        <v>6.7730991190276209</v>
      </c>
      <c r="H109" s="222">
        <f>IFERROR($D$109*H161/100, 0)</f>
        <v>15.139808376284158</v>
      </c>
      <c r="I109" s="217">
        <f t="shared" si="32"/>
        <v>52.530178909708084</v>
      </c>
      <c r="J109" s="220">
        <f t="shared" ref="J109:Q109" si="73">IFERROR($D$109*J161/100, 0)</f>
        <v>24.880378083693422</v>
      </c>
      <c r="K109" s="221">
        <f t="shared" si="73"/>
        <v>22.523957100226561</v>
      </c>
      <c r="L109" s="221">
        <f t="shared" si="73"/>
        <v>5.1258437257881022</v>
      </c>
      <c r="M109" s="219">
        <f t="shared" si="73"/>
        <v>2.144010800469188</v>
      </c>
      <c r="N109" s="217">
        <f>SUM(O109:P109)</f>
        <v>1.4139997401278483</v>
      </c>
      <c r="O109" s="224">
        <f t="shared" ref="O109:P109" si="74">IFERROR($D$109*O161/100, 0)</f>
        <v>1.4139997401278483</v>
      </c>
      <c r="P109" s="222">
        <f t="shared" si="74"/>
        <v>0</v>
      </c>
      <c r="Q109" s="217">
        <f t="shared" si="73"/>
        <v>5.6500588122900082</v>
      </c>
      <c r="R109" s="358"/>
      <c r="S109" s="354"/>
    </row>
    <row r="110" spans="2:19" x14ac:dyDescent="0.3">
      <c r="B110" s="273" t="s">
        <v>418</v>
      </c>
      <c r="C110" s="274" t="s">
        <v>330</v>
      </c>
      <c r="D110" s="352">
        <v>1.4905274000000002</v>
      </c>
      <c r="E110" s="217">
        <f t="shared" si="70"/>
        <v>0.40277933703623464</v>
      </c>
      <c r="F110" s="220">
        <f>IFERROR($D$110*F162/100, 0)</f>
        <v>1.6702255928464735E-2</v>
      </c>
      <c r="G110" s="221">
        <f>IFERROR($D$110*G162/100, 0)</f>
        <v>0.11933324404747532</v>
      </c>
      <c r="H110" s="222">
        <f>IFERROR($D$110*H162/100, 0)</f>
        <v>0.26674383706029459</v>
      </c>
      <c r="I110" s="217">
        <f t="shared" si="32"/>
        <v>0.92551379354236973</v>
      </c>
      <c r="J110" s="220">
        <f t="shared" ref="J110:Q110" si="75">IFERROR($D$110*J162/100, 0)</f>
        <v>0.43836007382704528</v>
      </c>
      <c r="K110" s="221">
        <f t="shared" si="75"/>
        <v>0.39684298462504747</v>
      </c>
      <c r="L110" s="221">
        <f t="shared" si="75"/>
        <v>9.0310735090276956E-2</v>
      </c>
      <c r="M110" s="219">
        <f t="shared" si="75"/>
        <v>3.7774696574873666E-2</v>
      </c>
      <c r="N110" s="217">
        <f t="shared" ref="N110:N113" si="76">SUM(O110:P110)</f>
        <v>2.4912846114670168E-2</v>
      </c>
      <c r="O110" s="224">
        <f t="shared" ref="O110:P110" si="77">IFERROR($D$110*O162/100, 0)</f>
        <v>2.4912846114670168E-2</v>
      </c>
      <c r="P110" s="222">
        <f t="shared" si="77"/>
        <v>0</v>
      </c>
      <c r="Q110" s="217">
        <f t="shared" si="75"/>
        <v>9.9546726731852289E-2</v>
      </c>
      <c r="R110" s="358"/>
      <c r="S110" s="354"/>
    </row>
    <row r="111" spans="2:19" x14ac:dyDescent="0.3">
      <c r="B111" s="273" t="s">
        <v>419</v>
      </c>
      <c r="C111" s="274" t="s">
        <v>332</v>
      </c>
      <c r="D111" s="352">
        <v>0</v>
      </c>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x14ac:dyDescent="0.3">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x14ac:dyDescent="0.3">
      <c r="B113" s="273" t="s">
        <v>421</v>
      </c>
      <c r="C113" s="264" t="s">
        <v>336</v>
      </c>
      <c r="D113" s="360">
        <v>0.96426000000000001</v>
      </c>
      <c r="E113" s="227">
        <f t="shared" si="70"/>
        <v>0.26056817441300278</v>
      </c>
      <c r="F113" s="228">
        <f>IFERROR($D$113*F165/100, 0)</f>
        <v>1.0805113211324664E-2</v>
      </c>
      <c r="G113" s="229">
        <f>IFERROR($D$113*G165/100, 0)</f>
        <v>7.7199703880128964E-2</v>
      </c>
      <c r="H113" s="230">
        <f>IFERROR($D$113*H165/100, 0)</f>
        <v>0.17256335732154915</v>
      </c>
      <c r="I113" s="227">
        <f t="shared" si="32"/>
        <v>0.59873835969816136</v>
      </c>
      <c r="J113" s="228">
        <f t="shared" ref="J113:Q113" si="79">IFERROR($D$113*J165/100, 0)</f>
        <v>0.2835862559711862</v>
      </c>
      <c r="K113" s="229">
        <f t="shared" si="79"/>
        <v>0.25672779739208296</v>
      </c>
      <c r="L113" s="229">
        <f t="shared" si="79"/>
        <v>5.8424306334892234E-2</v>
      </c>
      <c r="M113" s="226">
        <f t="shared" si="79"/>
        <v>2.4437409818355352E-2</v>
      </c>
      <c r="N113" s="217">
        <f t="shared" si="76"/>
        <v>1.611675236197057E-2</v>
      </c>
      <c r="O113" s="232">
        <f t="shared" ref="O113:P113" si="80">IFERROR($D$113*O165/100, 0)</f>
        <v>1.611675236197057E-2</v>
      </c>
      <c r="P113" s="230">
        <f t="shared" si="80"/>
        <v>0</v>
      </c>
      <c r="Q113" s="227">
        <f t="shared" si="79"/>
        <v>6.4399303708510075E-2</v>
      </c>
      <c r="R113" s="353"/>
      <c r="S113" s="354"/>
    </row>
    <row r="114" spans="2:19" x14ac:dyDescent="0.3">
      <c r="B114" s="155" t="s">
        <v>422</v>
      </c>
      <c r="C114" s="254" t="s">
        <v>338</v>
      </c>
      <c r="D114" s="355">
        <f>SUM(D115:D117)</f>
        <v>0.57399999999999995</v>
      </c>
      <c r="E114" s="158">
        <f t="shared" si="70"/>
        <v>0.15510975474774807</v>
      </c>
      <c r="F114" s="159">
        <f>SUM(F115:F117)</f>
        <v>6.4320152067910696E-3</v>
      </c>
      <c r="G114" s="160">
        <f>SUM(G115:G117)</f>
        <v>4.5955064015093458E-2</v>
      </c>
      <c r="H114" s="161">
        <f>SUM(H115:H117)</f>
        <v>0.10272267552586356</v>
      </c>
      <c r="I114" s="158">
        <f t="shared" si="32"/>
        <v>0.35641405685888106</v>
      </c>
      <c r="J114" s="159">
        <f t="shared" ref="J114:Q114" si="81">SUM(J115:J117)</f>
        <v>0.16881184631475005</v>
      </c>
      <c r="K114" s="160">
        <f t="shared" si="81"/>
        <v>0.15282367380484063</v>
      </c>
      <c r="L114" s="160">
        <f t="shared" si="81"/>
        <v>3.4778536739290378E-2</v>
      </c>
      <c r="M114" s="157">
        <f t="shared" si="81"/>
        <v>1.4546982386219454E-2</v>
      </c>
      <c r="N114" s="158">
        <f>SUM(O114:P114)</f>
        <v>9.5939019100357865E-3</v>
      </c>
      <c r="O114" s="163">
        <f t="shared" ref="O114:P114" si="82">SUM(O115:O117)</f>
        <v>9.5939019100357865E-3</v>
      </c>
      <c r="P114" s="161">
        <f t="shared" si="82"/>
        <v>0</v>
      </c>
      <c r="Q114" s="158">
        <f t="shared" si="81"/>
        <v>3.8335304097115698E-2</v>
      </c>
      <c r="R114" s="342"/>
      <c r="S114" s="343"/>
    </row>
    <row r="115" spans="2:19" x14ac:dyDescent="0.3">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x14ac:dyDescent="0.3">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x14ac:dyDescent="0.3">
      <c r="B117" s="276" t="s">
        <v>425</v>
      </c>
      <c r="C117" s="264" t="s">
        <v>350</v>
      </c>
      <c r="D117" s="360">
        <v>0.57399999999999995</v>
      </c>
      <c r="E117" s="227">
        <f t="shared" si="70"/>
        <v>0.15510975474774807</v>
      </c>
      <c r="F117" s="228">
        <f>IFERROR($D$117*F169/100, 0)</f>
        <v>6.4320152067910696E-3</v>
      </c>
      <c r="G117" s="229">
        <f>IFERROR($D$117*G169/100, 0)</f>
        <v>4.5955064015093458E-2</v>
      </c>
      <c r="H117" s="230">
        <f>IFERROR($D$117*H169/100, 0)</f>
        <v>0.10272267552586356</v>
      </c>
      <c r="I117" s="227">
        <f t="shared" si="32"/>
        <v>0.35641405685888106</v>
      </c>
      <c r="J117" s="228">
        <f t="shared" ref="J117:Q117" si="88">IFERROR($D$117*J169/100, 0)</f>
        <v>0.16881184631475005</v>
      </c>
      <c r="K117" s="229">
        <f t="shared" si="88"/>
        <v>0.15282367380484063</v>
      </c>
      <c r="L117" s="229">
        <f t="shared" si="88"/>
        <v>3.4778536739290378E-2</v>
      </c>
      <c r="M117" s="226">
        <f t="shared" si="88"/>
        <v>1.4546982386219454E-2</v>
      </c>
      <c r="N117" s="217">
        <f t="shared" si="86"/>
        <v>9.5939019100357865E-3</v>
      </c>
      <c r="O117" s="232">
        <f t="shared" ref="O117:P117" si="89">IFERROR($D$117*O169/100, 0)</f>
        <v>9.5939019100357865E-3</v>
      </c>
      <c r="P117" s="230">
        <f t="shared" si="89"/>
        <v>0</v>
      </c>
      <c r="Q117" s="227">
        <f t="shared" si="88"/>
        <v>3.8335304097115698E-2</v>
      </c>
      <c r="R117" s="353"/>
      <c r="S117" s="354"/>
    </row>
    <row r="118" spans="2:19" x14ac:dyDescent="0.3">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x14ac:dyDescent="0.3">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x14ac:dyDescent="0.3">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x14ac:dyDescent="0.3">
      <c r="B121" s="155" t="s">
        <v>429</v>
      </c>
      <c r="C121" s="254" t="s">
        <v>358</v>
      </c>
      <c r="D121" s="355">
        <f>SUM(D122:D135)</f>
        <v>0.90076000000000012</v>
      </c>
      <c r="E121" s="158">
        <f t="shared" si="70"/>
        <v>0.24340882001146619</v>
      </c>
      <c r="F121" s="159">
        <f>SUM(F122:F135)</f>
        <v>1.0093557522071646E-2</v>
      </c>
      <c r="G121" s="160">
        <f>SUM(G122:G135)</f>
        <v>7.2115824847100329E-2</v>
      </c>
      <c r="H121" s="161">
        <f>SUM(H122:H135)</f>
        <v>0.16119943764229422</v>
      </c>
      <c r="I121" s="158">
        <f t="shared" si="32"/>
        <v>0.5593092784951319</v>
      </c>
      <c r="J121" s="159">
        <f t="shared" ref="J121:Q121" si="96">SUM(J122:J135)</f>
        <v>0.26491107785100049</v>
      </c>
      <c r="K121" s="160">
        <f t="shared" si="96"/>
        <v>0.2398213456732548</v>
      </c>
      <c r="L121" s="160">
        <f t="shared" si="96"/>
        <v>5.4576854970876665E-2</v>
      </c>
      <c r="M121" s="157">
        <f t="shared" si="96"/>
        <v>2.2828118212911214E-2</v>
      </c>
      <c r="N121" s="158">
        <f>SUM(O121:P121)</f>
        <v>1.5055406070529331E-2</v>
      </c>
      <c r="O121" s="163">
        <f t="shared" ref="O121:P121" si="97">SUM(O122:O135)</f>
        <v>1.5055406070529331E-2</v>
      </c>
      <c r="P121" s="161">
        <f t="shared" si="97"/>
        <v>0</v>
      </c>
      <c r="Q121" s="158">
        <f t="shared" si="96"/>
        <v>6.0158377209961568E-2</v>
      </c>
      <c r="R121" s="342"/>
      <c r="S121" s="343"/>
    </row>
    <row r="122" spans="2:19" x14ac:dyDescent="0.3">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x14ac:dyDescent="0.3">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x14ac:dyDescent="0.3">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x14ac:dyDescent="0.3">
      <c r="B125" s="273" t="s">
        <v>433</v>
      </c>
      <c r="C125" s="274" t="s">
        <v>366</v>
      </c>
      <c r="D125" s="352">
        <v>6.0389999999999999E-2</v>
      </c>
      <c r="E125" s="217">
        <f t="shared" si="70"/>
        <v>1.6318951374941652E-2</v>
      </c>
      <c r="F125" s="220">
        <f>IFERROR($D$125*F177/100, 0)</f>
        <v>6.767062688817295E-4</v>
      </c>
      <c r="G125" s="221">
        <f>IFERROR($D$125*G177/100, 0)</f>
        <v>4.8348890520409308E-3</v>
      </c>
      <c r="H125" s="222">
        <f>IFERROR($D$125*H177/100, 0)</f>
        <v>1.0807356054018993E-2</v>
      </c>
      <c r="I125" s="217">
        <f t="shared" si="103"/>
        <v>3.7497987619700045E-2</v>
      </c>
      <c r="J125" s="220">
        <f t="shared" ref="J125:Q125" si="106">IFERROR($D$125*J177/100, 0)</f>
        <v>1.7760535538236508E-2</v>
      </c>
      <c r="K125" s="221">
        <f t="shared" si="106"/>
        <v>1.607843494960684E-2</v>
      </c>
      <c r="L125" s="221">
        <f t="shared" si="106"/>
        <v>3.6590171318567001E-3</v>
      </c>
      <c r="M125" s="219">
        <f t="shared" si="106"/>
        <v>1.5304743315397086E-3</v>
      </c>
      <c r="N125" s="217">
        <f t="shared" si="101"/>
        <v>1.009365394332859E-3</v>
      </c>
      <c r="O125" s="224">
        <f t="shared" ref="O125:P125" si="107">IFERROR($D$125*O177/100, 0)</f>
        <v>1.009365394332859E-3</v>
      </c>
      <c r="P125" s="222">
        <f t="shared" si="107"/>
        <v>0</v>
      </c>
      <c r="Q125" s="217">
        <f t="shared" si="106"/>
        <v>4.0332212794857445E-3</v>
      </c>
      <c r="R125" s="353"/>
      <c r="S125" s="354"/>
    </row>
    <row r="126" spans="2:19" x14ac:dyDescent="0.3">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x14ac:dyDescent="0.3">
      <c r="B127" s="273" t="s">
        <v>435</v>
      </c>
      <c r="C127" s="274" t="s">
        <v>370</v>
      </c>
      <c r="D127" s="362">
        <v>0.68237000000000003</v>
      </c>
      <c r="E127" s="217">
        <f t="shared" si="70"/>
        <v>0.18439415217285868</v>
      </c>
      <c r="F127" s="220">
        <f>IFERROR($D$127*F179/100, 0)</f>
        <v>7.6463662311115378E-3</v>
      </c>
      <c r="G127" s="221">
        <f>IFERROR($D$127*G179/100, 0)</f>
        <v>5.4631284027838553E-2</v>
      </c>
      <c r="H127" s="222">
        <f>IFERROR($D$127*H179/100, 0)</f>
        <v>0.12211650191390859</v>
      </c>
      <c r="I127" s="217">
        <f t="shared" si="103"/>
        <v>0.42370428567734264</v>
      </c>
      <c r="J127" s="220">
        <f t="shared" ref="J127:Q127" si="110">IFERROR($D$127*J179/100, 0)</f>
        <v>0.20068316998222302</v>
      </c>
      <c r="K127" s="221">
        <f t="shared" si="110"/>
        <v>0.18167646392719355</v>
      </c>
      <c r="L127" s="221">
        <f t="shared" si="110"/>
        <v>4.1344651767926094E-2</v>
      </c>
      <c r="M127" s="219">
        <f t="shared" si="110"/>
        <v>1.7293422248927822E-2</v>
      </c>
      <c r="N127" s="217">
        <f t="shared" si="101"/>
        <v>1.1405210533712754E-2</v>
      </c>
      <c r="O127" s="224">
        <f t="shared" ref="O127:P127" si="111">IFERROR($D$127*O179/100, 0)</f>
        <v>1.1405210533712754E-2</v>
      </c>
      <c r="P127" s="222">
        <f t="shared" si="111"/>
        <v>0</v>
      </c>
      <c r="Q127" s="217">
        <f t="shared" si="110"/>
        <v>4.557292936715826E-2</v>
      </c>
      <c r="R127" s="353"/>
      <c r="S127" s="354"/>
    </row>
    <row r="128" spans="2:19" x14ac:dyDescent="0.3">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x14ac:dyDescent="0.3">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x14ac:dyDescent="0.3">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x14ac:dyDescent="0.3">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x14ac:dyDescent="0.3">
      <c r="B132" s="273" t="s">
        <v>440</v>
      </c>
      <c r="C132" s="274" t="s">
        <v>380</v>
      </c>
      <c r="D132" s="352">
        <v>0.158</v>
      </c>
      <c r="E132" s="217">
        <f t="shared" si="70"/>
        <v>4.269571646366585E-2</v>
      </c>
      <c r="F132" s="220">
        <f>IFERROR($D$132*F184/100, 0)</f>
        <v>1.7704850220783782E-3</v>
      </c>
      <c r="G132" s="221">
        <f>IFERROR($D$132*G184/100, 0)</f>
        <v>1.2649651767220849E-2</v>
      </c>
      <c r="H132" s="222">
        <f>IFERROR($D$132*H184/100, 0)</f>
        <v>2.8275579674366627E-2</v>
      </c>
      <c r="I132" s="217">
        <f t="shared" si="103"/>
        <v>9.8107005198089223E-2</v>
      </c>
      <c r="J132" s="220">
        <f t="shared" ref="J132:Q132" si="120">IFERROR($D$132*J184/100, 0)</f>
        <v>4.6467372330540962E-2</v>
      </c>
      <c r="K132" s="221">
        <f t="shared" si="120"/>
        <v>4.2066446796454396E-2</v>
      </c>
      <c r="L132" s="221">
        <f t="shared" si="120"/>
        <v>9.5731860710938678E-3</v>
      </c>
      <c r="M132" s="219">
        <f t="shared" si="120"/>
        <v>4.004221632443683E-3</v>
      </c>
      <c r="N132" s="217">
        <f t="shared" si="101"/>
        <v>2.6408301424837182E-3</v>
      </c>
      <c r="O132" s="224">
        <f t="shared" ref="O132:P132" si="121">IFERROR($D$132*O184/100, 0)</f>
        <v>2.6408301424837182E-3</v>
      </c>
      <c r="P132" s="222">
        <f t="shared" si="121"/>
        <v>0</v>
      </c>
      <c r="Q132" s="217">
        <f t="shared" si="120"/>
        <v>1.0552226563317562E-2</v>
      </c>
      <c r="R132" s="353"/>
      <c r="S132" s="354"/>
    </row>
    <row r="133" spans="2:19" x14ac:dyDescent="0.3">
      <c r="B133" s="273" t="s">
        <v>441</v>
      </c>
      <c r="C133" s="274" t="s">
        <v>382</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x14ac:dyDescent="0.3">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x14ac:dyDescent="0.3">
      <c r="B135" s="298" t="s">
        <v>443</v>
      </c>
      <c r="C135" s="299" t="s">
        <v>386</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x14ac:dyDescent="0.3">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x14ac:dyDescent="0.3">
      <c r="B137" s="155" t="s">
        <v>445</v>
      </c>
      <c r="C137" s="215" t="s">
        <v>390</v>
      </c>
      <c r="D137" s="355">
        <f>SUM(D138:D143)</f>
        <v>11.253540000000001</v>
      </c>
      <c r="E137" s="158">
        <f t="shared" si="70"/>
        <v>3.040999702864065</v>
      </c>
      <c r="F137" s="159">
        <f>SUM(F138:F143)</f>
        <v>0.12610268364151844</v>
      </c>
      <c r="G137" s="160">
        <f>SUM(G138:G143)</f>
        <v>0.90097064650943359</v>
      </c>
      <c r="H137" s="161">
        <f>SUM(H138:H143)</f>
        <v>2.0139263727131129</v>
      </c>
      <c r="I137" s="158">
        <f t="shared" si="103"/>
        <v>6.9876652359297777</v>
      </c>
      <c r="J137" s="159">
        <f t="shared" ref="J137:Q137" si="129">SUM(J138:J143)</f>
        <v>3.3096356532698472</v>
      </c>
      <c r="K137" s="160">
        <f t="shared" si="129"/>
        <v>2.9961800106441223</v>
      </c>
      <c r="L137" s="160">
        <f t="shared" si="129"/>
        <v>0.68184957201580809</v>
      </c>
      <c r="M137" s="157">
        <f t="shared" si="129"/>
        <v>0.28520043233905246</v>
      </c>
      <c r="N137" s="158">
        <f>SUM(O137:P137)</f>
        <v>0.18809295975725457</v>
      </c>
      <c r="O137" s="163">
        <f t="shared" ref="O137:P137" si="130">SUM(O138:O143)</f>
        <v>0.18809295975725457</v>
      </c>
      <c r="P137" s="161">
        <f t="shared" si="130"/>
        <v>0</v>
      </c>
      <c r="Q137" s="158">
        <f t="shared" si="129"/>
        <v>0.75158166910985258</v>
      </c>
      <c r="R137" s="342"/>
      <c r="S137" s="343"/>
    </row>
    <row r="138" spans="2:19" x14ac:dyDescent="0.3">
      <c r="B138" s="174" t="s">
        <v>446</v>
      </c>
      <c r="C138" s="376" t="s">
        <v>392</v>
      </c>
      <c r="D138" s="377">
        <v>0.16800000000000001</v>
      </c>
      <c r="E138" s="324">
        <f t="shared" si="70"/>
        <v>4.5397976999340908E-2</v>
      </c>
      <c r="F138" s="378">
        <f>IFERROR($D$138*F189/100, 0)</f>
        <v>1.8825410361339716E-3</v>
      </c>
      <c r="G138" s="379">
        <f>IFERROR($D$138*G189/100, 0)</f>
        <v>1.3450262638563941E-2</v>
      </c>
      <c r="H138" s="380">
        <f>IFERROR($D$138*H189/100, 0)</f>
        <v>3.0065173324642997E-2</v>
      </c>
      <c r="I138" s="324">
        <f t="shared" si="103"/>
        <v>0.10431630932455055</v>
      </c>
      <c r="J138" s="378">
        <f t="shared" ref="J138:Q138" si="131">IFERROR($D$138*J189/100, 0)</f>
        <v>4.9408345262853676E-2</v>
      </c>
      <c r="K138" s="379">
        <f t="shared" si="131"/>
        <v>4.4728880138002136E-2</v>
      </c>
      <c r="L138" s="379">
        <f t="shared" si="131"/>
        <v>1.0179083923694744E-2</v>
      </c>
      <c r="M138" s="323">
        <f t="shared" si="131"/>
        <v>4.2576533813325238E-3</v>
      </c>
      <c r="N138" s="324">
        <f>SUM(O138:P138)</f>
        <v>2.8079712907421814E-3</v>
      </c>
      <c r="O138" s="381">
        <f t="shared" ref="O138:P138" si="132">IFERROR($D$138*O189/100, 0)</f>
        <v>2.8079712907421814E-3</v>
      </c>
      <c r="P138" s="380">
        <f t="shared" si="132"/>
        <v>0</v>
      </c>
      <c r="Q138" s="324">
        <f t="shared" si="131"/>
        <v>1.1220089004033864E-2</v>
      </c>
      <c r="R138" s="353"/>
      <c r="S138" s="354"/>
    </row>
    <row r="139" spans="2:19" x14ac:dyDescent="0.3">
      <c r="B139" s="174" t="s">
        <v>447</v>
      </c>
      <c r="C139" s="376" t="s">
        <v>448</v>
      </c>
      <c r="D139" s="377">
        <v>1.1870799999999999</v>
      </c>
      <c r="E139" s="324">
        <f t="shared" si="70"/>
        <v>0.32077994366891427</v>
      </c>
      <c r="F139" s="378">
        <f>IFERROR($D$139*F189/100, 0)</f>
        <v>1.3301945316511399E-2</v>
      </c>
      <c r="G139" s="379">
        <f>IFERROR($D$139*G189/100, 0)</f>
        <v>9.5038915315395725E-2</v>
      </c>
      <c r="H139" s="380">
        <f>IFERROR($D$139*H189/100, 0)</f>
        <v>0.21243908303700718</v>
      </c>
      <c r="I139" s="324">
        <f t="shared" si="103"/>
        <v>0.737094074243973</v>
      </c>
      <c r="J139" s="378">
        <f t="shared" ref="J139:Q139" si="133">IFERROR($D$139*J189/100, 0)</f>
        <v>0.34911701484897817</v>
      </c>
      <c r="K139" s="379">
        <f t="shared" si="133"/>
        <v>0.31605213710844982</v>
      </c>
      <c r="L139" s="379">
        <f t="shared" si="133"/>
        <v>7.1924922286544984E-2</v>
      </c>
      <c r="M139" s="323">
        <f t="shared" si="133"/>
        <v>3.0084376047096496E-2</v>
      </c>
      <c r="N139" s="324">
        <f t="shared" ref="N139:N143" si="134">SUM(O139:P139)</f>
        <v>1.9840991427465645E-2</v>
      </c>
      <c r="O139" s="381">
        <f t="shared" ref="O139:P139" si="135">IFERROR($D$139*O189/100, 0)</f>
        <v>1.9840991427465645E-2</v>
      </c>
      <c r="P139" s="380">
        <f t="shared" si="135"/>
        <v>0</v>
      </c>
      <c r="Q139" s="324">
        <f t="shared" si="133"/>
        <v>7.928061461255069E-2</v>
      </c>
      <c r="R139" s="353"/>
      <c r="S139" s="354"/>
    </row>
    <row r="140" spans="2:19" x14ac:dyDescent="0.3">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x14ac:dyDescent="0.3">
      <c r="B141" s="276" t="s">
        <v>450</v>
      </c>
      <c r="C141" s="264" t="s">
        <v>451</v>
      </c>
      <c r="D141" s="360">
        <v>4.6764200000000002</v>
      </c>
      <c r="E141" s="227">
        <f t="shared" si="70"/>
        <v>1.2636905214241536</v>
      </c>
      <c r="F141" s="228">
        <f>IFERROR($D$141*F189/100, 0)</f>
        <v>5.2402098524985882E-2</v>
      </c>
      <c r="G141" s="229">
        <f>IFERROR($D$141*G189/100, 0)</f>
        <v>0.37439926909662608</v>
      </c>
      <c r="H141" s="230">
        <f>IFERROR($D$141*H189/100, 0)</f>
        <v>0.8368891538025417</v>
      </c>
      <c r="I141" s="227">
        <f t="shared" si="103"/>
        <v>2.903731400306635</v>
      </c>
      <c r="J141" s="228">
        <f t="shared" ref="J141:Q141" si="138">IFERROR($D$141*J189/100, 0)</f>
        <v>1.3753224640125845</v>
      </c>
      <c r="K141" s="229">
        <f t="shared" si="138"/>
        <v>1.2450656527080712</v>
      </c>
      <c r="L141" s="229">
        <f t="shared" si="138"/>
        <v>0.28334328358597966</v>
      </c>
      <c r="M141" s="226">
        <f t="shared" si="138"/>
        <v>0.11851532991387524</v>
      </c>
      <c r="N141" s="324">
        <f t="shared" si="134"/>
        <v>7.8162220853884246E-2</v>
      </c>
      <c r="O141" s="232">
        <f t="shared" ref="O141:P141" si="139">IFERROR($D$141*O189/100, 0)</f>
        <v>7.8162220853884246E-2</v>
      </c>
      <c r="P141" s="230">
        <f t="shared" si="139"/>
        <v>0</v>
      </c>
      <c r="Q141" s="227">
        <f t="shared" si="138"/>
        <v>0.31232052750145262</v>
      </c>
      <c r="R141" s="353"/>
      <c r="S141" s="354"/>
    </row>
    <row r="142" spans="2:19" x14ac:dyDescent="0.3">
      <c r="B142" s="276" t="s">
        <v>452</v>
      </c>
      <c r="C142" s="382" t="s">
        <v>400</v>
      </c>
      <c r="D142" s="360">
        <v>5.2220399999999998</v>
      </c>
      <c r="E142" s="227">
        <f t="shared" si="70"/>
        <v>1.411131260771656</v>
      </c>
      <c r="F142" s="228">
        <f>IFERROR($D$142*F189/100, 0)</f>
        <v>5.8516098763887178E-2</v>
      </c>
      <c r="G142" s="229">
        <f>IFERROR($D$142*G189/100, 0)</f>
        <v>0.41808219945884789</v>
      </c>
      <c r="H142" s="230">
        <f>IFERROR($D$142*H189/100, 0)</f>
        <v>0.93453296254892093</v>
      </c>
      <c r="I142" s="227">
        <f t="shared" si="103"/>
        <v>3.2425234520546189</v>
      </c>
      <c r="J142" s="228">
        <f t="shared" ref="J142:Q142" si="140">IFERROR($D$142*J189/100, 0)</f>
        <v>1.535787829145431</v>
      </c>
      <c r="K142" s="229">
        <f t="shared" si="140"/>
        <v>1.3903333406895992</v>
      </c>
      <c r="L142" s="229">
        <f t="shared" si="140"/>
        <v>0.31640228221958872</v>
      </c>
      <c r="M142" s="226">
        <f t="shared" si="140"/>
        <v>0.13234307299674816</v>
      </c>
      <c r="N142" s="324">
        <f t="shared" si="134"/>
        <v>8.7281776185162502E-2</v>
      </c>
      <c r="O142" s="232">
        <f t="shared" ref="O142:P142" si="141">IFERROR($D$142*O189/100, 0)</f>
        <v>8.7281776185162502E-2</v>
      </c>
      <c r="P142" s="230">
        <f t="shared" si="141"/>
        <v>0</v>
      </c>
      <c r="Q142" s="227">
        <f t="shared" si="140"/>
        <v>0.34876043799181544</v>
      </c>
      <c r="R142" s="353"/>
      <c r="S142" s="354"/>
    </row>
    <row r="143" spans="2:19" x14ac:dyDescent="0.3">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x14ac:dyDescent="0.3">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x14ac:dyDescent="0.3">
      <c r="B145" s="393" t="s">
        <v>145</v>
      </c>
      <c r="C145" s="394" t="s">
        <v>455</v>
      </c>
      <c r="D145" s="395"/>
      <c r="E145" s="396"/>
      <c r="F145" s="397"/>
      <c r="G145" s="397"/>
      <c r="H145" s="397"/>
      <c r="I145" s="396"/>
      <c r="J145" s="397"/>
      <c r="K145" s="397"/>
      <c r="L145" s="398"/>
      <c r="M145" s="396"/>
      <c r="N145" s="399"/>
      <c r="O145" s="400"/>
      <c r="P145" s="401"/>
      <c r="Q145" s="402"/>
    </row>
    <row r="146" spans="2:17" ht="26.4" x14ac:dyDescent="0.3">
      <c r="B146" s="393">
        <v>1</v>
      </c>
      <c r="C146" s="394" t="s">
        <v>263</v>
      </c>
      <c r="D146" s="403">
        <f>E146+I146+M146+N146+Q146</f>
        <v>100.00000000000001</v>
      </c>
      <c r="E146" s="404">
        <f>SUM(F146:H146)</f>
        <v>27.022605356750542</v>
      </c>
      <c r="F146" s="405">
        <v>1.1205601405559356</v>
      </c>
      <c r="G146" s="405">
        <v>8.0061087134309172</v>
      </c>
      <c r="H146" s="405">
        <v>17.895936502763689</v>
      </c>
      <c r="I146" s="404">
        <f>SUM(J146:L146)</f>
        <v>62.093041264613426</v>
      </c>
      <c r="J146" s="405">
        <v>29.409729323127188</v>
      </c>
      <c r="K146" s="405">
        <v>26.624333415477462</v>
      </c>
      <c r="L146" s="406">
        <v>6.0589785260087767</v>
      </c>
      <c r="M146" s="407">
        <v>2.5343174888884068</v>
      </c>
      <c r="N146" s="408">
        <f>SUM(O146:P146)</f>
        <v>1.6714114825846318</v>
      </c>
      <c r="O146" s="409">
        <v>1.6714114825846318</v>
      </c>
      <c r="P146" s="410">
        <v>0</v>
      </c>
      <c r="Q146" s="411">
        <v>6.6786244071630136</v>
      </c>
    </row>
    <row r="147" spans="2:17" x14ac:dyDescent="0.3">
      <c r="B147" s="412">
        <v>2</v>
      </c>
      <c r="C147" s="175" t="s">
        <v>298</v>
      </c>
      <c r="D147" s="413">
        <f>E147+I147+M147+N147+Q147</f>
        <v>100.00000000000001</v>
      </c>
      <c r="E147" s="414">
        <f>SUM(F147:H147)</f>
        <v>27.022605356750542</v>
      </c>
      <c r="F147" s="415">
        <v>1.1205601405559356</v>
      </c>
      <c r="G147" s="415">
        <v>8.0061087134309172</v>
      </c>
      <c r="H147" s="415">
        <v>17.895936502763689</v>
      </c>
      <c r="I147" s="414">
        <f>SUM(J147:L147)</f>
        <v>62.093041264613426</v>
      </c>
      <c r="J147" s="415">
        <v>29.409729323127188</v>
      </c>
      <c r="K147" s="415">
        <v>26.624333415477462</v>
      </c>
      <c r="L147" s="416">
        <v>6.0589785260087767</v>
      </c>
      <c r="M147" s="417">
        <v>2.5343174888884068</v>
      </c>
      <c r="N147" s="408">
        <f>SUM(O147:P147)</f>
        <v>1.6714114825846318</v>
      </c>
      <c r="O147" s="418">
        <v>1.6714114825846318</v>
      </c>
      <c r="P147" s="419">
        <v>0</v>
      </c>
      <c r="Q147" s="420">
        <v>6.6786244071630136</v>
      </c>
    </row>
    <row r="148" spans="2:17" x14ac:dyDescent="0.3">
      <c r="B148" s="421" t="s">
        <v>147</v>
      </c>
      <c r="C148" s="422" t="s">
        <v>456</v>
      </c>
      <c r="D148" s="395"/>
      <c r="E148" s="396"/>
      <c r="F148" s="397"/>
      <c r="G148" s="397"/>
      <c r="H148" s="397"/>
      <c r="I148" s="396"/>
      <c r="J148" s="397"/>
      <c r="K148" s="397"/>
      <c r="L148" s="398"/>
      <c r="M148" s="396"/>
      <c r="N148" s="402"/>
      <c r="O148" s="400"/>
      <c r="P148" s="401"/>
      <c r="Q148" s="402"/>
    </row>
    <row r="149" spans="2:17" ht="28.5" customHeight="1" x14ac:dyDescent="0.3">
      <c r="B149" s="423">
        <v>1</v>
      </c>
      <c r="C149" s="424" t="s">
        <v>307</v>
      </c>
      <c r="D149" s="403">
        <f>E149+I149+M149+N149+Q149</f>
        <v>100.00000000000001</v>
      </c>
      <c r="E149" s="404">
        <f>SUM(F149:H149)</f>
        <v>27.022605356750542</v>
      </c>
      <c r="F149" s="405">
        <v>1.1205601405559356</v>
      </c>
      <c r="G149" s="405">
        <v>8.0061087134309172</v>
      </c>
      <c r="H149" s="405">
        <v>17.895936502763689</v>
      </c>
      <c r="I149" s="404">
        <f>SUM(J149:L149)</f>
        <v>62.093041264613426</v>
      </c>
      <c r="J149" s="405">
        <v>29.409729323127188</v>
      </c>
      <c r="K149" s="405">
        <v>26.624333415477462</v>
      </c>
      <c r="L149" s="406">
        <v>6.0589785260087767</v>
      </c>
      <c r="M149" s="407">
        <v>2.5343174888884068</v>
      </c>
      <c r="N149" s="408">
        <f>SUM(O149:P149)</f>
        <v>1.6714114825846318</v>
      </c>
      <c r="O149" s="425">
        <v>1.6714114825846318</v>
      </c>
      <c r="P149" s="426">
        <v>0</v>
      </c>
      <c r="Q149" s="411">
        <v>6.6786244071630136</v>
      </c>
    </row>
    <row r="150" spans="2:17" x14ac:dyDescent="0.3">
      <c r="B150" s="427">
        <v>2</v>
      </c>
      <c r="C150" s="428" t="s">
        <v>309</v>
      </c>
      <c r="D150" s="413">
        <f>E150+I150+M150+N150+Q150</f>
        <v>100.00000000000001</v>
      </c>
      <c r="E150" s="414">
        <f>SUM(F150:H150)</f>
        <v>27.022605356750542</v>
      </c>
      <c r="F150" s="415">
        <v>1.1205601405559356</v>
      </c>
      <c r="G150" s="415">
        <v>8.0061087134309172</v>
      </c>
      <c r="H150" s="415">
        <v>17.895936502763689</v>
      </c>
      <c r="I150" s="414">
        <f>SUM(J150:L150)</f>
        <v>62.093041264613426</v>
      </c>
      <c r="J150" s="415">
        <v>29.409729323127188</v>
      </c>
      <c r="K150" s="415">
        <v>26.624333415477462</v>
      </c>
      <c r="L150" s="416">
        <v>6.0589785260087767</v>
      </c>
      <c r="M150" s="417">
        <v>2.5343174888884068</v>
      </c>
      <c r="N150" s="408">
        <f>SUM(O150:P150)</f>
        <v>1.6714114825846318</v>
      </c>
      <c r="O150" s="429">
        <v>1.6714114825846318</v>
      </c>
      <c r="P150" s="430">
        <v>0</v>
      </c>
      <c r="Q150" s="420">
        <v>6.6786244071630136</v>
      </c>
    </row>
    <row r="151" spans="2:17" x14ac:dyDescent="0.3">
      <c r="B151" s="421" t="s">
        <v>149</v>
      </c>
      <c r="C151" s="422" t="s">
        <v>457</v>
      </c>
      <c r="D151" s="395"/>
      <c r="E151" s="396"/>
      <c r="F151" s="397"/>
      <c r="G151" s="397"/>
      <c r="H151" s="397"/>
      <c r="I151" s="396"/>
      <c r="J151" s="397"/>
      <c r="K151" s="397"/>
      <c r="L151" s="398"/>
      <c r="M151" s="396"/>
      <c r="N151" s="402"/>
      <c r="O151" s="400"/>
      <c r="P151" s="401"/>
      <c r="Q151" s="402"/>
    </row>
    <row r="152" spans="2:17" x14ac:dyDescent="0.3">
      <c r="B152" s="427">
        <v>1</v>
      </c>
      <c r="C152" s="428" t="s">
        <v>313</v>
      </c>
      <c r="D152" s="413">
        <f>E152+I152+M152+N152+Q152</f>
        <v>100.00000000000001</v>
      </c>
      <c r="E152" s="414">
        <f>SUM(F152:H152)</f>
        <v>27.022605356750542</v>
      </c>
      <c r="F152" s="415">
        <v>1.1205601405559356</v>
      </c>
      <c r="G152" s="415">
        <v>8.0061087134309172</v>
      </c>
      <c r="H152" s="415">
        <v>17.895936502763689</v>
      </c>
      <c r="I152" s="414">
        <f>SUM(J152:L152)</f>
        <v>62.093041264613426</v>
      </c>
      <c r="J152" s="415">
        <v>29.409729323127188</v>
      </c>
      <c r="K152" s="415">
        <v>26.624333415477462</v>
      </c>
      <c r="L152" s="416">
        <v>6.0589785260087767</v>
      </c>
      <c r="M152" s="417">
        <v>2.5343174888884068</v>
      </c>
      <c r="N152" s="431">
        <f>SUM(O152:P152)</f>
        <v>1.6714114825846318</v>
      </c>
      <c r="O152" s="418">
        <v>1.6714114825846318</v>
      </c>
      <c r="P152" s="419">
        <v>0</v>
      </c>
      <c r="Q152" s="420">
        <v>6.6786244071630136</v>
      </c>
    </row>
    <row r="153" spans="2:17" x14ac:dyDescent="0.3">
      <c r="B153" s="421" t="s">
        <v>458</v>
      </c>
      <c r="C153" s="422" t="s">
        <v>459</v>
      </c>
      <c r="D153" s="395"/>
      <c r="E153" s="396"/>
      <c r="F153" s="397"/>
      <c r="G153" s="397"/>
      <c r="H153" s="397"/>
      <c r="I153" s="396"/>
      <c r="J153" s="397"/>
      <c r="K153" s="397"/>
      <c r="L153" s="398"/>
      <c r="M153" s="396"/>
      <c r="N153" s="402"/>
      <c r="O153" s="400"/>
      <c r="P153" s="401"/>
      <c r="Q153" s="402"/>
    </row>
    <row r="154" spans="2:17" x14ac:dyDescent="0.3">
      <c r="B154" s="423">
        <v>1</v>
      </c>
      <c r="C154" s="424" t="s">
        <v>269</v>
      </c>
      <c r="D154" s="403">
        <f t="shared" ref="D154:D159" si="144">E154+I154+M154+N154+Q154</f>
        <v>100.00000000000001</v>
      </c>
      <c r="E154" s="404">
        <f t="shared" ref="E154:E159" si="145">SUM(F154:H154)</f>
        <v>27.022605356750542</v>
      </c>
      <c r="F154" s="405">
        <v>1.1205601405559356</v>
      </c>
      <c r="G154" s="405">
        <v>8.0061087134309172</v>
      </c>
      <c r="H154" s="405">
        <v>17.895936502763689</v>
      </c>
      <c r="I154" s="404">
        <f t="shared" ref="I154:I159" si="146">SUM(J154:L154)</f>
        <v>62.093041264613426</v>
      </c>
      <c r="J154" s="405">
        <v>29.409729323127188</v>
      </c>
      <c r="K154" s="405">
        <v>26.624333415477462</v>
      </c>
      <c r="L154" s="406">
        <v>6.0589785260087767</v>
      </c>
      <c r="M154" s="407">
        <v>2.5343174888884068</v>
      </c>
      <c r="N154" s="408">
        <f>SUM(O154:P154)</f>
        <v>1.6714114825846318</v>
      </c>
      <c r="O154" s="425">
        <v>1.6714114825846318</v>
      </c>
      <c r="P154" s="426">
        <v>0</v>
      </c>
      <c r="Q154" s="411">
        <v>6.6786244071630136</v>
      </c>
    </row>
    <row r="155" spans="2:17" x14ac:dyDescent="0.3">
      <c r="B155" s="423">
        <v>2</v>
      </c>
      <c r="C155" s="424" t="s">
        <v>273</v>
      </c>
      <c r="D155" s="403">
        <f t="shared" si="144"/>
        <v>100.00000000000001</v>
      </c>
      <c r="E155" s="404">
        <f t="shared" si="145"/>
        <v>27.022605356750542</v>
      </c>
      <c r="F155" s="405">
        <v>1.1205601405559356</v>
      </c>
      <c r="G155" s="405">
        <v>8.0061087134309172</v>
      </c>
      <c r="H155" s="405">
        <v>17.895936502763689</v>
      </c>
      <c r="I155" s="404">
        <f t="shared" si="146"/>
        <v>62.093041264613426</v>
      </c>
      <c r="J155" s="405">
        <v>29.409729323127188</v>
      </c>
      <c r="K155" s="405">
        <v>26.624333415477462</v>
      </c>
      <c r="L155" s="406">
        <v>6.0589785260087767</v>
      </c>
      <c r="M155" s="407">
        <v>2.5343174888884068</v>
      </c>
      <c r="N155" s="408">
        <f t="shared" ref="N155:N158" si="147">SUM(O155:P155)</f>
        <v>1.6714114825846318</v>
      </c>
      <c r="O155" s="425">
        <v>1.6714114825846318</v>
      </c>
      <c r="P155" s="426">
        <v>0</v>
      </c>
      <c r="Q155" s="411">
        <v>6.6786244071630136</v>
      </c>
    </row>
    <row r="156" spans="2:17" x14ac:dyDescent="0.3">
      <c r="B156" s="423">
        <v>3</v>
      </c>
      <c r="C156" s="424" t="s">
        <v>460</v>
      </c>
      <c r="D156" s="403">
        <f t="shared" si="144"/>
        <v>100.00000000000001</v>
      </c>
      <c r="E156" s="404">
        <f t="shared" si="145"/>
        <v>27.022605356750542</v>
      </c>
      <c r="F156" s="405">
        <v>1.1205601405559356</v>
      </c>
      <c r="G156" s="405">
        <v>8.0061087134309172</v>
      </c>
      <c r="H156" s="405">
        <v>17.895936502763689</v>
      </c>
      <c r="I156" s="404">
        <f t="shared" si="146"/>
        <v>62.093041264613426</v>
      </c>
      <c r="J156" s="405">
        <v>29.409729323127188</v>
      </c>
      <c r="K156" s="405">
        <v>26.624333415477462</v>
      </c>
      <c r="L156" s="406">
        <v>6.0589785260087767</v>
      </c>
      <c r="M156" s="407">
        <v>2.5343174888884068</v>
      </c>
      <c r="N156" s="408">
        <f t="shared" si="147"/>
        <v>1.6714114825846318</v>
      </c>
      <c r="O156" s="425">
        <v>1.6714114825846318</v>
      </c>
      <c r="P156" s="426">
        <v>0</v>
      </c>
      <c r="Q156" s="411">
        <v>6.6786244071630136</v>
      </c>
    </row>
    <row r="157" spans="2:17" x14ac:dyDescent="0.3">
      <c r="B157" s="423">
        <v>4</v>
      </c>
      <c r="C157" s="424" t="s">
        <v>461</v>
      </c>
      <c r="D157" s="403">
        <f t="shared" si="144"/>
        <v>100.00000000000001</v>
      </c>
      <c r="E157" s="404">
        <f t="shared" si="145"/>
        <v>27.022605356750542</v>
      </c>
      <c r="F157" s="405">
        <v>1.1205601405559356</v>
      </c>
      <c r="G157" s="405">
        <v>8.0061087134309172</v>
      </c>
      <c r="H157" s="405">
        <v>17.895936502763689</v>
      </c>
      <c r="I157" s="404">
        <f t="shared" si="146"/>
        <v>62.093041264613426</v>
      </c>
      <c r="J157" s="405">
        <v>29.409729323127188</v>
      </c>
      <c r="K157" s="405">
        <v>26.624333415477462</v>
      </c>
      <c r="L157" s="406">
        <v>6.0589785260087767</v>
      </c>
      <c r="M157" s="407">
        <v>2.5343174888884068</v>
      </c>
      <c r="N157" s="408">
        <f t="shared" si="147"/>
        <v>1.6714114825846318</v>
      </c>
      <c r="O157" s="425">
        <v>1.6714114825846318</v>
      </c>
      <c r="P157" s="426">
        <v>0</v>
      </c>
      <c r="Q157" s="411">
        <v>6.6786244071630136</v>
      </c>
    </row>
    <row r="158" spans="2:17" ht="30" customHeight="1" x14ac:dyDescent="0.3">
      <c r="B158" s="427">
        <v>5</v>
      </c>
      <c r="C158" s="428" t="s">
        <v>322</v>
      </c>
      <c r="D158" s="413">
        <f t="shared" si="144"/>
        <v>100.00000000000001</v>
      </c>
      <c r="E158" s="414">
        <f t="shared" si="145"/>
        <v>27.022605356750542</v>
      </c>
      <c r="F158" s="415">
        <v>1.1205601405559356</v>
      </c>
      <c r="G158" s="415">
        <v>8.0061087134309172</v>
      </c>
      <c r="H158" s="415">
        <v>17.895936502763689</v>
      </c>
      <c r="I158" s="414">
        <f t="shared" si="146"/>
        <v>62.093041264613426</v>
      </c>
      <c r="J158" s="415">
        <v>29.409729323127188</v>
      </c>
      <c r="K158" s="415">
        <v>26.624333415477462</v>
      </c>
      <c r="L158" s="416">
        <v>6.0589785260087767</v>
      </c>
      <c r="M158" s="417">
        <v>2.5343174888884068</v>
      </c>
      <c r="N158" s="408">
        <f t="shared" si="147"/>
        <v>1.6714114825846318</v>
      </c>
      <c r="O158" s="429">
        <v>1.6714114825846318</v>
      </c>
      <c r="P158" s="430">
        <v>0</v>
      </c>
      <c r="Q158" s="420">
        <v>6.6786244071630136</v>
      </c>
    </row>
    <row r="159" spans="2:17" x14ac:dyDescent="0.3">
      <c r="B159" s="432" t="s">
        <v>462</v>
      </c>
      <c r="C159" s="433" t="s">
        <v>324</v>
      </c>
      <c r="D159" s="434">
        <f t="shared" si="144"/>
        <v>100.00000000000001</v>
      </c>
      <c r="E159" s="435">
        <f t="shared" si="145"/>
        <v>27.022605356750542</v>
      </c>
      <c r="F159" s="436">
        <v>1.1205601405559356</v>
      </c>
      <c r="G159" s="436">
        <v>8.0061087134309172</v>
      </c>
      <c r="H159" s="436">
        <v>17.895936502763689</v>
      </c>
      <c r="I159" s="435">
        <f t="shared" si="146"/>
        <v>62.093041264613426</v>
      </c>
      <c r="J159" s="436">
        <v>29.409729323127188</v>
      </c>
      <c r="K159" s="436">
        <v>26.624333415477462</v>
      </c>
      <c r="L159" s="437">
        <v>6.0589785260087767</v>
      </c>
      <c r="M159" s="438">
        <v>2.5343174888884068</v>
      </c>
      <c r="N159" s="435">
        <f>SUM(O159:P159)</f>
        <v>1.6714114825846318</v>
      </c>
      <c r="O159" s="439">
        <v>1.6714114825846318</v>
      </c>
      <c r="P159" s="440">
        <v>0</v>
      </c>
      <c r="Q159" s="441">
        <v>6.6786244071630136</v>
      </c>
    </row>
    <row r="160" spans="2:17" x14ac:dyDescent="0.3">
      <c r="B160" s="421" t="s">
        <v>463</v>
      </c>
      <c r="C160" s="422" t="s">
        <v>464</v>
      </c>
      <c r="D160" s="395"/>
      <c r="E160" s="396"/>
      <c r="F160" s="397"/>
      <c r="G160" s="397"/>
      <c r="H160" s="397"/>
      <c r="I160" s="396"/>
      <c r="J160" s="397"/>
      <c r="K160" s="397"/>
      <c r="L160" s="398"/>
      <c r="M160" s="396"/>
      <c r="N160" s="402"/>
      <c r="O160" s="400"/>
      <c r="P160" s="401"/>
      <c r="Q160" s="402"/>
    </row>
    <row r="161" spans="2:18" x14ac:dyDescent="0.3">
      <c r="B161" s="423">
        <v>1</v>
      </c>
      <c r="C161" s="424" t="s">
        <v>277</v>
      </c>
      <c r="D161" s="403">
        <f>E161+I161+M161+N161+Q161</f>
        <v>100.00000000000001</v>
      </c>
      <c r="E161" s="404">
        <f>SUM(F161:H161)</f>
        <v>27.022605356750542</v>
      </c>
      <c r="F161" s="405">
        <v>1.1205601405559356</v>
      </c>
      <c r="G161" s="405">
        <v>8.0061087134309172</v>
      </c>
      <c r="H161" s="405">
        <v>17.895936502763689</v>
      </c>
      <c r="I161" s="404">
        <f>SUM(J161:L161)</f>
        <v>62.093041264613426</v>
      </c>
      <c r="J161" s="405">
        <v>29.409729323127188</v>
      </c>
      <c r="K161" s="405">
        <v>26.624333415477462</v>
      </c>
      <c r="L161" s="406">
        <v>6.0589785260087767</v>
      </c>
      <c r="M161" s="407">
        <v>2.5343174888884068</v>
      </c>
      <c r="N161" s="404">
        <f>SUM(O161:P161)</f>
        <v>1.6714114825846318</v>
      </c>
      <c r="O161" s="409">
        <v>1.6714114825846318</v>
      </c>
      <c r="P161" s="410">
        <v>0</v>
      </c>
      <c r="Q161" s="411">
        <v>6.6786244071630136</v>
      </c>
    </row>
    <row r="162" spans="2:18" x14ac:dyDescent="0.3">
      <c r="B162" s="423">
        <v>2</v>
      </c>
      <c r="C162" s="442" t="s">
        <v>330</v>
      </c>
      <c r="D162" s="403">
        <f>E162+I162+M162+N162+Q162</f>
        <v>100.00000000000001</v>
      </c>
      <c r="E162" s="404">
        <f>SUM(F162:H162)</f>
        <v>27.022605356750542</v>
      </c>
      <c r="F162" s="405">
        <v>1.1205601405559356</v>
      </c>
      <c r="G162" s="405">
        <v>8.0061087134309172</v>
      </c>
      <c r="H162" s="405">
        <v>17.895936502763689</v>
      </c>
      <c r="I162" s="404">
        <f>SUM(J162:L162)</f>
        <v>62.093041264613426</v>
      </c>
      <c r="J162" s="405">
        <v>29.409729323127188</v>
      </c>
      <c r="K162" s="405">
        <v>26.624333415477462</v>
      </c>
      <c r="L162" s="406">
        <v>6.0589785260087767</v>
      </c>
      <c r="M162" s="407">
        <v>2.5343174888884068</v>
      </c>
      <c r="N162" s="404">
        <f t="shared" ref="N162:N165" si="148">SUM(O162:P162)</f>
        <v>1.6714114825846318</v>
      </c>
      <c r="O162" s="409">
        <v>1.6714114825846318</v>
      </c>
      <c r="P162" s="410">
        <v>0</v>
      </c>
      <c r="Q162" s="411">
        <v>6.6786244071630136</v>
      </c>
    </row>
    <row r="163" spans="2:18" x14ac:dyDescent="0.3">
      <c r="B163" s="423">
        <v>3</v>
      </c>
      <c r="C163" s="424" t="s">
        <v>465</v>
      </c>
      <c r="D163" s="403">
        <f>E163+I163+M163+N163+Q163</f>
        <v>100.00000000000001</v>
      </c>
      <c r="E163" s="404">
        <f>SUM(F163:H163)</f>
        <v>27.022605356750542</v>
      </c>
      <c r="F163" s="415">
        <v>1.1205601405559356</v>
      </c>
      <c r="G163" s="415">
        <v>8.0061087134309172</v>
      </c>
      <c r="H163" s="415">
        <v>17.895936502763689</v>
      </c>
      <c r="I163" s="414">
        <f>SUM(J163:L163)</f>
        <v>62.093041264613426</v>
      </c>
      <c r="J163" s="415">
        <v>29.409729323127188</v>
      </c>
      <c r="K163" s="415">
        <v>26.624333415477462</v>
      </c>
      <c r="L163" s="416">
        <v>6.0589785260087767</v>
      </c>
      <c r="M163" s="417">
        <v>2.5343174888884068</v>
      </c>
      <c r="N163" s="414">
        <f t="shared" si="148"/>
        <v>1.6714114825846318</v>
      </c>
      <c r="O163" s="418">
        <v>1.6714114825846318</v>
      </c>
      <c r="P163" s="419">
        <v>0</v>
      </c>
      <c r="Q163" s="420">
        <v>6.6786244071630136</v>
      </c>
    </row>
    <row r="164" spans="2:18" x14ac:dyDescent="0.3">
      <c r="B164" s="427">
        <v>4</v>
      </c>
      <c r="C164" s="428" t="s">
        <v>334</v>
      </c>
      <c r="D164" s="403">
        <f>E164+I164+M164+N164+Q164</f>
        <v>100.00000000000001</v>
      </c>
      <c r="E164" s="443">
        <f>SUM(F164:H164)</f>
        <v>27.022605356750542</v>
      </c>
      <c r="F164" s="444">
        <v>1.1205601405559356</v>
      </c>
      <c r="G164" s="445">
        <v>8.0061087134309172</v>
      </c>
      <c r="H164" s="446">
        <v>17.895936502763689</v>
      </c>
      <c r="I164" s="403">
        <f>SUM(J164:L164)</f>
        <v>62.093041264613426</v>
      </c>
      <c r="J164" s="445">
        <v>29.409729323127188</v>
      </c>
      <c r="K164" s="447">
        <v>26.624333415477462</v>
      </c>
      <c r="L164" s="448">
        <v>6.0589785260087767</v>
      </c>
      <c r="M164" s="447">
        <v>2.5343174888884068</v>
      </c>
      <c r="N164" s="403">
        <f t="shared" si="148"/>
        <v>1.6714114825846318</v>
      </c>
      <c r="O164" s="449">
        <v>1.6714114825846318</v>
      </c>
      <c r="P164" s="450">
        <v>0</v>
      </c>
      <c r="Q164" s="451">
        <v>6.6786244071630136</v>
      </c>
      <c r="R164" s="452"/>
    </row>
    <row r="165" spans="2:18" x14ac:dyDescent="0.3">
      <c r="B165" s="427">
        <v>5</v>
      </c>
      <c r="C165" s="428" t="s">
        <v>466</v>
      </c>
      <c r="D165" s="413">
        <f>E165+I165+M165+N165+Q165</f>
        <v>100.00000000000001</v>
      </c>
      <c r="E165" s="414">
        <f>SUM(F165:H165)</f>
        <v>27.022605356750542</v>
      </c>
      <c r="F165" s="415">
        <v>1.1205601405559356</v>
      </c>
      <c r="G165" s="415">
        <v>8.0061087134309172</v>
      </c>
      <c r="H165" s="415">
        <v>17.895936502763689</v>
      </c>
      <c r="I165" s="453">
        <f>SUM(J165:L165)</f>
        <v>62.093041264613426</v>
      </c>
      <c r="J165" s="415">
        <v>29.409729323127188</v>
      </c>
      <c r="K165" s="415">
        <v>26.624333415477462</v>
      </c>
      <c r="L165" s="416">
        <v>6.0589785260087767</v>
      </c>
      <c r="M165" s="417">
        <v>2.5343174888884068</v>
      </c>
      <c r="N165" s="454">
        <f t="shared" si="148"/>
        <v>1.6714114825846318</v>
      </c>
      <c r="O165" s="418">
        <v>1.6714114825846318</v>
      </c>
      <c r="P165" s="419">
        <v>0</v>
      </c>
      <c r="Q165" s="420">
        <v>6.6786244071630136</v>
      </c>
    </row>
    <row r="166" spans="2:18" x14ac:dyDescent="0.3">
      <c r="B166" s="421" t="s">
        <v>467</v>
      </c>
      <c r="C166" s="422" t="s">
        <v>468</v>
      </c>
      <c r="D166" s="395"/>
      <c r="E166" s="396"/>
      <c r="F166" s="397"/>
      <c r="G166" s="397"/>
      <c r="H166" s="397"/>
      <c r="I166" s="396"/>
      <c r="J166" s="397"/>
      <c r="K166" s="397"/>
      <c r="L166" s="398"/>
      <c r="M166" s="396"/>
      <c r="N166" s="402"/>
      <c r="O166" s="400"/>
      <c r="P166" s="401"/>
      <c r="Q166" s="402"/>
    </row>
    <row r="167" spans="2:18" x14ac:dyDescent="0.3">
      <c r="B167" s="423">
        <v>1</v>
      </c>
      <c r="C167" s="424" t="s">
        <v>469</v>
      </c>
      <c r="D167" s="403">
        <f>E167+I167+M167+N167+Q167</f>
        <v>100.00000000000001</v>
      </c>
      <c r="E167" s="404">
        <f>SUM(F167:H167)</f>
        <v>27.022605356750542</v>
      </c>
      <c r="F167" s="405">
        <v>1.1205601405559356</v>
      </c>
      <c r="G167" s="405">
        <v>8.0061087134309172</v>
      </c>
      <c r="H167" s="405">
        <v>17.895936502763689</v>
      </c>
      <c r="I167" s="404">
        <f>SUM(J167:L167)</f>
        <v>62.093041264613426</v>
      </c>
      <c r="J167" s="405">
        <v>29.409729323127188</v>
      </c>
      <c r="K167" s="405">
        <v>26.624333415477462</v>
      </c>
      <c r="L167" s="406">
        <v>6.0589785260087767</v>
      </c>
      <c r="M167" s="407">
        <v>2.5343174888884068</v>
      </c>
      <c r="N167" s="404">
        <f>SUM(O167:P167)</f>
        <v>1.6714114825846318</v>
      </c>
      <c r="O167" s="409">
        <v>1.6714114825846318</v>
      </c>
      <c r="P167" s="410">
        <v>0</v>
      </c>
      <c r="Q167" s="411">
        <v>6.6786244071630136</v>
      </c>
    </row>
    <row r="168" spans="2:18" x14ac:dyDescent="0.3">
      <c r="B168" s="427">
        <v>2</v>
      </c>
      <c r="C168" s="428" t="s">
        <v>470</v>
      </c>
      <c r="D168" s="403">
        <f>E168+I168+M168+N168+Q168</f>
        <v>100.00000000000001</v>
      </c>
      <c r="E168" s="404">
        <f>SUM(F168:H168)</f>
        <v>27.022605356750542</v>
      </c>
      <c r="F168" s="448">
        <v>1.1205601405559356</v>
      </c>
      <c r="G168" s="448">
        <v>8.0061087134309172</v>
      </c>
      <c r="H168" s="448">
        <v>17.895936502763689</v>
      </c>
      <c r="I168" s="404">
        <f>SUM(J168:L168)</f>
        <v>62.093041264613426</v>
      </c>
      <c r="J168" s="448">
        <v>29.409729323127188</v>
      </c>
      <c r="K168" s="448">
        <v>26.624333415477462</v>
      </c>
      <c r="L168" s="446">
        <v>6.0589785260087767</v>
      </c>
      <c r="M168" s="451">
        <v>2.5343174888884068</v>
      </c>
      <c r="N168" s="404">
        <f t="shared" ref="N168:N169" si="149">SUM(O168:P168)</f>
        <v>1.6714114825846318</v>
      </c>
      <c r="O168" s="449">
        <v>1.6714114825846318</v>
      </c>
      <c r="P168" s="455">
        <v>0</v>
      </c>
      <c r="Q168" s="456">
        <v>6.6786244071630136</v>
      </c>
    </row>
    <row r="169" spans="2:18" x14ac:dyDescent="0.3">
      <c r="B169" s="427">
        <v>3</v>
      </c>
      <c r="C169" s="428" t="s">
        <v>350</v>
      </c>
      <c r="D169" s="413">
        <f>E169+I169+M169+N169+Q169</f>
        <v>100.00000000000001</v>
      </c>
      <c r="E169" s="414">
        <f>SUM(F169:H169)</f>
        <v>27.022605356750542</v>
      </c>
      <c r="F169" s="415">
        <v>1.1205601405559356</v>
      </c>
      <c r="G169" s="415">
        <v>8.0061087134309172</v>
      </c>
      <c r="H169" s="415">
        <v>17.895936502763689</v>
      </c>
      <c r="I169" s="414">
        <f>SUM(J169:L169)</f>
        <v>62.093041264613426</v>
      </c>
      <c r="J169" s="415">
        <v>29.409729323127188</v>
      </c>
      <c r="K169" s="415">
        <v>26.624333415477462</v>
      </c>
      <c r="L169" s="416">
        <v>6.0589785260087767</v>
      </c>
      <c r="M169" s="417">
        <v>2.5343174888884068</v>
      </c>
      <c r="N169" s="404">
        <f t="shared" si="149"/>
        <v>1.6714114825846318</v>
      </c>
      <c r="O169" s="418">
        <v>1.6714114825846318</v>
      </c>
      <c r="P169" s="419">
        <v>0</v>
      </c>
      <c r="Q169" s="420">
        <v>6.6786244071630136</v>
      </c>
    </row>
    <row r="170" spans="2:18" x14ac:dyDescent="0.3">
      <c r="B170" s="421" t="s">
        <v>471</v>
      </c>
      <c r="C170" s="422" t="s">
        <v>472</v>
      </c>
      <c r="D170" s="395"/>
      <c r="E170" s="396"/>
      <c r="F170" s="397"/>
      <c r="G170" s="397"/>
      <c r="H170" s="397"/>
      <c r="I170" s="396"/>
      <c r="J170" s="397"/>
      <c r="K170" s="397"/>
      <c r="L170" s="398"/>
      <c r="M170" s="396"/>
      <c r="N170" s="402"/>
      <c r="O170" s="400"/>
      <c r="P170" s="401"/>
      <c r="Q170" s="402"/>
    </row>
    <row r="171" spans="2:18" x14ac:dyDescent="0.3">
      <c r="B171" s="423">
        <v>1</v>
      </c>
      <c r="C171" s="424" t="s">
        <v>473</v>
      </c>
      <c r="D171" s="403">
        <f>E171+I171+M171+N171+Q171</f>
        <v>100.00000000000001</v>
      </c>
      <c r="E171" s="404">
        <f>SUM(F171:H171)</f>
        <v>27.022605356750542</v>
      </c>
      <c r="F171" s="405">
        <v>1.1205601405559356</v>
      </c>
      <c r="G171" s="405">
        <v>8.0061087134309172</v>
      </c>
      <c r="H171" s="405">
        <v>17.895936502763689</v>
      </c>
      <c r="I171" s="404">
        <f>SUM(J171:L171)</f>
        <v>62.093041264613426</v>
      </c>
      <c r="J171" s="405">
        <v>29.409729323127188</v>
      </c>
      <c r="K171" s="405">
        <v>26.624333415477462</v>
      </c>
      <c r="L171" s="406">
        <v>6.0589785260087767</v>
      </c>
      <c r="M171" s="407">
        <v>2.5343174888884068</v>
      </c>
      <c r="N171" s="404">
        <f>SUM(O171:P171)</f>
        <v>1.6714114825846318</v>
      </c>
      <c r="O171" s="425">
        <v>1.6714114825846318</v>
      </c>
      <c r="P171" s="426">
        <v>0</v>
      </c>
      <c r="Q171" s="411">
        <v>6.6786244071630136</v>
      </c>
    </row>
    <row r="172" spans="2:18" x14ac:dyDescent="0.3">
      <c r="B172" s="427">
        <v>2</v>
      </c>
      <c r="C172" s="428" t="s">
        <v>474</v>
      </c>
      <c r="D172" s="413">
        <f>E172+I172+M172+N172+Q172</f>
        <v>100.00000000000001</v>
      </c>
      <c r="E172" s="414">
        <f>SUM(F172:H172)</f>
        <v>27.022605356750542</v>
      </c>
      <c r="F172" s="415">
        <v>1.1205601405559356</v>
      </c>
      <c r="G172" s="415">
        <v>8.0061087134309172</v>
      </c>
      <c r="H172" s="415">
        <v>17.895936502763689</v>
      </c>
      <c r="I172" s="414">
        <f>SUM(J172:L172)</f>
        <v>62.093041264613426</v>
      </c>
      <c r="J172" s="415">
        <v>29.409729323127188</v>
      </c>
      <c r="K172" s="415">
        <v>26.624333415477462</v>
      </c>
      <c r="L172" s="416">
        <v>6.0589785260087767</v>
      </c>
      <c r="M172" s="417">
        <v>2.5343174888884068</v>
      </c>
      <c r="N172" s="404">
        <f>SUM(O172:P172)</f>
        <v>1.6714114825846318</v>
      </c>
      <c r="O172" s="429">
        <v>1.6714114825846318</v>
      </c>
      <c r="P172" s="430">
        <v>0</v>
      </c>
      <c r="Q172" s="420">
        <v>6.6786244071630136</v>
      </c>
    </row>
    <row r="173" spans="2:18" x14ac:dyDescent="0.3">
      <c r="B173" s="421" t="s">
        <v>475</v>
      </c>
      <c r="C173" s="422" t="s">
        <v>476</v>
      </c>
      <c r="D173" s="395"/>
      <c r="E173" s="396"/>
      <c r="F173" s="397"/>
      <c r="G173" s="397"/>
      <c r="H173" s="397"/>
      <c r="I173" s="396"/>
      <c r="J173" s="397"/>
      <c r="K173" s="397"/>
      <c r="L173" s="398"/>
      <c r="M173" s="396"/>
      <c r="N173" s="402"/>
      <c r="O173" s="400"/>
      <c r="P173" s="401"/>
      <c r="Q173" s="402"/>
    </row>
    <row r="174" spans="2:18" x14ac:dyDescent="0.3">
      <c r="B174" s="423">
        <v>1</v>
      </c>
      <c r="C174" s="424" t="s">
        <v>477</v>
      </c>
      <c r="D174" s="403">
        <f t="shared" ref="D174:D189" si="150">E174+I174+M174+N174+Q174</f>
        <v>100.00000000000001</v>
      </c>
      <c r="E174" s="404">
        <f t="shared" ref="E174:E189" si="151">SUM(F174:H174)</f>
        <v>27.022605356750542</v>
      </c>
      <c r="F174" s="405">
        <v>1.1205601405559356</v>
      </c>
      <c r="G174" s="405">
        <v>8.0061087134309172</v>
      </c>
      <c r="H174" s="405">
        <v>17.895936502763689</v>
      </c>
      <c r="I174" s="404">
        <f t="shared" ref="I174:I189" si="152">SUM(J174:L174)</f>
        <v>62.093041264613426</v>
      </c>
      <c r="J174" s="405">
        <v>29.409729323127188</v>
      </c>
      <c r="K174" s="405">
        <v>26.624333415477462</v>
      </c>
      <c r="L174" s="406">
        <v>6.0589785260087767</v>
      </c>
      <c r="M174" s="407">
        <v>2.5343174888884068</v>
      </c>
      <c r="N174" s="404">
        <f>SUM(O174:P174)</f>
        <v>1.6714114825846318</v>
      </c>
      <c r="O174" s="409">
        <v>1.6714114825846318</v>
      </c>
      <c r="P174" s="410">
        <v>0</v>
      </c>
      <c r="Q174" s="411">
        <v>6.6786244071630136</v>
      </c>
    </row>
    <row r="175" spans="2:18" x14ac:dyDescent="0.3">
      <c r="B175" s="423">
        <v>2</v>
      </c>
      <c r="C175" s="424" t="s">
        <v>478</v>
      </c>
      <c r="D175" s="403">
        <f t="shared" si="150"/>
        <v>100.00000000000001</v>
      </c>
      <c r="E175" s="404">
        <f t="shared" si="151"/>
        <v>27.022605356750542</v>
      </c>
      <c r="F175" s="405">
        <v>1.1205601405559356</v>
      </c>
      <c r="G175" s="405">
        <v>8.0061087134309172</v>
      </c>
      <c r="H175" s="405">
        <v>17.895936502763689</v>
      </c>
      <c r="I175" s="404">
        <f t="shared" si="152"/>
        <v>62.093041264613426</v>
      </c>
      <c r="J175" s="405">
        <v>29.409729323127188</v>
      </c>
      <c r="K175" s="405">
        <v>26.624333415477462</v>
      </c>
      <c r="L175" s="406">
        <v>6.0589785260087767</v>
      </c>
      <c r="M175" s="407">
        <v>2.5343174888884068</v>
      </c>
      <c r="N175" s="404">
        <f t="shared" ref="N175:N187" si="153">SUM(O175:P175)</f>
        <v>1.6714114825846318</v>
      </c>
      <c r="O175" s="409">
        <v>1.6714114825846318</v>
      </c>
      <c r="P175" s="410">
        <v>0</v>
      </c>
      <c r="Q175" s="411">
        <v>6.6786244071630136</v>
      </c>
    </row>
    <row r="176" spans="2:18" x14ac:dyDescent="0.3">
      <c r="B176" s="423">
        <v>3</v>
      </c>
      <c r="C176" s="424" t="s">
        <v>479</v>
      </c>
      <c r="D176" s="403">
        <f t="shared" si="150"/>
        <v>100.00000000000001</v>
      </c>
      <c r="E176" s="404">
        <f t="shared" si="151"/>
        <v>27.022605356750542</v>
      </c>
      <c r="F176" s="405">
        <v>1.1205601405559356</v>
      </c>
      <c r="G176" s="405">
        <v>8.0061087134309172</v>
      </c>
      <c r="H176" s="405">
        <v>17.895936502763689</v>
      </c>
      <c r="I176" s="404">
        <f t="shared" si="152"/>
        <v>62.093041264613426</v>
      </c>
      <c r="J176" s="405">
        <v>29.409729323127188</v>
      </c>
      <c r="K176" s="405">
        <v>26.624333415477462</v>
      </c>
      <c r="L176" s="406">
        <v>6.0589785260087767</v>
      </c>
      <c r="M176" s="407">
        <v>2.5343174888884068</v>
      </c>
      <c r="N176" s="404">
        <f t="shared" si="153"/>
        <v>1.6714114825846318</v>
      </c>
      <c r="O176" s="409">
        <v>1.6714114825846318</v>
      </c>
      <c r="P176" s="410">
        <v>0</v>
      </c>
      <c r="Q176" s="411">
        <v>6.6786244071630136</v>
      </c>
    </row>
    <row r="177" spans="1:20" x14ac:dyDescent="0.3">
      <c r="B177" s="423">
        <v>4</v>
      </c>
      <c r="C177" s="424" t="s">
        <v>480</v>
      </c>
      <c r="D177" s="403">
        <f t="shared" si="150"/>
        <v>100.00000000000001</v>
      </c>
      <c r="E177" s="404">
        <f t="shared" si="151"/>
        <v>27.022605356750542</v>
      </c>
      <c r="F177" s="405">
        <v>1.1205601405559356</v>
      </c>
      <c r="G177" s="405">
        <v>8.0061087134309172</v>
      </c>
      <c r="H177" s="405">
        <v>17.895936502763689</v>
      </c>
      <c r="I177" s="404">
        <f t="shared" si="152"/>
        <v>62.093041264613426</v>
      </c>
      <c r="J177" s="405">
        <v>29.409729323127188</v>
      </c>
      <c r="K177" s="405">
        <v>26.624333415477462</v>
      </c>
      <c r="L177" s="406">
        <v>6.0589785260087767</v>
      </c>
      <c r="M177" s="407">
        <v>2.5343174888884068</v>
      </c>
      <c r="N177" s="404">
        <f t="shared" si="153"/>
        <v>1.6714114825846318</v>
      </c>
      <c r="O177" s="409">
        <v>1.6714114825846318</v>
      </c>
      <c r="P177" s="410">
        <v>0</v>
      </c>
      <c r="Q177" s="411">
        <v>6.6786244071630136</v>
      </c>
    </row>
    <row r="178" spans="1:20" x14ac:dyDescent="0.3">
      <c r="B178" s="423">
        <v>5</v>
      </c>
      <c r="C178" s="424" t="s">
        <v>481</v>
      </c>
      <c r="D178" s="403">
        <f t="shared" si="150"/>
        <v>100.00000000000001</v>
      </c>
      <c r="E178" s="404">
        <f t="shared" si="151"/>
        <v>27.022605356750542</v>
      </c>
      <c r="F178" s="405">
        <v>1.1205601405559356</v>
      </c>
      <c r="G178" s="405">
        <v>8.0061087134309172</v>
      </c>
      <c r="H178" s="405">
        <v>17.895936502763689</v>
      </c>
      <c r="I178" s="404">
        <f t="shared" si="152"/>
        <v>62.093041264613426</v>
      </c>
      <c r="J178" s="405">
        <v>29.409729323127188</v>
      </c>
      <c r="K178" s="405">
        <v>26.624333415477462</v>
      </c>
      <c r="L178" s="406">
        <v>6.0589785260087767</v>
      </c>
      <c r="M178" s="407">
        <v>2.5343174888884068</v>
      </c>
      <c r="N178" s="404">
        <f t="shared" si="153"/>
        <v>1.6714114825846318</v>
      </c>
      <c r="O178" s="409">
        <v>1.6714114825846318</v>
      </c>
      <c r="P178" s="410">
        <v>0</v>
      </c>
      <c r="Q178" s="411">
        <v>6.6786244071630136</v>
      </c>
    </row>
    <row r="179" spans="1:20" x14ac:dyDescent="0.3">
      <c r="B179" s="423">
        <v>6</v>
      </c>
      <c r="C179" s="424" t="s">
        <v>482</v>
      </c>
      <c r="D179" s="403">
        <f t="shared" si="150"/>
        <v>100.00000000000001</v>
      </c>
      <c r="E179" s="404">
        <f t="shared" si="151"/>
        <v>27.022605356750542</v>
      </c>
      <c r="F179" s="405">
        <v>1.1205601405559356</v>
      </c>
      <c r="G179" s="405">
        <v>8.0061087134309172</v>
      </c>
      <c r="H179" s="405">
        <v>17.895936502763689</v>
      </c>
      <c r="I179" s="404">
        <f t="shared" si="152"/>
        <v>62.093041264613426</v>
      </c>
      <c r="J179" s="405">
        <v>29.409729323127188</v>
      </c>
      <c r="K179" s="405">
        <v>26.624333415477462</v>
      </c>
      <c r="L179" s="406">
        <v>6.0589785260087767</v>
      </c>
      <c r="M179" s="407">
        <v>2.5343174888884068</v>
      </c>
      <c r="N179" s="404">
        <f t="shared" si="153"/>
        <v>1.6714114825846318</v>
      </c>
      <c r="O179" s="409">
        <v>1.6714114825846318</v>
      </c>
      <c r="P179" s="410">
        <v>0</v>
      </c>
      <c r="Q179" s="411">
        <v>6.6786244071630136</v>
      </c>
    </row>
    <row r="180" spans="1:20" x14ac:dyDescent="0.3">
      <c r="B180" s="423">
        <v>7</v>
      </c>
      <c r="C180" s="424" t="s">
        <v>483</v>
      </c>
      <c r="D180" s="403">
        <f t="shared" si="150"/>
        <v>100.00000000000001</v>
      </c>
      <c r="E180" s="404">
        <f t="shared" si="151"/>
        <v>27.022605356750542</v>
      </c>
      <c r="F180" s="405">
        <v>1.1205601405559356</v>
      </c>
      <c r="G180" s="405">
        <v>8.0061087134309172</v>
      </c>
      <c r="H180" s="405">
        <v>17.895936502763689</v>
      </c>
      <c r="I180" s="404">
        <f t="shared" si="152"/>
        <v>62.093041264613426</v>
      </c>
      <c r="J180" s="405">
        <v>29.409729323127188</v>
      </c>
      <c r="K180" s="405">
        <v>26.624333415477462</v>
      </c>
      <c r="L180" s="406">
        <v>6.0589785260087767</v>
      </c>
      <c r="M180" s="407">
        <v>2.5343174888884068</v>
      </c>
      <c r="N180" s="404">
        <f t="shared" si="153"/>
        <v>1.6714114825846318</v>
      </c>
      <c r="O180" s="409">
        <v>1.6714114825846318</v>
      </c>
      <c r="P180" s="410">
        <v>0</v>
      </c>
      <c r="Q180" s="411">
        <v>6.6786244071630136</v>
      </c>
    </row>
    <row r="181" spans="1:20" x14ac:dyDescent="0.3">
      <c r="B181" s="423">
        <v>8</v>
      </c>
      <c r="C181" s="424" t="s">
        <v>484</v>
      </c>
      <c r="D181" s="403">
        <f t="shared" si="150"/>
        <v>100.00000000000001</v>
      </c>
      <c r="E181" s="404">
        <f t="shared" si="151"/>
        <v>27.022605356750542</v>
      </c>
      <c r="F181" s="405">
        <v>1.1205601405559356</v>
      </c>
      <c r="G181" s="405">
        <v>8.0061087134309172</v>
      </c>
      <c r="H181" s="405">
        <v>17.895936502763689</v>
      </c>
      <c r="I181" s="404">
        <f t="shared" si="152"/>
        <v>62.093041264613426</v>
      </c>
      <c r="J181" s="405">
        <v>29.409729323127188</v>
      </c>
      <c r="K181" s="405">
        <v>26.624333415477462</v>
      </c>
      <c r="L181" s="406">
        <v>6.0589785260087767</v>
      </c>
      <c r="M181" s="407">
        <v>2.5343174888884068</v>
      </c>
      <c r="N181" s="404">
        <f t="shared" si="153"/>
        <v>1.6714114825846318</v>
      </c>
      <c r="O181" s="409">
        <v>1.6714114825846318</v>
      </c>
      <c r="P181" s="410">
        <v>0</v>
      </c>
      <c r="Q181" s="411">
        <v>6.6786244071630136</v>
      </c>
    </row>
    <row r="182" spans="1:20" x14ac:dyDescent="0.3">
      <c r="B182" s="423">
        <v>9</v>
      </c>
      <c r="C182" s="424" t="s">
        <v>485</v>
      </c>
      <c r="D182" s="403">
        <f t="shared" si="150"/>
        <v>100.00000000000001</v>
      </c>
      <c r="E182" s="404">
        <f t="shared" si="151"/>
        <v>27.022605356750542</v>
      </c>
      <c r="F182" s="405">
        <v>1.1205601405559356</v>
      </c>
      <c r="G182" s="405">
        <v>8.0061087134309172</v>
      </c>
      <c r="H182" s="405">
        <v>17.895936502763689</v>
      </c>
      <c r="I182" s="404">
        <f t="shared" si="152"/>
        <v>62.093041264613426</v>
      </c>
      <c r="J182" s="405">
        <v>29.409729323127188</v>
      </c>
      <c r="K182" s="405">
        <v>26.624333415477462</v>
      </c>
      <c r="L182" s="406">
        <v>6.0589785260087767</v>
      </c>
      <c r="M182" s="407">
        <v>2.5343174888884068</v>
      </c>
      <c r="N182" s="404">
        <f t="shared" si="153"/>
        <v>1.6714114825846318</v>
      </c>
      <c r="O182" s="409">
        <v>1.6714114825846318</v>
      </c>
      <c r="P182" s="410">
        <v>0</v>
      </c>
      <c r="Q182" s="411">
        <v>6.6786244071630136</v>
      </c>
    </row>
    <row r="183" spans="1:20" x14ac:dyDescent="0.3">
      <c r="B183" s="423">
        <v>10</v>
      </c>
      <c r="C183" s="424" t="s">
        <v>486</v>
      </c>
      <c r="D183" s="403">
        <f t="shared" si="150"/>
        <v>100.00000000000001</v>
      </c>
      <c r="E183" s="404">
        <f t="shared" si="151"/>
        <v>27.022605356750542</v>
      </c>
      <c r="F183" s="405">
        <v>1.1205601405559356</v>
      </c>
      <c r="G183" s="405">
        <v>8.0061087134309172</v>
      </c>
      <c r="H183" s="405">
        <v>17.895936502763689</v>
      </c>
      <c r="I183" s="404">
        <f t="shared" si="152"/>
        <v>62.093041264613426</v>
      </c>
      <c r="J183" s="405">
        <v>29.409729323127188</v>
      </c>
      <c r="K183" s="405">
        <v>26.624333415477462</v>
      </c>
      <c r="L183" s="406">
        <v>6.0589785260087767</v>
      </c>
      <c r="M183" s="407">
        <v>2.5343174888884068</v>
      </c>
      <c r="N183" s="404">
        <f t="shared" si="153"/>
        <v>1.6714114825846318</v>
      </c>
      <c r="O183" s="409">
        <v>1.6714114825846318</v>
      </c>
      <c r="P183" s="410">
        <v>0</v>
      </c>
      <c r="Q183" s="411">
        <v>6.6786244071630136</v>
      </c>
    </row>
    <row r="184" spans="1:20" x14ac:dyDescent="0.3">
      <c r="B184" s="423">
        <v>11</v>
      </c>
      <c r="C184" s="424" t="s">
        <v>487</v>
      </c>
      <c r="D184" s="403">
        <f t="shared" si="150"/>
        <v>100.00000000000001</v>
      </c>
      <c r="E184" s="404">
        <f t="shared" si="151"/>
        <v>27.022605356750542</v>
      </c>
      <c r="F184" s="405">
        <v>1.1205601405559356</v>
      </c>
      <c r="G184" s="405">
        <v>8.0061087134309172</v>
      </c>
      <c r="H184" s="405">
        <v>17.895936502763689</v>
      </c>
      <c r="I184" s="404">
        <f t="shared" si="152"/>
        <v>62.093041264613426</v>
      </c>
      <c r="J184" s="405">
        <v>29.409729323127188</v>
      </c>
      <c r="K184" s="405">
        <v>26.624333415477462</v>
      </c>
      <c r="L184" s="406">
        <v>6.0589785260087767</v>
      </c>
      <c r="M184" s="407">
        <v>2.5343174888884068</v>
      </c>
      <c r="N184" s="404">
        <f t="shared" si="153"/>
        <v>1.6714114825846318</v>
      </c>
      <c r="O184" s="409">
        <v>1.6714114825846318</v>
      </c>
      <c r="P184" s="410">
        <v>0</v>
      </c>
      <c r="Q184" s="411">
        <v>6.6786244071630136</v>
      </c>
    </row>
    <row r="185" spans="1:20" x14ac:dyDescent="0.3">
      <c r="B185" s="423">
        <v>12</v>
      </c>
      <c r="C185" s="424" t="s">
        <v>488</v>
      </c>
      <c r="D185" s="403">
        <f t="shared" si="150"/>
        <v>100.00000000000001</v>
      </c>
      <c r="E185" s="404">
        <f t="shared" si="151"/>
        <v>27.022605356750542</v>
      </c>
      <c r="F185" s="405">
        <v>1.1205601405559356</v>
      </c>
      <c r="G185" s="405">
        <v>8.0061087134309172</v>
      </c>
      <c r="H185" s="405">
        <v>17.895936502763689</v>
      </c>
      <c r="I185" s="404">
        <f t="shared" si="152"/>
        <v>62.093041264613426</v>
      </c>
      <c r="J185" s="405">
        <v>29.409729323127188</v>
      </c>
      <c r="K185" s="405">
        <v>26.624333415477462</v>
      </c>
      <c r="L185" s="406">
        <v>6.0589785260087767</v>
      </c>
      <c r="M185" s="407">
        <v>2.5343174888884068</v>
      </c>
      <c r="N185" s="404">
        <f t="shared" si="153"/>
        <v>1.6714114825846318</v>
      </c>
      <c r="O185" s="409">
        <v>1.6714114825846318</v>
      </c>
      <c r="P185" s="410">
        <v>0</v>
      </c>
      <c r="Q185" s="411">
        <v>6.6786244071630136</v>
      </c>
    </row>
    <row r="186" spans="1:20" x14ac:dyDescent="0.3">
      <c r="B186" s="423">
        <v>13</v>
      </c>
      <c r="C186" s="424" t="s">
        <v>489</v>
      </c>
      <c r="D186" s="403">
        <f t="shared" si="150"/>
        <v>100.00000000000001</v>
      </c>
      <c r="E186" s="404">
        <f t="shared" si="151"/>
        <v>27.022605356750542</v>
      </c>
      <c r="F186" s="405">
        <v>1.1205601405559356</v>
      </c>
      <c r="G186" s="405">
        <v>8.0061087134309172</v>
      </c>
      <c r="H186" s="405">
        <v>17.895936502763689</v>
      </c>
      <c r="I186" s="404">
        <f t="shared" si="152"/>
        <v>62.093041264613426</v>
      </c>
      <c r="J186" s="405">
        <v>29.409729323127188</v>
      </c>
      <c r="K186" s="405">
        <v>26.624333415477462</v>
      </c>
      <c r="L186" s="406">
        <v>6.0589785260087767</v>
      </c>
      <c r="M186" s="407">
        <v>2.5343174888884068</v>
      </c>
      <c r="N186" s="404">
        <f t="shared" si="153"/>
        <v>1.6714114825846318</v>
      </c>
      <c r="O186" s="409">
        <v>1.6714114825846318</v>
      </c>
      <c r="P186" s="410">
        <v>0</v>
      </c>
      <c r="Q186" s="411">
        <v>6.6786244071630136</v>
      </c>
    </row>
    <row r="187" spans="1:20" x14ac:dyDescent="0.3">
      <c r="B187" s="427">
        <v>14</v>
      </c>
      <c r="C187" s="428" t="s">
        <v>490</v>
      </c>
      <c r="D187" s="413">
        <f t="shared" si="150"/>
        <v>100.00000000000001</v>
      </c>
      <c r="E187" s="414">
        <f t="shared" si="151"/>
        <v>27.022605356750542</v>
      </c>
      <c r="F187" s="415">
        <v>1.1205601405559356</v>
      </c>
      <c r="G187" s="415">
        <v>8.0061087134309172</v>
      </c>
      <c r="H187" s="415">
        <v>17.895936502763689</v>
      </c>
      <c r="I187" s="414">
        <f t="shared" si="152"/>
        <v>62.093041264613426</v>
      </c>
      <c r="J187" s="415">
        <v>29.409729323127188</v>
      </c>
      <c r="K187" s="415">
        <v>26.624333415477462</v>
      </c>
      <c r="L187" s="416">
        <v>6.0589785260087767</v>
      </c>
      <c r="M187" s="417">
        <v>2.5343174888884068</v>
      </c>
      <c r="N187" s="404">
        <f t="shared" si="153"/>
        <v>1.6714114825846318</v>
      </c>
      <c r="O187" s="418">
        <v>1.6714114825846318</v>
      </c>
      <c r="P187" s="419">
        <v>0</v>
      </c>
      <c r="Q187" s="420">
        <v>6.6786244071630136</v>
      </c>
    </row>
    <row r="188" spans="1:20" x14ac:dyDescent="0.3">
      <c r="B188" s="432" t="s">
        <v>491</v>
      </c>
      <c r="C188" s="433" t="s">
        <v>388</v>
      </c>
      <c r="D188" s="434">
        <f t="shared" si="150"/>
        <v>100.00000000000001</v>
      </c>
      <c r="E188" s="435">
        <f t="shared" si="151"/>
        <v>27.022605356750542</v>
      </c>
      <c r="F188" s="436">
        <v>1.1205601405559356</v>
      </c>
      <c r="G188" s="436">
        <v>8.0061087134309172</v>
      </c>
      <c r="H188" s="436">
        <v>17.895936502763689</v>
      </c>
      <c r="I188" s="435">
        <f t="shared" si="152"/>
        <v>62.093041264613426</v>
      </c>
      <c r="J188" s="436">
        <v>29.409729323127188</v>
      </c>
      <c r="K188" s="436">
        <v>26.624333415477462</v>
      </c>
      <c r="L188" s="437">
        <v>6.0589785260087767</v>
      </c>
      <c r="M188" s="438">
        <v>2.5343174888884068</v>
      </c>
      <c r="N188" s="435">
        <f>SUM(O188:P188)</f>
        <v>1.6714114825846318</v>
      </c>
      <c r="O188" s="457">
        <v>1.6714114825846318</v>
      </c>
      <c r="P188" s="458">
        <v>0</v>
      </c>
      <c r="Q188" s="441">
        <v>6.6786244071630136</v>
      </c>
    </row>
    <row r="189" spans="1:20" x14ac:dyDescent="0.3">
      <c r="B189" s="459" t="s">
        <v>492</v>
      </c>
      <c r="C189" s="460" t="s">
        <v>390</v>
      </c>
      <c r="D189" s="461">
        <f t="shared" si="150"/>
        <v>100.00000000000001</v>
      </c>
      <c r="E189" s="462">
        <f t="shared" si="151"/>
        <v>27.022605356750542</v>
      </c>
      <c r="F189" s="463">
        <v>1.1205601405559356</v>
      </c>
      <c r="G189" s="463">
        <v>8.0061087134309172</v>
      </c>
      <c r="H189" s="463">
        <v>17.895936502763689</v>
      </c>
      <c r="I189" s="462">
        <f t="shared" si="152"/>
        <v>62.093041264613426</v>
      </c>
      <c r="J189" s="463">
        <v>29.409729323127188</v>
      </c>
      <c r="K189" s="463">
        <v>26.624333415477462</v>
      </c>
      <c r="L189" s="464">
        <v>6.0589785260087767</v>
      </c>
      <c r="M189" s="465">
        <v>2.5343174888884068</v>
      </c>
      <c r="N189" s="462">
        <f>SUM(O189:P189)</f>
        <v>1.6714114825846318</v>
      </c>
      <c r="O189" s="466">
        <v>1.6714114825846318</v>
      </c>
      <c r="P189" s="467">
        <v>0</v>
      </c>
      <c r="Q189" s="468">
        <v>6.6786244071630136</v>
      </c>
    </row>
    <row r="190" spans="1:20" ht="45" customHeight="1" x14ac:dyDescent="0.3">
      <c r="B190" s="138" t="s">
        <v>493</v>
      </c>
      <c r="C190" s="139" t="s">
        <v>494</v>
      </c>
      <c r="D190" s="341">
        <f t="shared" ref="D190:Q190" si="154">D191+D193+D196+D198+D205+D204+D211+D215+D218+D234+D235</f>
        <v>371.33855238207337</v>
      </c>
      <c r="E190" s="138">
        <f t="shared" si="154"/>
        <v>103.79036148741298</v>
      </c>
      <c r="F190" s="242">
        <f t="shared" si="154"/>
        <v>11.154905173392146</v>
      </c>
      <c r="G190" s="243">
        <f t="shared" si="154"/>
        <v>34.11467764881278</v>
      </c>
      <c r="H190" s="244">
        <f t="shared" si="154"/>
        <v>58.520778665208056</v>
      </c>
      <c r="I190" s="138">
        <f t="shared" si="154"/>
        <v>198.09345587199169</v>
      </c>
      <c r="J190" s="242">
        <f t="shared" si="154"/>
        <v>74.084192376578315</v>
      </c>
      <c r="K190" s="243">
        <f t="shared" si="154"/>
        <v>97.710739760039786</v>
      </c>
      <c r="L190" s="469">
        <f t="shared" si="154"/>
        <v>26.298523735373568</v>
      </c>
      <c r="M190" s="138">
        <f t="shared" si="154"/>
        <v>10.616121846378599</v>
      </c>
      <c r="N190" s="245">
        <f t="shared" si="154"/>
        <v>38.818921983625309</v>
      </c>
      <c r="O190" s="246">
        <f t="shared" si="154"/>
        <v>38.818921983625309</v>
      </c>
      <c r="P190" s="244">
        <f t="shared" si="154"/>
        <v>0</v>
      </c>
      <c r="Q190" s="245">
        <f t="shared" si="154"/>
        <v>20.019691192664816</v>
      </c>
      <c r="R190" s="342"/>
      <c r="S190" s="343"/>
      <c r="T190" s="216"/>
    </row>
    <row r="191" spans="1:20" x14ac:dyDescent="0.3">
      <c r="B191" s="470" t="s">
        <v>495</v>
      </c>
      <c r="C191" s="471" t="s">
        <v>295</v>
      </c>
      <c r="D191" s="472">
        <f t="shared" ref="D191:Q191" si="155">D192</f>
        <v>0.95011999999999996</v>
      </c>
      <c r="E191" s="470">
        <f t="shared" si="155"/>
        <v>0.2655617027206934</v>
      </c>
      <c r="F191" s="473">
        <f t="shared" si="155"/>
        <v>2.8541336296368333E-2</v>
      </c>
      <c r="G191" s="474">
        <f t="shared" si="155"/>
        <v>8.7287025060462736E-2</v>
      </c>
      <c r="H191" s="475">
        <f t="shared" si="155"/>
        <v>0.14973334136386235</v>
      </c>
      <c r="I191" s="470">
        <f t="shared" si="155"/>
        <v>0.50684894710162831</v>
      </c>
      <c r="J191" s="473">
        <f t="shared" si="155"/>
        <v>0.18955444407617247</v>
      </c>
      <c r="K191" s="474">
        <f t="shared" si="155"/>
        <v>0.25000616678574306</v>
      </c>
      <c r="L191" s="476">
        <f t="shared" si="155"/>
        <v>6.7288336239712726E-2</v>
      </c>
      <c r="M191" s="470">
        <f t="shared" si="155"/>
        <v>2.7162786152898709E-2</v>
      </c>
      <c r="N191" s="477">
        <f t="shared" si="155"/>
        <v>9.932347158270069E-2</v>
      </c>
      <c r="O191" s="478">
        <f t="shared" si="155"/>
        <v>9.932347158270069E-2</v>
      </c>
      <c r="P191" s="475">
        <f t="shared" si="155"/>
        <v>0</v>
      </c>
      <c r="Q191" s="477">
        <f t="shared" si="155"/>
        <v>5.1223092442078864E-2</v>
      </c>
      <c r="R191" s="342"/>
      <c r="S191" s="343"/>
    </row>
    <row r="192" spans="1:20" ht="26.4" x14ac:dyDescent="0.3">
      <c r="A192" s="479"/>
      <c r="B192" s="177" t="s">
        <v>496</v>
      </c>
      <c r="C192" s="175" t="s">
        <v>497</v>
      </c>
      <c r="D192" s="480">
        <v>0.95011999999999996</v>
      </c>
      <c r="E192" s="332">
        <f>SUM(F192:H192)</f>
        <v>0.2655617027206934</v>
      </c>
      <c r="F192" s="481">
        <f>IFERROR($D192*F$242/100, 0)</f>
        <v>2.8541336296368333E-2</v>
      </c>
      <c r="G192" s="482">
        <f>IFERROR($D192*G$242/100, 0)</f>
        <v>8.7287025060462736E-2</v>
      </c>
      <c r="H192" s="483">
        <f>IFERROR($D192*H$242/100, 0)</f>
        <v>0.14973334136386235</v>
      </c>
      <c r="I192" s="332">
        <f t="shared" ref="I192:I240" si="156">SUM(J192:L192)</f>
        <v>0.50684894710162831</v>
      </c>
      <c r="J192" s="481">
        <f t="shared" ref="J192:Q192" si="157">IFERROR($D192*J$242/100, 0)</f>
        <v>0.18955444407617247</v>
      </c>
      <c r="K192" s="482">
        <f t="shared" si="157"/>
        <v>0.25000616678574306</v>
      </c>
      <c r="L192" s="484">
        <f t="shared" si="157"/>
        <v>6.7288336239712726E-2</v>
      </c>
      <c r="M192" s="332">
        <f t="shared" si="157"/>
        <v>2.7162786152898709E-2</v>
      </c>
      <c r="N192" s="332">
        <f t="shared" ref="N192:N203" si="158">SUM(O192:P192)</f>
        <v>9.932347158270069E-2</v>
      </c>
      <c r="O192" s="485">
        <f t="shared" si="157"/>
        <v>9.932347158270069E-2</v>
      </c>
      <c r="P192" s="483">
        <f t="shared" si="157"/>
        <v>0</v>
      </c>
      <c r="Q192" s="486">
        <f t="shared" si="157"/>
        <v>5.1223092442078864E-2</v>
      </c>
      <c r="R192" s="353"/>
      <c r="S192" s="354"/>
    </row>
    <row r="193" spans="2:19" s="3" customFormat="1" x14ac:dyDescent="0.3">
      <c r="B193" s="155" t="s">
        <v>155</v>
      </c>
      <c r="C193" s="215" t="s">
        <v>305</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x14ac:dyDescent="0.3">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x14ac:dyDescent="0.3">
      <c r="B195" s="488" t="s">
        <v>500</v>
      </c>
      <c r="C195" s="489" t="s">
        <v>309</v>
      </c>
      <c r="D195" s="364">
        <v>0</v>
      </c>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x14ac:dyDescent="0.3">
      <c r="B196" s="147" t="s">
        <v>157</v>
      </c>
      <c r="C196" s="148" t="s">
        <v>311</v>
      </c>
      <c r="D196" s="492">
        <f>D197</f>
        <v>4.97933</v>
      </c>
      <c r="E196" s="150">
        <f t="shared" si="162"/>
        <v>1.3917393099905595</v>
      </c>
      <c r="F196" s="151">
        <f>F197</f>
        <v>0.14957766604281114</v>
      </c>
      <c r="G196" s="152">
        <f>G197</f>
        <v>0.45744843019230613</v>
      </c>
      <c r="H196" s="153">
        <f>H197</f>
        <v>0.78471321375544223</v>
      </c>
      <c r="I196" s="150">
        <f t="shared" si="156"/>
        <v>2.6562625434382507</v>
      </c>
      <c r="J196" s="151">
        <f t="shared" ref="J196:Q196" si="166">J197</f>
        <v>0.99340518042121828</v>
      </c>
      <c r="K196" s="152">
        <f t="shared" si="166"/>
        <v>1.3102168215186019</v>
      </c>
      <c r="L196" s="493">
        <f t="shared" si="166"/>
        <v>0.35264054149843049</v>
      </c>
      <c r="M196" s="150">
        <f t="shared" si="166"/>
        <v>0.14235304590442591</v>
      </c>
      <c r="N196" s="150">
        <f t="shared" si="158"/>
        <v>0.52052829301129233</v>
      </c>
      <c r="O196" s="494">
        <f t="shared" si="166"/>
        <v>0.52052829301129233</v>
      </c>
      <c r="P196" s="153">
        <f t="shared" si="166"/>
        <v>0</v>
      </c>
      <c r="Q196" s="154">
        <f t="shared" si="166"/>
        <v>0.26844680765547152</v>
      </c>
      <c r="R196" s="342"/>
      <c r="S196" s="343"/>
    </row>
    <row r="197" spans="2:19" x14ac:dyDescent="0.3">
      <c r="B197" s="174" t="s">
        <v>501</v>
      </c>
      <c r="C197" s="175" t="s">
        <v>313</v>
      </c>
      <c r="D197" s="352">
        <v>4.97933</v>
      </c>
      <c r="E197" s="217">
        <f t="shared" si="162"/>
        <v>1.3917393099905595</v>
      </c>
      <c r="F197" s="220">
        <f>IFERROR($D197*F$242/100, 0)</f>
        <v>0.14957766604281114</v>
      </c>
      <c r="G197" s="221">
        <f>IFERROR($D197*G$242/100, 0)</f>
        <v>0.45744843019230613</v>
      </c>
      <c r="H197" s="222">
        <f>IFERROR($D197*H$242/100, 0)</f>
        <v>0.78471321375544223</v>
      </c>
      <c r="I197" s="217">
        <f t="shared" si="156"/>
        <v>2.6562625434382507</v>
      </c>
      <c r="J197" s="220">
        <f t="shared" ref="J197:Q197" si="167">IFERROR($D197*J$242/100, 0)</f>
        <v>0.99340518042121828</v>
      </c>
      <c r="K197" s="221">
        <f t="shared" si="167"/>
        <v>1.3102168215186019</v>
      </c>
      <c r="L197" s="361">
        <f t="shared" si="167"/>
        <v>0.35264054149843049</v>
      </c>
      <c r="M197" s="217">
        <f t="shared" si="167"/>
        <v>0.14235304590442591</v>
      </c>
      <c r="N197" s="217">
        <f t="shared" si="158"/>
        <v>0.52052829301129233</v>
      </c>
      <c r="O197" s="224">
        <f t="shared" si="167"/>
        <v>0.52052829301129233</v>
      </c>
      <c r="P197" s="222">
        <f t="shared" si="167"/>
        <v>0</v>
      </c>
      <c r="Q197" s="223">
        <f t="shared" si="167"/>
        <v>0.26844680765547152</v>
      </c>
      <c r="R197" s="353"/>
      <c r="S197" s="354"/>
    </row>
    <row r="198" spans="2:19" s="3" customFormat="1" x14ac:dyDescent="0.3">
      <c r="B198" s="155" t="s">
        <v>159</v>
      </c>
      <c r="C198" s="215" t="s">
        <v>315</v>
      </c>
      <c r="D198" s="355">
        <f>SUM(D199:D203)</f>
        <v>2.1564399999999999</v>
      </c>
      <c r="E198" s="158">
        <f t="shared" si="162"/>
        <v>0.60273215826949444</v>
      </c>
      <c r="F198" s="159">
        <f>SUM(F199:F203)</f>
        <v>6.4778848190692268E-2</v>
      </c>
      <c r="G198" s="160">
        <f>SUM(G199:G203)</f>
        <v>0.19811100947394458</v>
      </c>
      <c r="H198" s="161">
        <f>SUM(H199:H203)</f>
        <v>0.33984230060485759</v>
      </c>
      <c r="I198" s="158">
        <f t="shared" si="156"/>
        <v>1.1503697885402213</v>
      </c>
      <c r="J198" s="159">
        <f t="shared" ref="J198:Q198" si="168">SUM(J199:J203)</f>
        <v>0.43022227232730742</v>
      </c>
      <c r="K198" s="160">
        <f t="shared" si="168"/>
        <v>0.56742653380988473</v>
      </c>
      <c r="L198" s="487">
        <f t="shared" si="168"/>
        <v>0.1527209824030292</v>
      </c>
      <c r="M198" s="158">
        <f t="shared" si="168"/>
        <v>6.1650021651535492E-2</v>
      </c>
      <c r="N198" s="158">
        <f t="shared" si="158"/>
        <v>0.22542953212204681</v>
      </c>
      <c r="O198" s="163">
        <f t="shared" ref="O198:P198" si="169">SUM(O199:O203)</f>
        <v>0.22542953212204681</v>
      </c>
      <c r="P198" s="161">
        <f t="shared" si="169"/>
        <v>0</v>
      </c>
      <c r="Q198" s="162">
        <f t="shared" si="168"/>
        <v>0.11625849941670163</v>
      </c>
      <c r="R198" s="342"/>
      <c r="S198" s="343"/>
    </row>
    <row r="199" spans="2:19" x14ac:dyDescent="0.3">
      <c r="B199" s="174" t="s">
        <v>502</v>
      </c>
      <c r="C199" s="175" t="s">
        <v>269</v>
      </c>
      <c r="D199" s="352">
        <v>7.4400000000000004E-3</v>
      </c>
      <c r="E199" s="217">
        <f t="shared" si="162"/>
        <v>2.079504765968466E-3</v>
      </c>
      <c r="F199" s="220">
        <f t="shared" ref="F199:H203" si="170">IFERROR($D199*F$242/100, 0)</f>
        <v>2.234954974581952E-4</v>
      </c>
      <c r="G199" s="221">
        <f t="shared" si="170"/>
        <v>6.8350888987690262E-4</v>
      </c>
      <c r="H199" s="222">
        <f t="shared" si="170"/>
        <v>1.1725003786333683E-3</v>
      </c>
      <c r="I199" s="217">
        <f t="shared" si="156"/>
        <v>3.9689262055699432E-3</v>
      </c>
      <c r="J199" s="220">
        <f t="shared" ref="J199:M203" si="171">IFERROR($D199*J$242/100, 0)</f>
        <v>1.4843231001628462E-3</v>
      </c>
      <c r="K199" s="221">
        <f t="shared" si="171"/>
        <v>1.9576957446279714E-3</v>
      </c>
      <c r="L199" s="361">
        <f t="shared" si="171"/>
        <v>5.269073607791255E-4</v>
      </c>
      <c r="M199" s="217">
        <f t="shared" si="171"/>
        <v>2.127006367380609E-4</v>
      </c>
      <c r="N199" s="217">
        <f t="shared" si="158"/>
        <v>7.7776136548572098E-4</v>
      </c>
      <c r="O199" s="224">
        <f t="shared" ref="O199:Q203" si="172">IFERROR($D199*O$242/100, 0)</f>
        <v>7.7776136548572098E-4</v>
      </c>
      <c r="P199" s="222">
        <f t="shared" si="172"/>
        <v>0</v>
      </c>
      <c r="Q199" s="223">
        <f t="shared" si="172"/>
        <v>4.0110702623780863E-4</v>
      </c>
      <c r="R199" s="353"/>
      <c r="S199" s="354"/>
    </row>
    <row r="200" spans="2:19" x14ac:dyDescent="0.3">
      <c r="B200" s="174" t="s">
        <v>503</v>
      </c>
      <c r="C200" s="175" t="s">
        <v>273</v>
      </c>
      <c r="D200" s="352">
        <v>1.72</v>
      </c>
      <c r="E200" s="217">
        <f t="shared" si="162"/>
        <v>0.48074572546582817</v>
      </c>
      <c r="F200" s="220">
        <f t="shared" si="170"/>
        <v>5.1668313928507487E-2</v>
      </c>
      <c r="G200" s="221">
        <f t="shared" si="170"/>
        <v>0.15801549604681081</v>
      </c>
      <c r="H200" s="222">
        <f t="shared" si="170"/>
        <v>0.27106191549050984</v>
      </c>
      <c r="I200" s="217">
        <f t="shared" si="156"/>
        <v>0.91754745612638455</v>
      </c>
      <c r="J200" s="220">
        <f t="shared" si="171"/>
        <v>0.34314996401614178</v>
      </c>
      <c r="K200" s="221">
        <f t="shared" si="171"/>
        <v>0.45258557537098265</v>
      </c>
      <c r="L200" s="361">
        <f t="shared" si="171"/>
        <v>0.12181191673926019</v>
      </c>
      <c r="M200" s="217">
        <f t="shared" si="171"/>
        <v>4.9172727848046334E-2</v>
      </c>
      <c r="N200" s="217">
        <f t="shared" si="158"/>
        <v>0.17980504685960216</v>
      </c>
      <c r="O200" s="224">
        <f t="shared" si="172"/>
        <v>0.17980504685960216</v>
      </c>
      <c r="P200" s="222">
        <f t="shared" si="172"/>
        <v>0</v>
      </c>
      <c r="Q200" s="223">
        <f t="shared" si="172"/>
        <v>9.2729043700138569E-2</v>
      </c>
      <c r="R200" s="353"/>
      <c r="S200" s="354"/>
    </row>
    <row r="201" spans="2:19" x14ac:dyDescent="0.3">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x14ac:dyDescent="0.3">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7" x14ac:dyDescent="0.3">
      <c r="B203" s="174" t="s">
        <v>506</v>
      </c>
      <c r="C203" s="265" t="s">
        <v>322</v>
      </c>
      <c r="D203" s="352">
        <v>0.42899999999999999</v>
      </c>
      <c r="E203" s="217">
        <f t="shared" si="162"/>
        <v>0.11990692803769784</v>
      </c>
      <c r="F203" s="220">
        <f t="shared" si="170"/>
        <v>1.2887038764726577E-2</v>
      </c>
      <c r="G203" s="221">
        <f t="shared" si="170"/>
        <v>3.9412004537256885E-2</v>
      </c>
      <c r="H203" s="222">
        <f t="shared" si="170"/>
        <v>6.7607884735714385E-2</v>
      </c>
      <c r="I203" s="217">
        <f t="shared" si="156"/>
        <v>0.22885340620826689</v>
      </c>
      <c r="J203" s="220">
        <f t="shared" si="171"/>
        <v>8.5587985211002818E-2</v>
      </c>
      <c r="K203" s="221">
        <f t="shared" si="171"/>
        <v>0.11288326269427415</v>
      </c>
      <c r="L203" s="361">
        <f t="shared" si="171"/>
        <v>3.0382158302989896E-2</v>
      </c>
      <c r="M203" s="217">
        <f t="shared" si="171"/>
        <v>1.2264593166751093E-2</v>
      </c>
      <c r="N203" s="217">
        <f t="shared" si="158"/>
        <v>4.4846723896958915E-2</v>
      </c>
      <c r="O203" s="224">
        <f t="shared" si="172"/>
        <v>4.4846723896958915E-2</v>
      </c>
      <c r="P203" s="222">
        <f t="shared" si="172"/>
        <v>0</v>
      </c>
      <c r="Q203" s="223">
        <f t="shared" si="172"/>
        <v>2.3128348690325255E-2</v>
      </c>
      <c r="R203" s="353"/>
      <c r="S203" s="354"/>
    </row>
    <row r="204" spans="2:19" s="3" customFormat="1" x14ac:dyDescent="0.3">
      <c r="B204" s="155" t="s">
        <v>161</v>
      </c>
      <c r="C204" s="254" t="s">
        <v>324</v>
      </c>
      <c r="D204" s="495">
        <v>3.6533597490733829</v>
      </c>
      <c r="E204" s="158">
        <f t="shared" si="162"/>
        <v>1.0211262110208952</v>
      </c>
      <c r="F204" s="159">
        <f>IFERROR($D204*F$243/100, 0)</f>
        <v>0.10974589442377727</v>
      </c>
      <c r="G204" s="160">
        <f>IFERROR($D204*G$243/100, 0)</f>
        <v>0.33563224010888548</v>
      </c>
      <c r="H204" s="161">
        <f>IFERROR($D204*H$243/100, 0)</f>
        <v>0.57574807648823234</v>
      </c>
      <c r="I204" s="158">
        <f t="shared" si="156"/>
        <v>1.9489133395795408</v>
      </c>
      <c r="J204" s="159">
        <f t="shared" ref="J204:Q204" si="173">IFERROR($D204*J$243/100, 0)</f>
        <v>0.72886643397241424</v>
      </c>
      <c r="K204" s="160">
        <f t="shared" si="173"/>
        <v>0.96131274655323617</v>
      </c>
      <c r="L204" s="487">
        <f t="shared" si="173"/>
        <v>0.25873415905389036</v>
      </c>
      <c r="M204" s="158">
        <f t="shared" si="173"/>
        <v>0.10444515387918159</v>
      </c>
      <c r="N204" s="158">
        <f>SUM(O204:P204)</f>
        <v>0.3819142563239093</v>
      </c>
      <c r="O204" s="163">
        <f t="shared" si="173"/>
        <v>0.3819142563239093</v>
      </c>
      <c r="P204" s="161">
        <f t="shared" si="173"/>
        <v>0</v>
      </c>
      <c r="Q204" s="162">
        <f t="shared" si="173"/>
        <v>0.19696078826985641</v>
      </c>
      <c r="R204" s="342"/>
      <c r="S204" s="343"/>
    </row>
    <row r="205" spans="2:19" s="3" customFormat="1" x14ac:dyDescent="0.3">
      <c r="B205" s="155" t="s">
        <v>163</v>
      </c>
      <c r="C205" s="215" t="s">
        <v>326</v>
      </c>
      <c r="D205" s="355">
        <f>SUM(D206:D210)</f>
        <v>305.58161263300002</v>
      </c>
      <c r="E205" s="158">
        <f t="shared" si="162"/>
        <v>85.411077938528649</v>
      </c>
      <c r="F205" s="159">
        <f>SUM(F206:F210)</f>
        <v>9.1795852862217533</v>
      </c>
      <c r="G205" s="160">
        <f>SUM(G206:G210)</f>
        <v>28.073622152899937</v>
      </c>
      <c r="H205" s="161">
        <f>SUM(H206:H210)</f>
        <v>48.157870499406961</v>
      </c>
      <c r="I205" s="158">
        <f t="shared" si="156"/>
        <v>163.01490192465548</v>
      </c>
      <c r="J205" s="159">
        <f t="shared" ref="J205:Q205" si="174">SUM(J206:J210)</f>
        <v>60.965301964539854</v>
      </c>
      <c r="K205" s="160">
        <f t="shared" si="174"/>
        <v>80.408040683894782</v>
      </c>
      <c r="L205" s="487">
        <f t="shared" si="174"/>
        <v>21.64155927622085</v>
      </c>
      <c r="M205" s="158">
        <f t="shared" si="174"/>
        <v>8.7362101589358296</v>
      </c>
      <c r="N205" s="158">
        <f>SUM(O205:P205)</f>
        <v>31.944834987737998</v>
      </c>
      <c r="O205" s="163">
        <f t="shared" ref="O205:P205" si="175">SUM(O206:O210)</f>
        <v>31.944834987737998</v>
      </c>
      <c r="P205" s="161">
        <f t="shared" si="175"/>
        <v>0</v>
      </c>
      <c r="Q205" s="162">
        <f t="shared" si="174"/>
        <v>16.474587623142018</v>
      </c>
      <c r="R205" s="342"/>
      <c r="S205" s="343"/>
    </row>
    <row r="206" spans="2:19" x14ac:dyDescent="0.3">
      <c r="B206" s="273" t="s">
        <v>507</v>
      </c>
      <c r="C206" s="274" t="s">
        <v>328</v>
      </c>
      <c r="D206" s="352">
        <v>296.01488000000001</v>
      </c>
      <c r="E206" s="217">
        <f t="shared" si="162"/>
        <v>82.737144322255858</v>
      </c>
      <c r="F206" s="220">
        <f t="shared" ref="F206:H210" si="176">IFERROR($D206*F$242/100, 0)</f>
        <v>8.8922033414822526</v>
      </c>
      <c r="G206" s="221">
        <f t="shared" si="176"/>
        <v>27.194731453742548</v>
      </c>
      <c r="H206" s="222">
        <f t="shared" si="176"/>
        <v>46.650209527031059</v>
      </c>
      <c r="I206" s="217">
        <f t="shared" si="156"/>
        <v>157.91145355788197</v>
      </c>
      <c r="J206" s="220">
        <f t="shared" ref="J206:M210" si="177">IFERROR($D206*J$242/100, 0)</f>
        <v>59.056683383861944</v>
      </c>
      <c r="K206" s="221">
        <f t="shared" si="177"/>
        <v>77.890735339053705</v>
      </c>
      <c r="L206" s="361">
        <f t="shared" si="177"/>
        <v>20.964034834966338</v>
      </c>
      <c r="M206" s="217">
        <f t="shared" si="177"/>
        <v>8.4627087983791256</v>
      </c>
      <c r="N206" s="217">
        <f>SUM(O206:P206)</f>
        <v>30.944749633453203</v>
      </c>
      <c r="O206" s="224">
        <f t="shared" ref="O206:Q210" si="178">IFERROR($D206*O$242/100, 0)</f>
        <v>30.944749633453203</v>
      </c>
      <c r="P206" s="222">
        <f t="shared" si="178"/>
        <v>0</v>
      </c>
      <c r="Q206" s="223">
        <f t="shared" si="178"/>
        <v>15.958823688029808</v>
      </c>
      <c r="R206" s="353"/>
      <c r="S206" s="354"/>
    </row>
    <row r="207" spans="2:19" x14ac:dyDescent="0.3">
      <c r="B207" s="273" t="s">
        <v>508</v>
      </c>
      <c r="C207" s="274" t="s">
        <v>330</v>
      </c>
      <c r="D207" s="352">
        <v>5.4614826329999993</v>
      </c>
      <c r="E207" s="217">
        <f t="shared" si="162"/>
        <v>1.5265025758840733</v>
      </c>
      <c r="F207" s="220">
        <f t="shared" si="176"/>
        <v>0.16406139488193933</v>
      </c>
      <c r="G207" s="221">
        <f t="shared" si="176"/>
        <v>0.50174353918868453</v>
      </c>
      <c r="H207" s="222">
        <f t="shared" si="176"/>
        <v>0.86069764181344954</v>
      </c>
      <c r="I207" s="217">
        <f t="shared" si="156"/>
        <v>2.9134706375509176</v>
      </c>
      <c r="J207" s="220">
        <f t="shared" si="177"/>
        <v>1.0895974238306589</v>
      </c>
      <c r="K207" s="221">
        <f t="shared" si="177"/>
        <v>1.4370861975784499</v>
      </c>
      <c r="L207" s="361">
        <f t="shared" si="177"/>
        <v>0.38678701614180894</v>
      </c>
      <c r="M207" s="217">
        <f t="shared" si="177"/>
        <v>0.15613720881357004</v>
      </c>
      <c r="N207" s="217">
        <f t="shared" ref="N207:N210" si="179">SUM(O207:P207)</f>
        <v>0.57093147717992343</v>
      </c>
      <c r="O207" s="224">
        <f t="shared" si="178"/>
        <v>0.57093147717992343</v>
      </c>
      <c r="P207" s="222">
        <f t="shared" si="178"/>
        <v>0</v>
      </c>
      <c r="Q207" s="223">
        <f t="shared" si="178"/>
        <v>0.2944407335715144</v>
      </c>
      <c r="R207" s="353"/>
      <c r="S207" s="354"/>
    </row>
    <row r="208" spans="2:19" x14ac:dyDescent="0.3">
      <c r="B208" s="273" t="s">
        <v>509</v>
      </c>
      <c r="C208" s="274" t="s">
        <v>332</v>
      </c>
      <c r="D208" s="352">
        <v>0</v>
      </c>
      <c r="E208" s="217">
        <f t="shared" si="162"/>
        <v>0</v>
      </c>
      <c r="F208" s="220">
        <f t="shared" si="176"/>
        <v>0</v>
      </c>
      <c r="G208" s="221">
        <f t="shared" si="176"/>
        <v>0</v>
      </c>
      <c r="H208" s="222">
        <f t="shared" si="176"/>
        <v>0</v>
      </c>
      <c r="I208" s="217">
        <f t="shared" si="156"/>
        <v>0</v>
      </c>
      <c r="J208" s="220">
        <f t="shared" si="177"/>
        <v>0</v>
      </c>
      <c r="K208" s="221">
        <f t="shared" si="177"/>
        <v>0</v>
      </c>
      <c r="L208" s="361">
        <f t="shared" si="177"/>
        <v>0</v>
      </c>
      <c r="M208" s="217">
        <f t="shared" si="177"/>
        <v>0</v>
      </c>
      <c r="N208" s="217">
        <f t="shared" si="179"/>
        <v>0</v>
      </c>
      <c r="O208" s="224">
        <f t="shared" si="178"/>
        <v>0</v>
      </c>
      <c r="P208" s="222">
        <f t="shared" si="178"/>
        <v>0</v>
      </c>
      <c r="Q208" s="223">
        <f t="shared" si="178"/>
        <v>0</v>
      </c>
      <c r="R208" s="353"/>
      <c r="S208" s="354"/>
    </row>
    <row r="209" spans="2:19" x14ac:dyDescent="0.3">
      <c r="B209" s="273" t="s">
        <v>510</v>
      </c>
      <c r="C209" s="274" t="s">
        <v>334</v>
      </c>
      <c r="D209" s="352">
        <v>1.3420000000000001</v>
      </c>
      <c r="E209" s="217">
        <f t="shared" si="162"/>
        <v>0.37509346719484971</v>
      </c>
      <c r="F209" s="220">
        <f t="shared" si="176"/>
        <v>4.0313300751195963E-2</v>
      </c>
      <c r="G209" s="221">
        <f t="shared" si="176"/>
        <v>0.12328883470629078</v>
      </c>
      <c r="H209" s="222">
        <f t="shared" si="176"/>
        <v>0.21149133173736295</v>
      </c>
      <c r="I209" s="217">
        <f t="shared" si="156"/>
        <v>0.71590039890791179</v>
      </c>
      <c r="J209" s="220">
        <f t="shared" si="177"/>
        <v>0.26773677424980369</v>
      </c>
      <c r="K209" s="221">
        <f t="shared" si="177"/>
        <v>0.35312200124875509</v>
      </c>
      <c r="L209" s="361">
        <f t="shared" si="177"/>
        <v>9.5041623409353002E-2</v>
      </c>
      <c r="M209" s="217">
        <f t="shared" si="177"/>
        <v>3.8366163239580336E-2</v>
      </c>
      <c r="N209" s="217">
        <f t="shared" si="179"/>
        <v>0.14028975167766633</v>
      </c>
      <c r="O209" s="224">
        <f t="shared" si="178"/>
        <v>0.14028975167766633</v>
      </c>
      <c r="P209" s="222">
        <f t="shared" si="178"/>
        <v>0</v>
      </c>
      <c r="Q209" s="223">
        <f t="shared" si="178"/>
        <v>7.2350218979991832E-2</v>
      </c>
      <c r="R209" s="353"/>
      <c r="S209" s="354"/>
    </row>
    <row r="210" spans="2:19" x14ac:dyDescent="0.3">
      <c r="B210" s="273" t="s">
        <v>511</v>
      </c>
      <c r="C210" s="274" t="s">
        <v>336</v>
      </c>
      <c r="D210" s="352">
        <v>2.7632500000000002</v>
      </c>
      <c r="E210" s="217">
        <f t="shared" si="162"/>
        <v>0.7723375731938662</v>
      </c>
      <c r="F210" s="220">
        <f t="shared" si="176"/>
        <v>8.3007249106365311E-2</v>
      </c>
      <c r="G210" s="221">
        <f t="shared" si="176"/>
        <v>0.25385832526241281</v>
      </c>
      <c r="H210" s="222">
        <f t="shared" si="176"/>
        <v>0.43547199882508808</v>
      </c>
      <c r="I210" s="217">
        <f t="shared" si="156"/>
        <v>1.4740773303146701</v>
      </c>
      <c r="J210" s="220">
        <f t="shared" si="177"/>
        <v>0.55128438259744417</v>
      </c>
      <c r="K210" s="221">
        <f t="shared" si="177"/>
        <v>0.72709714601387665</v>
      </c>
      <c r="L210" s="361">
        <f t="shared" si="177"/>
        <v>0.19569580170334927</v>
      </c>
      <c r="M210" s="217">
        <f t="shared" si="177"/>
        <v>7.8997988503554675E-2</v>
      </c>
      <c r="N210" s="217">
        <f t="shared" si="179"/>
        <v>0.2888641254272068</v>
      </c>
      <c r="O210" s="224">
        <f t="shared" si="178"/>
        <v>0.2888641254272068</v>
      </c>
      <c r="P210" s="222">
        <f t="shared" si="178"/>
        <v>0</v>
      </c>
      <c r="Q210" s="223">
        <f t="shared" si="178"/>
        <v>0.14897298256070227</v>
      </c>
      <c r="R210" s="353"/>
      <c r="S210" s="354"/>
    </row>
    <row r="211" spans="2:19" s="3" customFormat="1" x14ac:dyDescent="0.3">
      <c r="B211" s="155" t="s">
        <v>165</v>
      </c>
      <c r="C211" s="215" t="s">
        <v>338</v>
      </c>
      <c r="D211" s="355">
        <f>SUM(D212:D214)</f>
        <v>0</v>
      </c>
      <c r="E211" s="158">
        <f t="shared" si="162"/>
        <v>0</v>
      </c>
      <c r="F211" s="159">
        <f>SUM(F212:F214)</f>
        <v>0</v>
      </c>
      <c r="G211" s="160">
        <f>SUM(G212:G214)</f>
        <v>0</v>
      </c>
      <c r="H211" s="161">
        <f>SUM(H212:H214)</f>
        <v>0</v>
      </c>
      <c r="I211" s="158">
        <f t="shared" si="156"/>
        <v>0</v>
      </c>
      <c r="J211" s="159">
        <f t="shared" ref="J211:Q211" si="180">SUM(J212:J214)</f>
        <v>0</v>
      </c>
      <c r="K211" s="160">
        <f t="shared" si="180"/>
        <v>0</v>
      </c>
      <c r="L211" s="487">
        <f t="shared" si="180"/>
        <v>0</v>
      </c>
      <c r="M211" s="158">
        <f t="shared" si="180"/>
        <v>0</v>
      </c>
      <c r="N211" s="158">
        <f>SUM(O211:P211)</f>
        <v>0</v>
      </c>
      <c r="O211" s="163">
        <f t="shared" ref="O211:P211" si="181">SUM(O212:O214)</f>
        <v>0</v>
      </c>
      <c r="P211" s="161">
        <f t="shared" si="181"/>
        <v>0</v>
      </c>
      <c r="Q211" s="162">
        <f t="shared" si="180"/>
        <v>0</v>
      </c>
      <c r="R211" s="342"/>
      <c r="S211" s="343"/>
    </row>
    <row r="212" spans="2:19" x14ac:dyDescent="0.3">
      <c r="B212" s="273" t="s">
        <v>512</v>
      </c>
      <c r="C212" s="274" t="s">
        <v>344</v>
      </c>
      <c r="D212" s="352">
        <v>0</v>
      </c>
      <c r="E212" s="217">
        <f t="shared" si="162"/>
        <v>0</v>
      </c>
      <c r="F212" s="220">
        <f t="shared" ref="F212:H214" si="182">IFERROR($D212*F$242/100, 0)</f>
        <v>0</v>
      </c>
      <c r="G212" s="221">
        <f t="shared" si="182"/>
        <v>0</v>
      </c>
      <c r="H212" s="222">
        <f t="shared" si="182"/>
        <v>0</v>
      </c>
      <c r="I212" s="217">
        <f t="shared" si="156"/>
        <v>0</v>
      </c>
      <c r="J212" s="220">
        <f t="shared" ref="J212:Q214" si="183">IFERROR($D212*J$242/100, 0)</f>
        <v>0</v>
      </c>
      <c r="K212" s="221">
        <f t="shared" si="183"/>
        <v>0</v>
      </c>
      <c r="L212" s="361">
        <f t="shared" si="183"/>
        <v>0</v>
      </c>
      <c r="M212" s="217">
        <f t="shared" si="183"/>
        <v>0</v>
      </c>
      <c r="N212" s="217">
        <f>SUM(O212:P212)</f>
        <v>0</v>
      </c>
      <c r="O212" s="224">
        <f t="shared" si="183"/>
        <v>0</v>
      </c>
      <c r="P212" s="222">
        <f t="shared" si="183"/>
        <v>0</v>
      </c>
      <c r="Q212" s="223">
        <f t="shared" si="183"/>
        <v>0</v>
      </c>
      <c r="R212" s="353"/>
      <c r="S212" s="354"/>
    </row>
    <row r="213" spans="2:19" x14ac:dyDescent="0.3">
      <c r="B213" s="276" t="s">
        <v>513</v>
      </c>
      <c r="C213" s="274" t="s">
        <v>346</v>
      </c>
      <c r="D213" s="360">
        <v>0</v>
      </c>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x14ac:dyDescent="0.3">
      <c r="B214" s="276" t="s">
        <v>514</v>
      </c>
      <c r="C214" s="264" t="s">
        <v>350</v>
      </c>
      <c r="D214" s="352">
        <v>0</v>
      </c>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x14ac:dyDescent="0.3">
      <c r="B215" s="155" t="s">
        <v>167</v>
      </c>
      <c r="C215" s="215" t="s">
        <v>352</v>
      </c>
      <c r="D215" s="355">
        <f>SUM(D216:D217)</f>
        <v>0.59480999999999995</v>
      </c>
      <c r="E215" s="158">
        <f t="shared" si="162"/>
        <v>0.16625137497926118</v>
      </c>
      <c r="F215" s="159">
        <f>SUM(F216:F217)</f>
        <v>1.7867924306869499E-2</v>
      </c>
      <c r="G215" s="160">
        <f>SUM(G216:G217)</f>
        <v>5.4644882095118336E-2</v>
      </c>
      <c r="H215" s="161">
        <f>SUM(H216:H217)</f>
        <v>9.3738568577273348E-2</v>
      </c>
      <c r="I215" s="158">
        <f t="shared" si="156"/>
        <v>0.31730604789449701</v>
      </c>
      <c r="J215" s="159">
        <f t="shared" ref="J215:Q215" si="185">SUM(J216:J217)</f>
        <v>0.11866804075374494</v>
      </c>
      <c r="K215" s="160">
        <f t="shared" si="185"/>
        <v>0.15651303842233383</v>
      </c>
      <c r="L215" s="487">
        <f t="shared" si="185"/>
        <v>4.2124968718418226E-2</v>
      </c>
      <c r="M215" s="158">
        <f t="shared" si="185"/>
        <v>1.7004901308893275E-2</v>
      </c>
      <c r="N215" s="158">
        <f>SUM(O215:P215)</f>
        <v>6.2180139489860432E-2</v>
      </c>
      <c r="O215" s="163">
        <f t="shared" ref="O215:P215" si="186">SUM(O216:O217)</f>
        <v>6.2180139489860432E-2</v>
      </c>
      <c r="P215" s="161">
        <f t="shared" si="186"/>
        <v>0</v>
      </c>
      <c r="Q215" s="162">
        <f t="shared" si="185"/>
        <v>3.206753632748803E-2</v>
      </c>
      <c r="R215" s="342"/>
      <c r="S215" s="343"/>
    </row>
    <row r="216" spans="2:19" x14ac:dyDescent="0.3">
      <c r="B216" s="273" t="s">
        <v>515</v>
      </c>
      <c r="C216" s="274" t="s">
        <v>354</v>
      </c>
      <c r="D216" s="352">
        <v>0.59480999999999995</v>
      </c>
      <c r="E216" s="217">
        <f t="shared" si="162"/>
        <v>0.16625137497926118</v>
      </c>
      <c r="F216" s="220">
        <f t="shared" ref="F216:H217" si="187">IFERROR($D216*F$242/100, 0)</f>
        <v>1.7867924306869499E-2</v>
      </c>
      <c r="G216" s="221">
        <f t="shared" si="187"/>
        <v>5.4644882095118336E-2</v>
      </c>
      <c r="H216" s="222">
        <f t="shared" si="187"/>
        <v>9.3738568577273348E-2</v>
      </c>
      <c r="I216" s="217">
        <f t="shared" si="156"/>
        <v>0.31730604789449701</v>
      </c>
      <c r="J216" s="220">
        <f t="shared" ref="J216:Q217" si="188">IFERROR($D216*J$242/100, 0)</f>
        <v>0.11866804075374494</v>
      </c>
      <c r="K216" s="221">
        <f t="shared" si="188"/>
        <v>0.15651303842233383</v>
      </c>
      <c r="L216" s="361">
        <f t="shared" si="188"/>
        <v>4.2124968718418226E-2</v>
      </c>
      <c r="M216" s="217">
        <f t="shared" si="188"/>
        <v>1.7004901308893275E-2</v>
      </c>
      <c r="N216" s="217">
        <f>SUM(O216:P216)</f>
        <v>6.2180139489860432E-2</v>
      </c>
      <c r="O216" s="224">
        <f t="shared" si="188"/>
        <v>6.2180139489860432E-2</v>
      </c>
      <c r="P216" s="222">
        <f t="shared" si="188"/>
        <v>0</v>
      </c>
      <c r="Q216" s="223">
        <f t="shared" si="188"/>
        <v>3.206753632748803E-2</v>
      </c>
      <c r="R216" s="353"/>
      <c r="S216" s="354"/>
    </row>
    <row r="217" spans="2:19" x14ac:dyDescent="0.3">
      <c r="B217" s="276" t="s">
        <v>516</v>
      </c>
      <c r="C217" s="264" t="s">
        <v>517</v>
      </c>
      <c r="D217" s="352">
        <v>0</v>
      </c>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x14ac:dyDescent="0.3">
      <c r="B218" s="155" t="s">
        <v>169</v>
      </c>
      <c r="C218" s="215" t="s">
        <v>358</v>
      </c>
      <c r="D218" s="355">
        <f>SUM(D219:D233)</f>
        <v>39.158059999999999</v>
      </c>
      <c r="E218" s="158">
        <f t="shared" si="162"/>
        <v>10.944808117752576</v>
      </c>
      <c r="F218" s="159">
        <f>SUM(F219:F233)</f>
        <v>1.1762970563437978</v>
      </c>
      <c r="G218" s="160">
        <f>SUM(G219:G233)</f>
        <v>3.5974303925178965</v>
      </c>
      <c r="H218" s="161">
        <f>SUM(H219:H233)</f>
        <v>6.1710806688908812</v>
      </c>
      <c r="I218" s="158">
        <f t="shared" si="156"/>
        <v>20.889173453397873</v>
      </c>
      <c r="J218" s="159">
        <f t="shared" ref="J218:Q218" si="189">SUM(J219:J233)</f>
        <v>7.8122598139197228</v>
      </c>
      <c r="K218" s="160">
        <f t="shared" si="189"/>
        <v>10.303705299715965</v>
      </c>
      <c r="L218" s="487">
        <f t="shared" si="189"/>
        <v>2.7732083397621832</v>
      </c>
      <c r="M218" s="158">
        <f t="shared" si="189"/>
        <v>1.1194817601380636</v>
      </c>
      <c r="N218" s="158">
        <f>SUM(O218:P218)</f>
        <v>4.0934981472273915</v>
      </c>
      <c r="O218" s="163">
        <f t="shared" ref="O218:P218" si="190">SUM(O219:O233)</f>
        <v>4.0934981472273915</v>
      </c>
      <c r="P218" s="161">
        <f t="shared" si="190"/>
        <v>0</v>
      </c>
      <c r="Q218" s="162">
        <f t="shared" si="189"/>
        <v>2.1110985214840978</v>
      </c>
      <c r="R218" s="342"/>
      <c r="S218" s="343"/>
    </row>
    <row r="219" spans="2:19" x14ac:dyDescent="0.3">
      <c r="B219" s="273" t="s">
        <v>518</v>
      </c>
      <c r="C219" s="274" t="s">
        <v>360</v>
      </c>
      <c r="D219" s="352">
        <v>4.8039999999999999E-2</v>
      </c>
      <c r="E219" s="217">
        <f t="shared" si="162"/>
        <v>1.3427339913592084E-2</v>
      </c>
      <c r="F219" s="220">
        <f t="shared" ref="F219:H234" si="191">IFERROR($D219*F$242/100, 0)</f>
        <v>1.4431080239101742E-3</v>
      </c>
      <c r="G219" s="221">
        <f t="shared" si="191"/>
        <v>4.413409552377204E-3</v>
      </c>
      <c r="H219" s="222">
        <f t="shared" si="191"/>
        <v>7.5708223373047055E-3</v>
      </c>
      <c r="I219" s="217">
        <f t="shared" si="156"/>
        <v>2.5627313832739255E-2</v>
      </c>
      <c r="J219" s="220">
        <f t="shared" ref="J219:Q234" si="192">IFERROR($D219*J$242/100, 0)</f>
        <v>9.5842582972880536E-3</v>
      </c>
      <c r="K219" s="221">
        <f t="shared" si="192"/>
        <v>1.2640820372570933E-2</v>
      </c>
      <c r="L219" s="361">
        <f t="shared" si="192"/>
        <v>3.402235162880267E-3</v>
      </c>
      <c r="M219" s="217">
        <f t="shared" si="192"/>
        <v>1.3734057243140383E-3</v>
      </c>
      <c r="N219" s="217">
        <f>SUM(O219:P219)</f>
        <v>5.0219967739158645E-3</v>
      </c>
      <c r="O219" s="224">
        <f t="shared" si="192"/>
        <v>5.0219967739158645E-3</v>
      </c>
      <c r="P219" s="222">
        <f t="shared" si="192"/>
        <v>0</v>
      </c>
      <c r="Q219" s="223">
        <f t="shared" si="192"/>
        <v>2.589943755438754E-3</v>
      </c>
      <c r="R219" s="353"/>
      <c r="S219" s="354"/>
    </row>
    <row r="220" spans="2:19" x14ac:dyDescent="0.3">
      <c r="B220" s="273" t="s">
        <v>519</v>
      </c>
      <c r="C220" s="274" t="s">
        <v>362</v>
      </c>
      <c r="D220" s="352">
        <v>-3.8550000000000015E-2</v>
      </c>
      <c r="E220" s="217">
        <f t="shared" si="162"/>
        <v>-1.0774853323667259E-2</v>
      </c>
      <c r="F220" s="220">
        <f t="shared" si="191"/>
        <v>-1.1580311057813747E-3</v>
      </c>
      <c r="G220" s="221">
        <f t="shared" si="191"/>
        <v>-3.5415682398863718E-3</v>
      </c>
      <c r="H220" s="222">
        <f t="shared" si="191"/>
        <v>-6.0752539779995122E-3</v>
      </c>
      <c r="I220" s="217">
        <f t="shared" si="156"/>
        <v>-2.0564799089344266E-2</v>
      </c>
      <c r="J220" s="220">
        <f t="shared" si="192"/>
        <v>-7.6909483214082988E-3</v>
      </c>
      <c r="K220" s="221">
        <f t="shared" si="192"/>
        <v>-1.0143705773576388E-2</v>
      </c>
      <c r="L220" s="361">
        <f t="shared" si="192"/>
        <v>-2.7301449943595824E-3</v>
      </c>
      <c r="M220" s="217">
        <f t="shared" si="192"/>
        <v>-1.1020980572919693E-3</v>
      </c>
      <c r="N220" s="217">
        <f t="shared" ref="N220:N233" si="193">SUM(O220:P220)</f>
        <v>-4.0299328816498061E-3</v>
      </c>
      <c r="O220" s="224">
        <f t="shared" si="192"/>
        <v>-4.0299328816498061E-3</v>
      </c>
      <c r="P220" s="222">
        <f t="shared" si="192"/>
        <v>0</v>
      </c>
      <c r="Q220" s="223">
        <f t="shared" si="192"/>
        <v>-2.0783166480467111E-3</v>
      </c>
      <c r="R220" s="353"/>
      <c r="S220" s="354"/>
    </row>
    <row r="221" spans="2:19" x14ac:dyDescent="0.3">
      <c r="B221" s="273" t="s">
        <v>520</v>
      </c>
      <c r="C221" s="274" t="s">
        <v>364</v>
      </c>
      <c r="D221" s="352">
        <v>9.75</v>
      </c>
      <c r="E221" s="217">
        <f t="shared" si="162"/>
        <v>2.7251574554022238</v>
      </c>
      <c r="F221" s="220">
        <f t="shared" si="191"/>
        <v>0.29288724465287674</v>
      </c>
      <c r="G221" s="221">
        <f t="shared" si="191"/>
        <v>0.89572737584674744</v>
      </c>
      <c r="H221" s="222">
        <f t="shared" si="191"/>
        <v>1.5365428349025996</v>
      </c>
      <c r="I221" s="217">
        <f t="shared" si="156"/>
        <v>5.2012137774606106</v>
      </c>
      <c r="J221" s="220">
        <f t="shared" si="192"/>
        <v>1.9451814820682458</v>
      </c>
      <c r="K221" s="221">
        <f t="shared" si="192"/>
        <v>2.5655286975971396</v>
      </c>
      <c r="L221" s="361">
        <f t="shared" si="192"/>
        <v>0.69050359779522497</v>
      </c>
      <c r="M221" s="217">
        <f t="shared" si="192"/>
        <v>0.27874075378979751</v>
      </c>
      <c r="N221" s="217">
        <f t="shared" si="193"/>
        <v>1.0192437249308843</v>
      </c>
      <c r="O221" s="224">
        <f t="shared" si="192"/>
        <v>1.0192437249308843</v>
      </c>
      <c r="P221" s="222">
        <f t="shared" si="192"/>
        <v>0</v>
      </c>
      <c r="Q221" s="223">
        <f t="shared" si="192"/>
        <v>0.52564428841648314</v>
      </c>
      <c r="R221" s="353"/>
      <c r="S221" s="354"/>
    </row>
    <row r="222" spans="2:19" x14ac:dyDescent="0.3">
      <c r="B222" s="273" t="s">
        <v>521</v>
      </c>
      <c r="C222" s="274" t="s">
        <v>366</v>
      </c>
      <c r="D222" s="352">
        <v>0.51984000000000008</v>
      </c>
      <c r="E222" s="217">
        <f t="shared" si="162"/>
        <v>0.14529701042218382</v>
      </c>
      <c r="F222" s="220">
        <f t="shared" si="191"/>
        <v>1.5615846693369382E-2</v>
      </c>
      <c r="G222" s="221">
        <f t="shared" si="191"/>
        <v>4.7757427595915204E-2</v>
      </c>
      <c r="H222" s="222">
        <f t="shared" si="191"/>
        <v>8.192373613289923E-2</v>
      </c>
      <c r="I222" s="217">
        <f t="shared" si="156"/>
        <v>0.27731271487949993</v>
      </c>
      <c r="J222" s="220">
        <f t="shared" si="192"/>
        <v>0.10371109145008792</v>
      </c>
      <c r="K222" s="221">
        <f t="shared" si="192"/>
        <v>0.13678609622142537</v>
      </c>
      <c r="L222" s="361">
        <f t="shared" si="192"/>
        <v>3.6815527207986642E-2</v>
      </c>
      <c r="M222" s="217">
        <f t="shared" si="192"/>
        <v>1.4861599328214192E-2</v>
      </c>
      <c r="N222" s="217">
        <f t="shared" si="193"/>
        <v>5.4342939278776516E-2</v>
      </c>
      <c r="O222" s="224">
        <f t="shared" si="192"/>
        <v>5.4342939278776516E-2</v>
      </c>
      <c r="P222" s="222">
        <f t="shared" si="192"/>
        <v>0</v>
      </c>
      <c r="Q222" s="223">
        <f t="shared" si="192"/>
        <v>2.8025736091325602E-2</v>
      </c>
      <c r="R222" s="353"/>
      <c r="S222" s="354"/>
    </row>
    <row r="223" spans="2:19" x14ac:dyDescent="0.3">
      <c r="B223" s="273" t="s">
        <v>522</v>
      </c>
      <c r="C223" s="274" t="s">
        <v>368</v>
      </c>
      <c r="D223" s="352">
        <v>0</v>
      </c>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x14ac:dyDescent="0.3">
      <c r="B224" s="273" t="s">
        <v>523</v>
      </c>
      <c r="C224" s="274" t="s">
        <v>370</v>
      </c>
      <c r="D224" s="352">
        <v>1.81592</v>
      </c>
      <c r="E224" s="217">
        <f t="shared" si="162"/>
        <v>0.50755568476041091</v>
      </c>
      <c r="F224" s="220">
        <f t="shared" si="191"/>
        <v>5.454972362154379E-2</v>
      </c>
      <c r="G224" s="221">
        <f t="shared" si="191"/>
        <v>0.16682761603565388</v>
      </c>
      <c r="H224" s="222">
        <f t="shared" si="191"/>
        <v>0.28617834510321322</v>
      </c>
      <c r="I224" s="217">
        <f t="shared" si="156"/>
        <v>0.96871673054013041</v>
      </c>
      <c r="J224" s="220">
        <f t="shared" si="192"/>
        <v>0.36228655968383272</v>
      </c>
      <c r="K224" s="221">
        <f t="shared" si="192"/>
        <v>0.47782511513236903</v>
      </c>
      <c r="L224" s="361">
        <f t="shared" si="192"/>
        <v>0.12860505572392869</v>
      </c>
      <c r="M224" s="217">
        <f t="shared" si="192"/>
        <v>5.1914965089432732E-2</v>
      </c>
      <c r="N224" s="217">
        <f t="shared" si="193"/>
        <v>0.18983231435656323</v>
      </c>
      <c r="O224" s="224">
        <f t="shared" si="192"/>
        <v>0.18983231435656323</v>
      </c>
      <c r="P224" s="222">
        <f t="shared" si="192"/>
        <v>0</v>
      </c>
      <c r="Q224" s="223">
        <f t="shared" si="192"/>
        <v>9.7900305253462563E-2</v>
      </c>
      <c r="R224" s="353"/>
      <c r="S224" s="354"/>
    </row>
    <row r="225" spans="2:19" x14ac:dyDescent="0.3">
      <c r="B225" s="273" t="s">
        <v>524</v>
      </c>
      <c r="C225" s="274" t="s">
        <v>372</v>
      </c>
      <c r="D225" s="352">
        <v>9.47776</v>
      </c>
      <c r="E225" s="217">
        <f t="shared" si="162"/>
        <v>2.6490654691808189</v>
      </c>
      <c r="F225" s="220">
        <f t="shared" si="191"/>
        <v>0.28470923198782044</v>
      </c>
      <c r="G225" s="221">
        <f t="shared" si="191"/>
        <v>0.87071683012361734</v>
      </c>
      <c r="H225" s="222">
        <f t="shared" si="191"/>
        <v>1.4936394070693808</v>
      </c>
      <c r="I225" s="217">
        <f t="shared" si="156"/>
        <v>5.055985219637444</v>
      </c>
      <c r="J225" s="220">
        <f t="shared" si="192"/>
        <v>1.8908680249730399</v>
      </c>
      <c r="K225" s="221">
        <f t="shared" si="192"/>
        <v>2.4938938737372585</v>
      </c>
      <c r="L225" s="361">
        <f t="shared" si="192"/>
        <v>0.67122332092714576</v>
      </c>
      <c r="M225" s="217">
        <f t="shared" si="192"/>
        <v>0.27095774016808116</v>
      </c>
      <c r="N225" s="217">
        <f t="shared" si="193"/>
        <v>0.99078434937445525</v>
      </c>
      <c r="O225" s="224">
        <f t="shared" si="192"/>
        <v>0.99078434937445525</v>
      </c>
      <c r="P225" s="222">
        <f t="shared" si="192"/>
        <v>0</v>
      </c>
      <c r="Q225" s="223">
        <f t="shared" si="192"/>
        <v>0.51096722163920072</v>
      </c>
      <c r="R225" s="353"/>
      <c r="S225" s="354"/>
    </row>
    <row r="226" spans="2:19" x14ac:dyDescent="0.3">
      <c r="B226" s="273" t="s">
        <v>525</v>
      </c>
      <c r="C226" s="274" t="s">
        <v>374</v>
      </c>
      <c r="D226" s="352">
        <v>0.48608999999999997</v>
      </c>
      <c r="E226" s="217">
        <f t="shared" si="162"/>
        <v>0.1358637730765607</v>
      </c>
      <c r="F226" s="220">
        <f t="shared" si="191"/>
        <v>1.4602006231109421E-2</v>
      </c>
      <c r="G226" s="221">
        <f t="shared" si="191"/>
        <v>4.4656832833368763E-2</v>
      </c>
      <c r="H226" s="222">
        <f t="shared" si="191"/>
        <v>7.6604934012082515E-2</v>
      </c>
      <c r="I226" s="217">
        <f t="shared" si="156"/>
        <v>0.25930851334213623</v>
      </c>
      <c r="J226" s="220">
        <f t="shared" si="192"/>
        <v>9.6977770935236268E-2</v>
      </c>
      <c r="K226" s="221">
        <f t="shared" si="192"/>
        <v>0.12790541996051219</v>
      </c>
      <c r="L226" s="361">
        <f t="shared" si="192"/>
        <v>3.4425322446387782E-2</v>
      </c>
      <c r="M226" s="217">
        <f t="shared" si="192"/>
        <v>1.3896727488172582E-2</v>
      </c>
      <c r="N226" s="217">
        <f t="shared" si="193"/>
        <v>5.0814787923246521E-2</v>
      </c>
      <c r="O226" s="224">
        <f t="shared" si="192"/>
        <v>5.0814787923246521E-2</v>
      </c>
      <c r="P226" s="222">
        <f t="shared" si="192"/>
        <v>0</v>
      </c>
      <c r="Q226" s="223">
        <f t="shared" si="192"/>
        <v>2.6206198169883926E-2</v>
      </c>
      <c r="R226" s="353"/>
      <c r="S226" s="354"/>
    </row>
    <row r="227" spans="2:19" x14ac:dyDescent="0.3">
      <c r="B227" s="273" t="s">
        <v>526</v>
      </c>
      <c r="C227" s="274" t="s">
        <v>376</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x14ac:dyDescent="0.3">
      <c r="B228" s="273" t="s">
        <v>527</v>
      </c>
      <c r="C228" s="274" t="s">
        <v>378</v>
      </c>
      <c r="D228" s="352">
        <v>3.4</v>
      </c>
      <c r="E228" s="217">
        <f t="shared" si="162"/>
        <v>0.95031131778128819</v>
      </c>
      <c r="F228" s="220">
        <f t="shared" si="191"/>
        <v>0.10213503916100317</v>
      </c>
      <c r="G228" s="221">
        <f t="shared" si="191"/>
        <v>0.31235621311578882</v>
      </c>
      <c r="H228" s="222">
        <f t="shared" si="191"/>
        <v>0.53582006550449623</v>
      </c>
      <c r="I228" s="217">
        <f t="shared" si="156"/>
        <v>1.8137565993195977</v>
      </c>
      <c r="J228" s="220">
        <f t="shared" si="192"/>
        <v>0.6783196963109781</v>
      </c>
      <c r="K228" s="221">
        <f t="shared" si="192"/>
        <v>0.89464590480310524</v>
      </c>
      <c r="L228" s="361">
        <f t="shared" si="192"/>
        <v>0.24079099820551431</v>
      </c>
      <c r="M228" s="217">
        <f t="shared" si="192"/>
        <v>9.7201903885672986E-2</v>
      </c>
      <c r="N228" s="217">
        <f t="shared" si="193"/>
        <v>0.35542858100153912</v>
      </c>
      <c r="O228" s="224">
        <f t="shared" si="192"/>
        <v>0.35542858100153912</v>
      </c>
      <c r="P228" s="222">
        <f t="shared" si="192"/>
        <v>0</v>
      </c>
      <c r="Q228" s="223">
        <f t="shared" si="192"/>
        <v>0.18330159801190182</v>
      </c>
      <c r="R228" s="353"/>
      <c r="S228" s="354"/>
    </row>
    <row r="229" spans="2:19" x14ac:dyDescent="0.3">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x14ac:dyDescent="0.3">
      <c r="B230" s="273" t="s">
        <v>529</v>
      </c>
      <c r="C230" s="274" t="s">
        <v>382</v>
      </c>
      <c r="D230" s="352">
        <v>9.640270000000001</v>
      </c>
      <c r="E230" s="217">
        <f t="shared" si="162"/>
        <v>2.694487555137477</v>
      </c>
      <c r="F230" s="220">
        <f t="shared" si="191"/>
        <v>0.28959098646254239</v>
      </c>
      <c r="G230" s="221">
        <f t="shared" si="191"/>
        <v>0.88564653841580765</v>
      </c>
      <c r="H230" s="222">
        <f t="shared" si="191"/>
        <v>1.5192500302591267</v>
      </c>
      <c r="I230" s="217">
        <f t="shared" si="156"/>
        <v>5.1426774505066879</v>
      </c>
      <c r="J230" s="220">
        <f t="shared" si="192"/>
        <v>1.9232897113987744</v>
      </c>
      <c r="K230" s="221">
        <f t="shared" si="192"/>
        <v>2.5366553166753625</v>
      </c>
      <c r="L230" s="361">
        <f t="shared" si="192"/>
        <v>0.68273242243255117</v>
      </c>
      <c r="M230" s="217">
        <f t="shared" si="192"/>
        <v>0.27560370528586375</v>
      </c>
      <c r="N230" s="217">
        <f t="shared" si="193"/>
        <v>1.0077727901681495</v>
      </c>
      <c r="O230" s="224">
        <f t="shared" si="192"/>
        <v>1.0077727901681495</v>
      </c>
      <c r="P230" s="222">
        <f t="shared" si="192"/>
        <v>0</v>
      </c>
      <c r="Q230" s="223">
        <f t="shared" si="192"/>
        <v>0.5197284989018226</v>
      </c>
      <c r="R230" s="353"/>
      <c r="S230" s="354"/>
    </row>
    <row r="231" spans="2:19" x14ac:dyDescent="0.3">
      <c r="B231" s="273" t="s">
        <v>530</v>
      </c>
      <c r="C231" s="274" t="s">
        <v>384</v>
      </c>
      <c r="D231" s="352">
        <v>8.269E-2</v>
      </c>
      <c r="E231" s="217">
        <f t="shared" si="162"/>
        <v>2.3112130255098451E-2</v>
      </c>
      <c r="F231" s="220">
        <f t="shared" si="191"/>
        <v>2.483984231830398E-3</v>
      </c>
      <c r="G231" s="221">
        <f t="shared" si="191"/>
        <v>7.5966868419248754E-3</v>
      </c>
      <c r="H231" s="222">
        <f t="shared" si="191"/>
        <v>1.3031459181343175E-2</v>
      </c>
      <c r="I231" s="217">
        <f t="shared" si="156"/>
        <v>4.4111627411099266E-2</v>
      </c>
      <c r="J231" s="220">
        <f t="shared" si="192"/>
        <v>1.649713402586905E-2</v>
      </c>
      <c r="K231" s="221">
        <f t="shared" si="192"/>
        <v>2.175831466710846E-2</v>
      </c>
      <c r="L231" s="361">
        <f t="shared" si="192"/>
        <v>5.8561787181217583E-3</v>
      </c>
      <c r="M231" s="217">
        <f t="shared" si="192"/>
        <v>2.3640074800900879E-3</v>
      </c>
      <c r="N231" s="217">
        <f t="shared" si="193"/>
        <v>8.6442321655933151E-3</v>
      </c>
      <c r="O231" s="224">
        <f t="shared" si="192"/>
        <v>8.6442321655933151E-3</v>
      </c>
      <c r="P231" s="222">
        <f t="shared" si="192"/>
        <v>0</v>
      </c>
      <c r="Q231" s="223">
        <f t="shared" si="192"/>
        <v>4.4580026881188709E-3</v>
      </c>
      <c r="R231" s="353"/>
      <c r="S231" s="354"/>
    </row>
    <row r="232" spans="2:19" x14ac:dyDescent="0.3">
      <c r="B232" s="276" t="s">
        <v>531</v>
      </c>
      <c r="C232" s="264" t="s">
        <v>532</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x14ac:dyDescent="0.3">
      <c r="B233" s="298" t="s">
        <v>533</v>
      </c>
      <c r="C233" s="299" t="s">
        <v>386</v>
      </c>
      <c r="D233" s="352">
        <v>3.976</v>
      </c>
      <c r="E233" s="217">
        <f t="shared" si="162"/>
        <v>1.1113052351465886</v>
      </c>
      <c r="F233" s="220">
        <f t="shared" si="191"/>
        <v>0.11943791638357312</v>
      </c>
      <c r="G233" s="221">
        <f t="shared" si="191"/>
        <v>0.36527303039658127</v>
      </c>
      <c r="H233" s="222">
        <f t="shared" si="191"/>
        <v>0.62659428836643438</v>
      </c>
      <c r="I233" s="217">
        <f t="shared" si="156"/>
        <v>2.1210283055572705</v>
      </c>
      <c r="J233" s="220">
        <f t="shared" si="192"/>
        <v>0.7932350330977791</v>
      </c>
      <c r="K233" s="221">
        <f t="shared" si="192"/>
        <v>1.0462094463226901</v>
      </c>
      <c r="L233" s="361">
        <f t="shared" si="192"/>
        <v>0.28158382613680144</v>
      </c>
      <c r="M233" s="217">
        <f t="shared" si="192"/>
        <v>0.11366904995571642</v>
      </c>
      <c r="N233" s="217">
        <f t="shared" si="193"/>
        <v>0.4156423641359176</v>
      </c>
      <c r="O233" s="224">
        <f t="shared" si="192"/>
        <v>0.4156423641359176</v>
      </c>
      <c r="P233" s="222">
        <f t="shared" si="192"/>
        <v>0</v>
      </c>
      <c r="Q233" s="223">
        <f t="shared" si="192"/>
        <v>0.21435504520450635</v>
      </c>
      <c r="R233" s="353"/>
      <c r="S233" s="354"/>
    </row>
    <row r="234" spans="2:19" s="3" customFormat="1" x14ac:dyDescent="0.3">
      <c r="B234" s="155" t="s">
        <v>171</v>
      </c>
      <c r="C234" s="215" t="s">
        <v>388</v>
      </c>
      <c r="D234" s="495">
        <v>7.8734099999999998</v>
      </c>
      <c r="E234" s="158">
        <f t="shared" si="162"/>
        <v>2.2006443036859915</v>
      </c>
      <c r="F234" s="159">
        <f t="shared" si="191"/>
        <v>0.23651501137665704</v>
      </c>
      <c r="G234" s="160">
        <f t="shared" si="191"/>
        <v>0.72332603879646551</v>
      </c>
      <c r="H234" s="161">
        <f t="shared" si="191"/>
        <v>1.2408032535128692</v>
      </c>
      <c r="I234" s="158">
        <f t="shared" si="156"/>
        <v>4.2001321607790914</v>
      </c>
      <c r="J234" s="159">
        <f t="shared" si="192"/>
        <v>1.5707909059211229</v>
      </c>
      <c r="K234" s="160">
        <f t="shared" si="192"/>
        <v>2.0717394156870048</v>
      </c>
      <c r="L234" s="487">
        <f t="shared" si="192"/>
        <v>0.55760183917096429</v>
      </c>
      <c r="M234" s="158">
        <f t="shared" si="192"/>
        <v>0.22509130649191075</v>
      </c>
      <c r="N234" s="158">
        <f>SUM(O234:P234)</f>
        <v>0.82306910115980247</v>
      </c>
      <c r="O234" s="496">
        <f t="shared" si="192"/>
        <v>0.82306910115980247</v>
      </c>
      <c r="P234" s="497">
        <f t="shared" si="192"/>
        <v>0</v>
      </c>
      <c r="Q234" s="162">
        <f t="shared" si="192"/>
        <v>0.42447312788320224</v>
      </c>
      <c r="R234" s="342"/>
      <c r="S234" s="343"/>
    </row>
    <row r="235" spans="2:19" s="3" customFormat="1" x14ac:dyDescent="0.3">
      <c r="B235" s="155" t="s">
        <v>173</v>
      </c>
      <c r="C235" s="215" t="s">
        <v>390</v>
      </c>
      <c r="D235" s="355">
        <f>SUM(D236:D240)</f>
        <v>6.3914099999999996</v>
      </c>
      <c r="E235" s="158">
        <f t="shared" si="162"/>
        <v>1.7864203704648538</v>
      </c>
      <c r="F235" s="159">
        <f>SUM(F236:F240)</f>
        <v>0.19199615018941979</v>
      </c>
      <c r="G235" s="160">
        <f>SUM(G236:G240)</f>
        <v>0.5871754776677599</v>
      </c>
      <c r="H235" s="161">
        <f>SUM(H236:H240)</f>
        <v>1.0072487426076742</v>
      </c>
      <c r="I235" s="158">
        <f t="shared" si="156"/>
        <v>3.4095476666050786</v>
      </c>
      <c r="J235" s="159">
        <f t="shared" ref="J235:Q235" si="194">SUM(J236:J240)</f>
        <v>1.2751233206467496</v>
      </c>
      <c r="K235" s="160">
        <f t="shared" si="194"/>
        <v>1.6817790536522392</v>
      </c>
      <c r="L235" s="487">
        <f t="shared" si="194"/>
        <v>0.45264529230609007</v>
      </c>
      <c r="M235" s="158">
        <f t="shared" si="194"/>
        <v>0.18272271191586154</v>
      </c>
      <c r="N235" s="158">
        <f>SUM(O235:P235)</f>
        <v>0.66814405497030793</v>
      </c>
      <c r="O235" s="163">
        <f t="shared" ref="O235:P235" si="195">SUM(O236:O240)</f>
        <v>0.66814405497030793</v>
      </c>
      <c r="P235" s="161">
        <f t="shared" si="195"/>
        <v>0</v>
      </c>
      <c r="Q235" s="162">
        <f t="shared" si="194"/>
        <v>0.34457519604389686</v>
      </c>
      <c r="R235" s="342"/>
      <c r="S235" s="343"/>
    </row>
    <row r="236" spans="2:19" x14ac:dyDescent="0.3">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x14ac:dyDescent="0.3">
      <c r="B237" s="174" t="s">
        <v>535</v>
      </c>
      <c r="C237" s="376" t="s">
        <v>448</v>
      </c>
      <c r="D237" s="352">
        <v>0</v>
      </c>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x14ac:dyDescent="0.3">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x14ac:dyDescent="0.3">
      <c r="B239" s="273" t="s">
        <v>537</v>
      </c>
      <c r="C239" s="264" t="s">
        <v>398</v>
      </c>
      <c r="D239" s="360">
        <v>5.8357799999999997</v>
      </c>
      <c r="E239" s="227">
        <f t="shared" si="162"/>
        <v>1.6311199359063782</v>
      </c>
      <c r="F239" s="228">
        <f t="shared" si="196"/>
        <v>0.17530518201029385</v>
      </c>
      <c r="G239" s="229">
        <f t="shared" si="196"/>
        <v>0.53613004158142885</v>
      </c>
      <c r="H239" s="230">
        <f t="shared" si="196"/>
        <v>0.91968471231465554</v>
      </c>
      <c r="I239" s="227">
        <f t="shared" si="156"/>
        <v>3.1131424962286234</v>
      </c>
      <c r="J239" s="228">
        <f t="shared" si="197"/>
        <v>1.1642719168640234</v>
      </c>
      <c r="K239" s="229">
        <f t="shared" si="197"/>
        <v>1.535575493627019</v>
      </c>
      <c r="L239" s="498">
        <f t="shared" si="197"/>
        <v>0.41329508573758128</v>
      </c>
      <c r="M239" s="227">
        <f t="shared" si="197"/>
        <v>0.16683791960527433</v>
      </c>
      <c r="N239" s="217">
        <f t="shared" si="198"/>
        <v>0.61005970718740055</v>
      </c>
      <c r="O239" s="232">
        <f t="shared" si="197"/>
        <v>0.61005970718740055</v>
      </c>
      <c r="P239" s="230">
        <f t="shared" si="197"/>
        <v>0</v>
      </c>
      <c r="Q239" s="231">
        <f t="shared" si="197"/>
        <v>0.31461994107232244</v>
      </c>
      <c r="R239" s="353"/>
      <c r="S239" s="354"/>
    </row>
    <row r="240" spans="2:19" x14ac:dyDescent="0.3">
      <c r="B240" s="273" t="s">
        <v>538</v>
      </c>
      <c r="C240" s="264" t="s">
        <v>390</v>
      </c>
      <c r="D240" s="360">
        <v>0.55562999999999996</v>
      </c>
      <c r="E240" s="227">
        <f t="shared" si="162"/>
        <v>0.15530043455847564</v>
      </c>
      <c r="F240" s="228">
        <f t="shared" si="196"/>
        <v>1.6690968179125937E-2</v>
      </c>
      <c r="G240" s="229">
        <f t="shared" si="196"/>
        <v>5.1045436086331095E-2</v>
      </c>
      <c r="H240" s="230">
        <f t="shared" si="196"/>
        <v>8.7564030293018597E-2</v>
      </c>
      <c r="I240" s="227">
        <f t="shared" si="156"/>
        <v>0.29640517037645525</v>
      </c>
      <c r="J240" s="228">
        <f t="shared" si="197"/>
        <v>0.11085140378272609</v>
      </c>
      <c r="K240" s="229">
        <f t="shared" si="197"/>
        <v>0.14620356002522039</v>
      </c>
      <c r="L240" s="498">
        <f t="shared" si="197"/>
        <v>3.9350206568508794E-2</v>
      </c>
      <c r="M240" s="227">
        <f t="shared" si="197"/>
        <v>1.58847923105872E-2</v>
      </c>
      <c r="N240" s="217">
        <f t="shared" si="198"/>
        <v>5.8084347782907407E-2</v>
      </c>
      <c r="O240" s="232">
        <f t="shared" si="197"/>
        <v>5.8084347782907407E-2</v>
      </c>
      <c r="P240" s="230">
        <f t="shared" si="197"/>
        <v>0</v>
      </c>
      <c r="Q240" s="231">
        <f t="shared" si="197"/>
        <v>2.9955254971574412E-2</v>
      </c>
      <c r="R240" s="353"/>
      <c r="S240" s="354"/>
    </row>
    <row r="241" spans="2:19" ht="116.25" customHeight="1" x14ac:dyDescent="0.3">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x14ac:dyDescent="0.3">
      <c r="B242" s="166" t="s">
        <v>199</v>
      </c>
      <c r="C242" s="376" t="s">
        <v>540</v>
      </c>
      <c r="D242" s="149">
        <f>ROUND((E242+I242+M242+N242+Q242),1)</f>
        <v>100</v>
      </c>
      <c r="E242" s="150">
        <f>SUM(F242:H242)</f>
        <v>27.950332875920246</v>
      </c>
      <c r="F242" s="151">
        <f>IFERROR((F25+F26)/($D$25+$D$26)*100, 0)</f>
        <v>3.0039717400295052</v>
      </c>
      <c r="G242" s="152">
        <f>IFERROR((G25+G26)/($D$25+$D$26)*100, 0)</f>
        <v>9.1869474445820245</v>
      </c>
      <c r="H242" s="153">
        <f>IFERROR((H25+H26)/($D$25+$D$26)*100, 0)</f>
        <v>15.759413691308714</v>
      </c>
      <c r="I242" s="150">
        <f>SUM(J242:L242)</f>
        <v>53.345782332929339</v>
      </c>
      <c r="J242" s="151">
        <f t="shared" ref="J242:Q242" si="199">IFERROR((J25+J26)/($D$25+$D$26)*100, 0)</f>
        <v>19.95057930326406</v>
      </c>
      <c r="K242" s="152">
        <f t="shared" si="199"/>
        <v>26.313114847150153</v>
      </c>
      <c r="L242" s="493">
        <f t="shared" si="199"/>
        <v>7.0820881825151272</v>
      </c>
      <c r="M242" s="150">
        <f t="shared" si="199"/>
        <v>2.8588795260492055</v>
      </c>
      <c r="N242" s="154">
        <f t="shared" si="199"/>
        <v>10.453781794162916</v>
      </c>
      <c r="O242" s="494">
        <f t="shared" si="199"/>
        <v>10.453781794162916</v>
      </c>
      <c r="P242" s="153">
        <f t="shared" si="199"/>
        <v>0</v>
      </c>
      <c r="Q242" s="154">
        <f t="shared" si="199"/>
        <v>5.3912234709382885</v>
      </c>
      <c r="R242" s="353"/>
      <c r="S242" s="354"/>
    </row>
    <row r="243" spans="2:19" ht="33.75" customHeight="1" x14ac:dyDescent="0.3">
      <c r="B243" s="300" t="s">
        <v>201</v>
      </c>
      <c r="C243" s="500" t="s">
        <v>541</v>
      </c>
      <c r="D243" s="501">
        <f>ROUND((E243+I243+M243+N243+Q243),1)</f>
        <v>100</v>
      </c>
      <c r="E243" s="502">
        <f>SUM(F243:H243)</f>
        <v>27.950332875920246</v>
      </c>
      <c r="F243" s="503">
        <v>3.0039717400295056</v>
      </c>
      <c r="G243" s="504">
        <v>9.1869474445820263</v>
      </c>
      <c r="H243" s="505">
        <v>15.759413691308714</v>
      </c>
      <c r="I243" s="502">
        <f>SUM(J243:L243)</f>
        <v>53.345782332929353</v>
      </c>
      <c r="J243" s="503">
        <v>19.950579303264064</v>
      </c>
      <c r="K243" s="504">
        <v>26.31311484715016</v>
      </c>
      <c r="L243" s="506">
        <v>7.0820881825151272</v>
      </c>
      <c r="M243" s="507">
        <v>2.8588795260492059</v>
      </c>
      <c r="N243" s="508">
        <v>10.453781794162916</v>
      </c>
      <c r="O243" s="509">
        <v>10.453781794162916</v>
      </c>
      <c r="P243" s="505">
        <v>0</v>
      </c>
      <c r="Q243" s="508">
        <v>5.3912234709382894</v>
      </c>
      <c r="R243" s="353"/>
      <c r="S243" s="354"/>
    </row>
    <row r="244" spans="2:19" x14ac:dyDescent="0.3">
      <c r="R244" s="354"/>
      <c r="S244" s="354"/>
    </row>
    <row r="245" spans="2:19" x14ac:dyDescent="0.3">
      <c r="C245" s="510" t="s">
        <v>542</v>
      </c>
    </row>
    <row r="246" spans="2:19" x14ac:dyDescent="0.3">
      <c r="C246" s="511" t="s">
        <v>543</v>
      </c>
    </row>
    <row r="247" spans="2:19" x14ac:dyDescent="0.3">
      <c r="C247" s="512" t="s">
        <v>544</v>
      </c>
      <c r="D247" s="513">
        <f>$E$24+$I$24+$M$24+$O$24-$E$51-$I$51-$M$51-$O$51-$E$61-$I$61-$M$61-$O$61-$E$62-$I$62-$M$62-$O$62-$E$63-$I$63-$M$63-$O$63-$E$64-$I$64-$M$64-$O$64-$E$107-$I$107-$M$107-$O$107-$E$114-$I$114-$M$114-$O$114-$E$204-$M$204-$I$204-$O$204-$E$211-$I$211-$M$211-$O$211</f>
        <v>1120.8273974668562</v>
      </c>
    </row>
    <row r="248" spans="2:19" x14ac:dyDescent="0.3">
      <c r="C248" s="512" t="s">
        <v>545</v>
      </c>
      <c r="D248" s="513">
        <f>$E$24+$I$24+$M$24-$E$51-$I$51-$M$51-$E$61-$I$61-$M$61-$E$62-$I$62-$M$62-$E$63-$I$63-$M$63-$E$64-$I$64-$M$64-$E$107-$I$107-$M$107-$E$114-$I$114-$M$114-$E$204-$M$204-$I$204-$E$211-$I$211-$M$211</f>
        <v>1020.6111046881044</v>
      </c>
    </row>
  </sheetData>
  <sheetProtection password="F757" sheet="1" objects="1" scenarios="1"/>
  <mergeCells count="1">
    <mergeCell ref="B8:Q8"/>
  </mergeCells>
  <pageMargins left="0.7" right="0.7" top="0.75" bottom="0.75" header="0.3" footer="0.3"/>
  <pageSetup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6"/>
  <sheetViews>
    <sheetView topLeftCell="A3" zoomScale="85" zoomScaleNormal="85" workbookViewId="0">
      <selection activeCell="H13" sqref="H13"/>
    </sheetView>
  </sheetViews>
  <sheetFormatPr defaultColWidth="9.33203125" defaultRowHeight="14.4" x14ac:dyDescent="0.3"/>
  <cols>
    <col min="1" max="2" width="9.33203125" style="514"/>
    <col min="3" max="3" width="51.5546875" style="514" customWidth="1"/>
    <col min="4" max="4" width="22.5546875" style="515" customWidth="1"/>
    <col min="5" max="5" width="22.6640625" style="514" customWidth="1"/>
    <col min="6" max="6" width="35.6640625" style="514" customWidth="1"/>
    <col min="7" max="16384" width="9.33203125" style="514"/>
  </cols>
  <sheetData>
    <row r="1" spans="1:5" x14ac:dyDescent="0.3">
      <c r="A1" s="516" t="s">
        <v>0</v>
      </c>
      <c r="B1" s="517"/>
      <c r="C1" s="517"/>
      <c r="D1" s="518"/>
      <c r="E1" s="517"/>
    </row>
    <row r="2" spans="1:5" x14ac:dyDescent="0.3">
      <c r="A2" s="516" t="s">
        <v>1</v>
      </c>
      <c r="B2" s="517"/>
      <c r="C2" s="517"/>
      <c r="D2" s="518"/>
      <c r="E2" s="517"/>
    </row>
    <row r="3" spans="1:5" x14ac:dyDescent="0.3">
      <c r="A3" s="517"/>
      <c r="B3" s="517"/>
      <c r="C3" s="517"/>
      <c r="D3" s="518"/>
      <c r="E3" s="517"/>
    </row>
    <row r="4" spans="1:5" x14ac:dyDescent="0.3">
      <c r="A4" s="517"/>
      <c r="B4" s="517"/>
      <c r="C4" s="517"/>
      <c r="D4" s="518"/>
      <c r="E4" s="517"/>
    </row>
    <row r="5" spans="1:5" x14ac:dyDescent="0.3">
      <c r="A5" s="519" t="s">
        <v>546</v>
      </c>
      <c r="B5" s="517"/>
      <c r="C5" s="517"/>
      <c r="D5" s="518"/>
      <c r="E5" s="517"/>
    </row>
    <row r="6" spans="1:5" x14ac:dyDescent="0.3">
      <c r="A6" s="1472" t="s">
        <v>547</v>
      </c>
      <c r="B6" s="1473"/>
      <c r="C6" s="1473"/>
      <c r="D6" s="1473"/>
      <c r="E6" s="1473"/>
    </row>
    <row r="7" spans="1:5" x14ac:dyDescent="0.3">
      <c r="A7" s="1473"/>
      <c r="B7" s="1473"/>
      <c r="C7" s="1473"/>
      <c r="D7" s="1473"/>
      <c r="E7" s="1473"/>
    </row>
    <row r="8" spans="1:5" x14ac:dyDescent="0.3">
      <c r="A8" s="517"/>
      <c r="B8" s="517"/>
      <c r="C8" s="517"/>
      <c r="D8" s="518"/>
      <c r="E8" s="517"/>
    </row>
    <row r="9" spans="1:5" ht="35.25" customHeight="1" x14ac:dyDescent="0.3">
      <c r="B9" s="1468" t="s">
        <v>548</v>
      </c>
      <c r="C9" s="1468"/>
      <c r="D9" s="1468"/>
      <c r="E9" s="1468"/>
    </row>
    <row r="10" spans="1:5" ht="24.75" customHeight="1" x14ac:dyDescent="0.3">
      <c r="B10" s="520" t="s">
        <v>4</v>
      </c>
      <c r="C10" s="521" t="s">
        <v>64</v>
      </c>
      <c r="D10" s="522" t="s">
        <v>65</v>
      </c>
      <c r="E10" s="523" t="s">
        <v>66</v>
      </c>
    </row>
    <row r="11" spans="1:5" ht="41.25" customHeight="1" x14ac:dyDescent="0.3">
      <c r="B11" s="524" t="s">
        <v>549</v>
      </c>
      <c r="C11" s="525" t="s">
        <v>550</v>
      </c>
      <c r="D11" s="526">
        <v>8416.6810000000005</v>
      </c>
      <c r="E11" s="527"/>
    </row>
    <row r="12" spans="1:5" ht="46.5" customHeight="1" x14ac:dyDescent="0.3">
      <c r="B12" s="524" t="s">
        <v>68</v>
      </c>
      <c r="C12" s="525" t="s">
        <v>551</v>
      </c>
      <c r="D12" s="528">
        <f>SUM(D13:D14)+D18</f>
        <v>2296.8520334391555</v>
      </c>
      <c r="E12" s="527" t="s">
        <v>552</v>
      </c>
    </row>
    <row r="13" spans="1:5" ht="41.25" customHeight="1" x14ac:dyDescent="0.3">
      <c r="B13" s="529" t="s">
        <v>70</v>
      </c>
      <c r="C13" s="530" t="s">
        <v>553</v>
      </c>
      <c r="D13" s="531">
        <f>VAS076_F_Paskirstomasil23IsViso</f>
        <v>1030.3918843860872</v>
      </c>
      <c r="E13" s="117" t="s">
        <v>552</v>
      </c>
    </row>
    <row r="14" spans="1:5" ht="40.5" customHeight="1" x14ac:dyDescent="0.3">
      <c r="B14" s="63" t="s">
        <v>76</v>
      </c>
      <c r="C14" s="83" t="s">
        <v>554</v>
      </c>
      <c r="D14" s="84">
        <f>VAS076_F_Paskirstomasil24IsViso</f>
        <v>1125.1862310365148</v>
      </c>
      <c r="E14" s="66" t="s">
        <v>552</v>
      </c>
    </row>
    <row r="15" spans="1:5" ht="40.5" customHeight="1" x14ac:dyDescent="0.3">
      <c r="B15" s="63" t="s">
        <v>78</v>
      </c>
      <c r="C15" s="83" t="s">
        <v>555</v>
      </c>
      <c r="D15" s="84">
        <f>VAS076_F_Paskirstomasil241NuotekuSurinkimas</f>
        <v>801.20130305093471</v>
      </c>
      <c r="E15" s="66" t="s">
        <v>552</v>
      </c>
    </row>
    <row r="16" spans="1:5" ht="36.75" customHeight="1" x14ac:dyDescent="0.3">
      <c r="B16" s="63" t="s">
        <v>86</v>
      </c>
      <c r="C16" s="83" t="s">
        <v>556</v>
      </c>
      <c r="D16" s="84">
        <f>VAS076_F_Paskirstomasil242NuotekuValymas</f>
        <v>310.49810066899863</v>
      </c>
      <c r="E16" s="66" t="s">
        <v>552</v>
      </c>
    </row>
    <row r="17" spans="2:5" ht="34.5" customHeight="1" x14ac:dyDescent="0.3">
      <c r="B17" s="63" t="s">
        <v>96</v>
      </c>
      <c r="C17" s="83" t="s">
        <v>557</v>
      </c>
      <c r="D17" s="84">
        <f>VAS076_F_Paskirstomasil243NuotekuDumblo</f>
        <v>13.486827316581126</v>
      </c>
      <c r="E17" s="66" t="s">
        <v>552</v>
      </c>
    </row>
    <row r="18" spans="2:5" ht="31.5" customHeight="1" x14ac:dyDescent="0.3">
      <c r="B18" s="67" t="s">
        <v>104</v>
      </c>
      <c r="C18" s="83" t="s">
        <v>558</v>
      </c>
      <c r="D18" s="84">
        <f>VAS076_F_Paskirstomasil25PavirsiniuNuoteku</f>
        <v>141.27391801655352</v>
      </c>
      <c r="E18" s="66" t="s">
        <v>552</v>
      </c>
    </row>
    <row r="19" spans="2:5" ht="22.8" x14ac:dyDescent="0.3">
      <c r="B19" s="59" t="s">
        <v>109</v>
      </c>
      <c r="C19" s="532" t="s">
        <v>559</v>
      </c>
      <c r="D19" s="82">
        <f>SUM(D20:D29)</f>
        <v>5932.1840912052076</v>
      </c>
      <c r="E19" s="62"/>
    </row>
    <row r="20" spans="2:5" x14ac:dyDescent="0.3">
      <c r="B20" s="63" t="s">
        <v>111</v>
      </c>
      <c r="C20" s="533" t="s">
        <v>560</v>
      </c>
      <c r="D20" s="534">
        <v>4565.0261399999999</v>
      </c>
      <c r="E20" s="66"/>
    </row>
    <row r="21" spans="2:5" ht="24" x14ac:dyDescent="0.3">
      <c r="B21" s="63" t="s">
        <v>120</v>
      </c>
      <c r="C21" s="533" t="s">
        <v>561</v>
      </c>
      <c r="D21" s="534">
        <v>0</v>
      </c>
      <c r="E21" s="66"/>
    </row>
    <row r="22" spans="2:5" x14ac:dyDescent="0.3">
      <c r="B22" s="63" t="s">
        <v>294</v>
      </c>
      <c r="C22" s="533" t="s">
        <v>562</v>
      </c>
      <c r="D22" s="534">
        <v>0</v>
      </c>
      <c r="E22" s="66"/>
    </row>
    <row r="23" spans="2:5" x14ac:dyDescent="0.3">
      <c r="B23" s="63" t="s">
        <v>299</v>
      </c>
      <c r="C23" s="533" t="s">
        <v>563</v>
      </c>
      <c r="D23" s="534">
        <v>0</v>
      </c>
      <c r="E23" s="66"/>
    </row>
    <row r="24" spans="2:5" x14ac:dyDescent="0.3">
      <c r="B24" s="63" t="s">
        <v>304</v>
      </c>
      <c r="C24" s="533" t="s">
        <v>564</v>
      </c>
      <c r="D24" s="534">
        <v>6.343</v>
      </c>
      <c r="E24" s="66"/>
    </row>
    <row r="25" spans="2:5" x14ac:dyDescent="0.3">
      <c r="B25" s="63" t="s">
        <v>310</v>
      </c>
      <c r="C25" s="533" t="s">
        <v>565</v>
      </c>
      <c r="D25" s="534">
        <v>0</v>
      </c>
      <c r="E25" s="66"/>
    </row>
    <row r="26" spans="2:5" ht="24" x14ac:dyDescent="0.3">
      <c r="B26" s="63" t="s">
        <v>314</v>
      </c>
      <c r="C26" s="533" t="s">
        <v>566</v>
      </c>
      <c r="D26" s="534">
        <v>0</v>
      </c>
      <c r="E26" s="66"/>
    </row>
    <row r="27" spans="2:5" x14ac:dyDescent="0.3">
      <c r="B27" s="63" t="s">
        <v>323</v>
      </c>
      <c r="C27" s="533" t="s">
        <v>567</v>
      </c>
      <c r="D27" s="534">
        <v>232.435</v>
      </c>
      <c r="E27" s="66"/>
    </row>
    <row r="28" spans="2:5" ht="24" x14ac:dyDescent="0.3">
      <c r="B28" s="67" t="s">
        <v>325</v>
      </c>
      <c r="C28" s="535" t="s">
        <v>568</v>
      </c>
      <c r="D28" s="536">
        <v>2457.4219400000011</v>
      </c>
      <c r="E28" s="70"/>
    </row>
    <row r="29" spans="2:5" ht="22.8" x14ac:dyDescent="0.3">
      <c r="B29" s="537" t="s">
        <v>337</v>
      </c>
      <c r="C29" s="538" t="s">
        <v>569</v>
      </c>
      <c r="D29" s="539">
        <f>D11-D12-D30-D20-D21-D22-D23-D24-D25-D26-D27-D28</f>
        <v>-1329.0419887947935</v>
      </c>
      <c r="E29" s="124"/>
    </row>
    <row r="30" spans="2:5" x14ac:dyDescent="0.3">
      <c r="B30" s="71" t="s">
        <v>129</v>
      </c>
      <c r="C30" s="540" t="s">
        <v>570</v>
      </c>
      <c r="D30" s="541">
        <f>SUM(D31:D33)</f>
        <v>187.64487535563711</v>
      </c>
      <c r="E30" s="66" t="s">
        <v>552</v>
      </c>
    </row>
    <row r="31" spans="2:5" x14ac:dyDescent="0.3">
      <c r="B31" s="63" t="s">
        <v>131</v>
      </c>
      <c r="C31" s="533" t="s">
        <v>571</v>
      </c>
      <c r="D31" s="84">
        <f>VAS076_F_Paskirstomasil2Apskaitosveikla1</f>
        <v>134.6238386134614</v>
      </c>
      <c r="E31" s="66" t="s">
        <v>552</v>
      </c>
    </row>
    <row r="32" spans="2:5" x14ac:dyDescent="0.3">
      <c r="B32" s="63" t="s">
        <v>133</v>
      </c>
      <c r="C32" s="83" t="s">
        <v>572</v>
      </c>
      <c r="D32" s="84">
        <f>VAS076_F_Paskirstomasil2Kitareguliuoja1</f>
        <v>0</v>
      </c>
      <c r="E32" s="66" t="s">
        <v>552</v>
      </c>
    </row>
    <row r="33" spans="2:5" x14ac:dyDescent="0.3">
      <c r="B33" s="67" t="s">
        <v>141</v>
      </c>
      <c r="C33" s="91" t="s">
        <v>573</v>
      </c>
      <c r="D33" s="92">
        <f>VAS076_F_Paskirstomasil27KitosVeiklos</f>
        <v>53.021036742175724</v>
      </c>
      <c r="E33" s="70" t="s">
        <v>552</v>
      </c>
    </row>
    <row r="34" spans="2:5" ht="22.8" x14ac:dyDescent="0.3">
      <c r="B34" s="524" t="s">
        <v>574</v>
      </c>
      <c r="C34" s="525" t="s">
        <v>575</v>
      </c>
      <c r="D34" s="526">
        <v>39766.02960999999</v>
      </c>
      <c r="E34" s="527"/>
    </row>
    <row r="35" spans="2:5" ht="34.200000000000003" x14ac:dyDescent="0.3">
      <c r="B35" s="524" t="s">
        <v>143</v>
      </c>
      <c r="C35" s="525" t="s">
        <v>576</v>
      </c>
      <c r="D35" s="528">
        <f>SUM(D36:D37)+D41</f>
        <v>4020.7785971050407</v>
      </c>
      <c r="E35" s="527" t="s">
        <v>577</v>
      </c>
    </row>
    <row r="36" spans="2:5" ht="24" x14ac:dyDescent="0.3">
      <c r="B36" s="529" t="s">
        <v>145</v>
      </c>
      <c r="C36" s="530" t="s">
        <v>578</v>
      </c>
      <c r="D36" s="531">
        <f>VAS075_F_Paskirstomasil13IsViso</f>
        <v>1991.7523982493015</v>
      </c>
      <c r="E36" s="117" t="s">
        <v>577</v>
      </c>
    </row>
    <row r="37" spans="2:5" ht="24" x14ac:dyDescent="0.3">
      <c r="B37" s="63" t="s">
        <v>147</v>
      </c>
      <c r="C37" s="83" t="s">
        <v>579</v>
      </c>
      <c r="D37" s="84">
        <f>VAS075_F_Paskirstomasil14IsViso</f>
        <v>1854.8187179449314</v>
      </c>
      <c r="E37" s="66" t="s">
        <v>577</v>
      </c>
    </row>
    <row r="38" spans="2:5" ht="24" x14ac:dyDescent="0.3">
      <c r="B38" s="63" t="s">
        <v>580</v>
      </c>
      <c r="C38" s="83" t="s">
        <v>581</v>
      </c>
      <c r="D38" s="84">
        <f>VAS075_F_Paskirstomasil141NuotekuSurinkimas</f>
        <v>1298.7625358982243</v>
      </c>
      <c r="E38" s="66" t="s">
        <v>577</v>
      </c>
    </row>
    <row r="39" spans="2:5" x14ac:dyDescent="0.3">
      <c r="B39" s="63" t="s">
        <v>582</v>
      </c>
      <c r="C39" s="83" t="s">
        <v>583</v>
      </c>
      <c r="D39" s="84">
        <f>VAS075_F_Paskirstomasil142NuotekuValymas</f>
        <v>519.67795515810656</v>
      </c>
      <c r="E39" s="66" t="s">
        <v>577</v>
      </c>
    </row>
    <row r="40" spans="2:5" ht="24" x14ac:dyDescent="0.3">
      <c r="B40" s="63" t="s">
        <v>584</v>
      </c>
      <c r="C40" s="83" t="s">
        <v>585</v>
      </c>
      <c r="D40" s="84">
        <f>VAS075_F_Paskirstomasil143NuotekuDumblo</f>
        <v>36.378226888600537</v>
      </c>
      <c r="E40" s="66" t="s">
        <v>577</v>
      </c>
    </row>
    <row r="41" spans="2:5" ht="24" x14ac:dyDescent="0.3">
      <c r="B41" s="67" t="s">
        <v>149</v>
      </c>
      <c r="C41" s="83" t="s">
        <v>586</v>
      </c>
      <c r="D41" s="84">
        <f>VAS075_F_Paskirstomasil15PavirsiniuNuoteku</f>
        <v>174.20748091080807</v>
      </c>
      <c r="E41" s="66" t="s">
        <v>577</v>
      </c>
    </row>
    <row r="42" spans="2:5" ht="22.8" x14ac:dyDescent="0.3">
      <c r="B42" s="59" t="s">
        <v>493</v>
      </c>
      <c r="C42" s="532" t="s">
        <v>587</v>
      </c>
      <c r="D42" s="82">
        <f>SUM(D43:D52)</f>
        <v>35024.61543244715</v>
      </c>
      <c r="E42" s="62"/>
    </row>
    <row r="43" spans="2:5" x14ac:dyDescent="0.3">
      <c r="B43" s="63" t="s">
        <v>495</v>
      </c>
      <c r="C43" s="533" t="s">
        <v>560</v>
      </c>
      <c r="D43" s="534">
        <v>28201.714640597522</v>
      </c>
      <c r="E43" s="66"/>
    </row>
    <row r="44" spans="2:5" ht="24" x14ac:dyDescent="0.3">
      <c r="B44" s="63" t="s">
        <v>155</v>
      </c>
      <c r="C44" s="533" t="s">
        <v>561</v>
      </c>
      <c r="D44" s="534">
        <v>0</v>
      </c>
      <c r="E44" s="66"/>
    </row>
    <row r="45" spans="2:5" x14ac:dyDescent="0.3">
      <c r="B45" s="63" t="s">
        <v>157</v>
      </c>
      <c r="C45" s="533" t="s">
        <v>562</v>
      </c>
      <c r="D45" s="534">
        <v>0</v>
      </c>
      <c r="E45" s="66"/>
    </row>
    <row r="46" spans="2:5" x14ac:dyDescent="0.3">
      <c r="B46" s="63" t="s">
        <v>159</v>
      </c>
      <c r="C46" s="533" t="s">
        <v>563</v>
      </c>
      <c r="D46" s="534">
        <v>0</v>
      </c>
      <c r="E46" s="66"/>
    </row>
    <row r="47" spans="2:5" x14ac:dyDescent="0.3">
      <c r="B47" s="63" t="s">
        <v>161</v>
      </c>
      <c r="C47" s="533" t="s">
        <v>564</v>
      </c>
      <c r="D47" s="534">
        <v>6.343</v>
      </c>
      <c r="E47" s="66"/>
    </row>
    <row r="48" spans="2:5" x14ac:dyDescent="0.3">
      <c r="B48" s="63" t="s">
        <v>163</v>
      </c>
      <c r="C48" s="533" t="s">
        <v>565</v>
      </c>
      <c r="D48" s="534">
        <v>0</v>
      </c>
      <c r="E48" s="66"/>
    </row>
    <row r="49" spans="2:5" ht="24" x14ac:dyDescent="0.3">
      <c r="B49" s="63" t="s">
        <v>165</v>
      </c>
      <c r="C49" s="533" t="s">
        <v>566</v>
      </c>
      <c r="D49" s="534">
        <v>0</v>
      </c>
      <c r="E49" s="66"/>
    </row>
    <row r="50" spans="2:5" x14ac:dyDescent="0.3">
      <c r="B50" s="63" t="s">
        <v>167</v>
      </c>
      <c r="C50" s="533" t="s">
        <v>567</v>
      </c>
      <c r="D50" s="534">
        <v>2204.7131218496315</v>
      </c>
      <c r="E50" s="66"/>
    </row>
    <row r="51" spans="2:5" ht="24" x14ac:dyDescent="0.3">
      <c r="B51" s="67" t="s">
        <v>169</v>
      </c>
      <c r="C51" s="535" t="s">
        <v>568</v>
      </c>
      <c r="D51" s="536">
        <v>4683.6480600000004</v>
      </c>
      <c r="E51" s="70"/>
    </row>
    <row r="52" spans="2:5" x14ac:dyDescent="0.3">
      <c r="B52" s="537" t="s">
        <v>171</v>
      </c>
      <c r="C52" s="538" t="s">
        <v>588</v>
      </c>
      <c r="D52" s="542">
        <f>D34-D35-D53-D43-D44-D45-D46-D47-D48-D49-D50-D51</f>
        <v>-71.80339000001095</v>
      </c>
      <c r="E52" s="124"/>
    </row>
    <row r="53" spans="2:5" x14ac:dyDescent="0.3">
      <c r="B53" s="71" t="s">
        <v>197</v>
      </c>
      <c r="C53" s="540" t="s">
        <v>589</v>
      </c>
      <c r="D53" s="541">
        <f>D54+D55+D56</f>
        <v>720.63558044780916</v>
      </c>
      <c r="E53" s="66" t="s">
        <v>577</v>
      </c>
    </row>
    <row r="54" spans="2:5" x14ac:dyDescent="0.3">
      <c r="B54" s="63" t="s">
        <v>199</v>
      </c>
      <c r="C54" s="533" t="s">
        <v>590</v>
      </c>
      <c r="D54" s="84">
        <f>VAS075_F_Paskirstomasil1Apskaitosveikla1</f>
        <v>265.08119771454545</v>
      </c>
      <c r="E54" s="66" t="s">
        <v>577</v>
      </c>
    </row>
    <row r="55" spans="2:5" x14ac:dyDescent="0.3">
      <c r="B55" s="63" t="s">
        <v>201</v>
      </c>
      <c r="C55" s="83" t="s">
        <v>591</v>
      </c>
      <c r="D55" s="84">
        <f>VAS075_F_Paskirstomasil1Kitareguliuoja1</f>
        <v>0</v>
      </c>
      <c r="E55" s="66" t="s">
        <v>577</v>
      </c>
    </row>
    <row r="56" spans="2:5" x14ac:dyDescent="0.3">
      <c r="B56" s="121" t="s">
        <v>209</v>
      </c>
      <c r="C56" s="122" t="s">
        <v>592</v>
      </c>
      <c r="D56" s="123">
        <f>VAS075_F_Paskirstomasil17KitosVeiklos</f>
        <v>455.55438273326371</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topLeftCell="G126" zoomScale="60" zoomScaleNormal="60" workbookViewId="0">
      <selection activeCell="O144" sqref="O144:Q163"/>
    </sheetView>
  </sheetViews>
  <sheetFormatPr defaultColWidth="9.109375" defaultRowHeight="13.8" x14ac:dyDescent="0.25"/>
  <cols>
    <col min="1" max="2" width="9.109375" style="33"/>
    <col min="3" max="3" width="61.44140625" style="33" customWidth="1"/>
    <col min="4" max="4" width="11" style="33" customWidth="1"/>
    <col min="5" max="5" width="11.44140625" style="33" customWidth="1"/>
    <col min="6" max="7" width="14.109375" style="33" customWidth="1"/>
    <col min="8" max="8" width="15.109375" style="33" customWidth="1"/>
    <col min="9" max="9" width="11" style="33" customWidth="1"/>
    <col min="10" max="10" width="11.5546875" style="33" customWidth="1"/>
    <col min="11" max="11" width="13.44140625" style="33" customWidth="1"/>
    <col min="12" max="12" width="12.109375" style="33" customWidth="1"/>
    <col min="13" max="13" width="21" style="33" customWidth="1"/>
    <col min="14" max="16" width="16.33203125" style="33" customWidth="1"/>
    <col min="17" max="17" width="23.33203125" style="33" customWidth="1"/>
    <col min="18" max="18" width="15.5546875" style="33" customWidth="1"/>
    <col min="19" max="16384" width="9.109375" style="33"/>
  </cols>
  <sheetData>
    <row r="1" spans="1:17" x14ac:dyDescent="0.25">
      <c r="A1" s="543" t="s">
        <v>0</v>
      </c>
      <c r="B1" s="544"/>
      <c r="C1" s="544"/>
      <c r="D1" s="544"/>
      <c r="E1" s="544"/>
      <c r="F1" s="544"/>
      <c r="G1" s="544"/>
      <c r="H1" s="544"/>
      <c r="I1" s="544"/>
      <c r="J1" s="544"/>
      <c r="K1" s="544"/>
      <c r="L1" s="544"/>
      <c r="M1" s="544"/>
      <c r="N1" s="544"/>
      <c r="O1" s="544"/>
      <c r="P1" s="544"/>
      <c r="Q1" s="544"/>
    </row>
    <row r="2" spans="1:17" x14ac:dyDescent="0.25">
      <c r="A2" s="543" t="s">
        <v>1</v>
      </c>
      <c r="B2" s="544"/>
      <c r="C2" s="544"/>
      <c r="D2" s="544"/>
      <c r="E2" s="544"/>
      <c r="F2" s="544"/>
      <c r="G2" s="544"/>
      <c r="H2" s="544"/>
      <c r="I2" s="544"/>
      <c r="J2" s="544"/>
      <c r="K2" s="544"/>
      <c r="L2" s="544"/>
      <c r="M2" s="544"/>
      <c r="N2" s="544"/>
      <c r="O2" s="544"/>
      <c r="P2" s="544"/>
      <c r="Q2" s="544"/>
    </row>
    <row r="3" spans="1:17" x14ac:dyDescent="0.25">
      <c r="A3" s="544"/>
      <c r="B3" s="544"/>
      <c r="C3" s="544"/>
      <c r="D3" s="544"/>
      <c r="E3" s="544"/>
      <c r="F3" s="544"/>
      <c r="G3" s="544"/>
      <c r="H3" s="544"/>
      <c r="I3" s="544"/>
      <c r="J3" s="544"/>
      <c r="K3" s="544"/>
      <c r="L3" s="544"/>
      <c r="M3" s="544"/>
      <c r="N3" s="544"/>
      <c r="O3" s="544"/>
      <c r="P3" s="544"/>
      <c r="Q3" s="544"/>
    </row>
    <row r="4" spans="1:17" x14ac:dyDescent="0.25">
      <c r="A4" s="544"/>
      <c r="B4" s="544"/>
      <c r="C4" s="544"/>
      <c r="D4" s="544"/>
      <c r="E4" s="544"/>
      <c r="F4" s="544"/>
      <c r="G4" s="544"/>
      <c r="H4" s="544"/>
      <c r="I4" s="544"/>
      <c r="J4" s="544"/>
      <c r="K4" s="544"/>
      <c r="L4" s="544"/>
      <c r="M4" s="544"/>
      <c r="N4" s="544"/>
      <c r="O4" s="544"/>
      <c r="P4" s="544"/>
      <c r="Q4" s="544"/>
    </row>
    <row r="5" spans="1:17" x14ac:dyDescent="0.25">
      <c r="A5" s="545" t="s">
        <v>593</v>
      </c>
      <c r="B5" s="544"/>
      <c r="C5" s="544"/>
      <c r="D5" s="544"/>
      <c r="E5" s="544"/>
      <c r="F5" s="544"/>
      <c r="G5" s="544"/>
      <c r="H5" s="544"/>
      <c r="I5" s="544"/>
      <c r="J5" s="544"/>
      <c r="K5" s="544"/>
      <c r="L5" s="544"/>
      <c r="M5" s="544"/>
      <c r="N5" s="544"/>
      <c r="O5" s="544"/>
      <c r="P5" s="544"/>
      <c r="Q5" s="544"/>
    </row>
    <row r="6" spans="1:17" x14ac:dyDescent="0.25">
      <c r="A6" s="544"/>
      <c r="B6" s="544"/>
      <c r="C6" s="544"/>
      <c r="D6" s="544"/>
      <c r="E6" s="544"/>
      <c r="F6" s="544"/>
      <c r="G6" s="544"/>
      <c r="H6" s="544"/>
      <c r="I6" s="544"/>
      <c r="J6" s="544"/>
      <c r="K6" s="544"/>
      <c r="L6" s="544"/>
      <c r="M6" s="544"/>
      <c r="N6" s="544"/>
      <c r="O6" s="544"/>
      <c r="P6" s="544"/>
      <c r="Q6" s="544"/>
    </row>
    <row r="8" spans="1:17" x14ac:dyDescent="0.25">
      <c r="B8" s="1468" t="s">
        <v>594</v>
      </c>
      <c r="C8" s="1468"/>
      <c r="D8" s="1468"/>
      <c r="E8" s="1468"/>
      <c r="F8" s="1468"/>
      <c r="G8" s="1468"/>
      <c r="H8" s="1468"/>
      <c r="I8" s="1468"/>
      <c r="J8" s="1468"/>
      <c r="K8" s="1468"/>
      <c r="L8" s="1468"/>
      <c r="M8" s="1468"/>
      <c r="N8" s="1468"/>
      <c r="O8" s="1468"/>
      <c r="P8" s="1468"/>
      <c r="Q8" s="1468"/>
    </row>
    <row r="9" spans="1:17" ht="71.25" customHeight="1" x14ac:dyDescent="0.25">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x14ac:dyDescent="0.25">
      <c r="B10" s="549" t="s">
        <v>68</v>
      </c>
      <c r="C10" s="549" t="s">
        <v>596</v>
      </c>
      <c r="D10" s="139">
        <f t="shared" ref="D10:Q10" si="0">D11+D15+D22+D25+D31+D34</f>
        <v>4741.4141775528506</v>
      </c>
      <c r="E10" s="550">
        <f t="shared" si="0"/>
        <v>1991.7523982493015</v>
      </c>
      <c r="F10" s="551">
        <f t="shared" si="0"/>
        <v>178.90571013944276</v>
      </c>
      <c r="G10" s="552">
        <f t="shared" si="0"/>
        <v>577.47713849202501</v>
      </c>
      <c r="H10" s="553">
        <f t="shared" si="0"/>
        <v>1235.3695496178341</v>
      </c>
      <c r="I10" s="550">
        <f t="shared" si="0"/>
        <v>1854.8187179449314</v>
      </c>
      <c r="J10" s="551">
        <f t="shared" si="0"/>
        <v>1298.7625358982243</v>
      </c>
      <c r="K10" s="552">
        <f t="shared" si="0"/>
        <v>519.67795515810656</v>
      </c>
      <c r="L10" s="553">
        <f t="shared" si="0"/>
        <v>36.378226888600537</v>
      </c>
      <c r="M10" s="550">
        <f t="shared" si="0"/>
        <v>174.20748091080807</v>
      </c>
      <c r="N10" s="554">
        <f t="shared" si="0"/>
        <v>265.08119771454545</v>
      </c>
      <c r="O10" s="552">
        <f t="shared" si="0"/>
        <v>265.08119771454545</v>
      </c>
      <c r="P10" s="555">
        <f t="shared" si="0"/>
        <v>0</v>
      </c>
      <c r="Q10" s="550">
        <f t="shared" si="0"/>
        <v>455.55438273326371</v>
      </c>
    </row>
    <row r="11" spans="1:17" x14ac:dyDescent="0.25">
      <c r="B11" s="556" t="s">
        <v>70</v>
      </c>
      <c r="C11" s="557" t="s">
        <v>8</v>
      </c>
      <c r="D11" s="149">
        <f t="shared" ref="D11:D65" si="1">E11+I11+M11+N11+Q11</f>
        <v>0</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0</v>
      </c>
    </row>
    <row r="12" spans="1:17" x14ac:dyDescent="0.25">
      <c r="B12" s="558" t="s">
        <v>72</v>
      </c>
      <c r="C12" s="559"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x14ac:dyDescent="0.25">
      <c r="B13" s="558" t="s">
        <v>74</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x14ac:dyDescent="0.25">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x14ac:dyDescent="0.25">
      <c r="B15" s="556" t="s">
        <v>76</v>
      </c>
      <c r="C15" s="560" t="s">
        <v>15</v>
      </c>
      <c r="D15" s="149">
        <f t="shared" si="1"/>
        <v>4200.7431802815026</v>
      </c>
      <c r="E15" s="150">
        <f t="shared" si="2"/>
        <v>1852.4103647808861</v>
      </c>
      <c r="F15" s="151">
        <f>SUM(F16:F21)</f>
        <v>173.04280767114878</v>
      </c>
      <c r="G15" s="152">
        <f>SUM(G16:G21)</f>
        <v>477.36143169139228</v>
      </c>
      <c r="H15" s="493">
        <f>SUM(H16:H21)</f>
        <v>1202.0061254183452</v>
      </c>
      <c r="I15" s="150">
        <f t="shared" si="3"/>
        <v>1755.6981062996981</v>
      </c>
      <c r="J15" s="347">
        <f>SUM(J16:J21)</f>
        <v>1254.8245496398815</v>
      </c>
      <c r="K15" s="348">
        <f>SUM(K16:K21)</f>
        <v>471.0910419474435</v>
      </c>
      <c r="L15" s="561">
        <f>SUM(L16:L21)</f>
        <v>29.782514712373025</v>
      </c>
      <c r="M15" s="346">
        <f>SUM(M16:M21)</f>
        <v>162.0261705190793</v>
      </c>
      <c r="N15" s="154">
        <f t="shared" si="5"/>
        <v>15.725511549614492</v>
      </c>
      <c r="O15" s="348">
        <f>SUM(O16:O21)</f>
        <v>15.725511549614492</v>
      </c>
      <c r="P15" s="348">
        <f>SUM(P16:P21)</f>
        <v>0</v>
      </c>
      <c r="Q15" s="150">
        <f>SUM(Q16:Q21)</f>
        <v>414.88302713222407</v>
      </c>
    </row>
    <row r="16" spans="1:17" x14ac:dyDescent="0.25">
      <c r="B16" s="558" t="s">
        <v>78</v>
      </c>
      <c r="C16" s="559" t="s">
        <v>17</v>
      </c>
      <c r="D16" s="149">
        <f t="shared" si="1"/>
        <v>1279.3186778246613</v>
      </c>
      <c r="E16" s="150">
        <f t="shared" si="2"/>
        <v>592.08963818755853</v>
      </c>
      <c r="F16" s="378">
        <f t="shared" ref="F16:H18" si="9">SUM(F44,F72,F122)</f>
        <v>86.859947671148788</v>
      </c>
      <c r="G16" s="379">
        <f t="shared" si="9"/>
        <v>434.27989125954525</v>
      </c>
      <c r="H16" s="379">
        <f t="shared" si="9"/>
        <v>70.949799256864523</v>
      </c>
      <c r="I16" s="150">
        <f t="shared" si="3"/>
        <v>293.00283043618487</v>
      </c>
      <c r="J16" s="220">
        <f t="shared" ref="J16:M20" si="10">SUM(J44,J72,J122)</f>
        <v>173.25067082763968</v>
      </c>
      <c r="K16" s="221">
        <f t="shared" si="10"/>
        <v>97.471776077292787</v>
      </c>
      <c r="L16" s="361">
        <f t="shared" si="10"/>
        <v>22.280383531252433</v>
      </c>
      <c r="M16" s="217">
        <f t="shared" si="10"/>
        <v>9.0616805190793119</v>
      </c>
      <c r="N16" s="154">
        <f t="shared" si="5"/>
        <v>15.725511549614492</v>
      </c>
      <c r="O16" s="221">
        <f t="shared" ref="O16:Q17" si="11">SUM(O44,O72,O122)</f>
        <v>15.725511549614492</v>
      </c>
      <c r="P16" s="221">
        <f t="shared" si="11"/>
        <v>0</v>
      </c>
      <c r="Q16" s="324">
        <f t="shared" si="11"/>
        <v>369.43901713222408</v>
      </c>
    </row>
    <row r="17" spans="2:17" x14ac:dyDescent="0.25">
      <c r="B17" s="558" t="s">
        <v>86</v>
      </c>
      <c r="C17" s="559" t="s">
        <v>598</v>
      </c>
      <c r="D17" s="149">
        <f t="shared" si="1"/>
        <v>24.634416475054987</v>
      </c>
      <c r="E17" s="150">
        <f t="shared" si="2"/>
        <v>7.9657686325514128</v>
      </c>
      <c r="F17" s="378">
        <f t="shared" si="9"/>
        <v>3.3534199999999994</v>
      </c>
      <c r="G17" s="379">
        <f t="shared" si="9"/>
        <v>4.6123486325514138</v>
      </c>
      <c r="H17" s="379">
        <f t="shared" si="9"/>
        <v>0</v>
      </c>
      <c r="I17" s="150">
        <f t="shared" si="3"/>
        <v>16.220137842503576</v>
      </c>
      <c r="J17" s="220">
        <f t="shared" si="10"/>
        <v>2.3211399999999998</v>
      </c>
      <c r="K17" s="221">
        <f t="shared" si="10"/>
        <v>11.697695508577162</v>
      </c>
      <c r="L17" s="361">
        <f t="shared" si="10"/>
        <v>2.2013023339264128</v>
      </c>
      <c r="M17" s="217">
        <f t="shared" si="10"/>
        <v>0</v>
      </c>
      <c r="N17" s="154">
        <f t="shared" si="5"/>
        <v>0</v>
      </c>
      <c r="O17" s="221">
        <f t="shared" si="11"/>
        <v>0</v>
      </c>
      <c r="P17" s="221">
        <f t="shared" si="11"/>
        <v>0</v>
      </c>
      <c r="Q17" s="324">
        <f t="shared" si="11"/>
        <v>0.44850999999999996</v>
      </c>
    </row>
    <row r="18" spans="2:17" x14ac:dyDescent="0.25">
      <c r="B18" s="558" t="s">
        <v>96</v>
      </c>
      <c r="C18" s="559" t="s">
        <v>23</v>
      </c>
      <c r="D18" s="149">
        <f t="shared" si="1"/>
        <v>2148.4014701783849</v>
      </c>
      <c r="E18" s="150">
        <f t="shared" si="2"/>
        <v>1051.0952161614807</v>
      </c>
      <c r="F18" s="378">
        <f t="shared" si="9"/>
        <v>2.6338000000000004</v>
      </c>
      <c r="G18" s="379">
        <f t="shared" si="9"/>
        <v>0</v>
      </c>
      <c r="H18" s="379">
        <f t="shared" si="9"/>
        <v>1048.4614161614807</v>
      </c>
      <c r="I18" s="150">
        <f t="shared" si="3"/>
        <v>906.35758401690441</v>
      </c>
      <c r="J18" s="220">
        <f t="shared" si="10"/>
        <v>906.35758401690441</v>
      </c>
      <c r="K18" s="221">
        <f t="shared" si="10"/>
        <v>0</v>
      </c>
      <c r="L18" s="361">
        <f t="shared" si="10"/>
        <v>0</v>
      </c>
      <c r="M18" s="217">
        <f t="shared" si="10"/>
        <v>152.96448999999998</v>
      </c>
      <c r="N18" s="154">
        <f t="shared" si="5"/>
        <v>0</v>
      </c>
      <c r="O18" s="221">
        <f t="shared" ref="O18:P18" si="12">SUM(O46,O74,O124)</f>
        <v>0</v>
      </c>
      <c r="P18" s="221">
        <f t="shared" si="12"/>
        <v>0</v>
      </c>
      <c r="Q18" s="324">
        <f>SUM(Q46,Q74,Q124)</f>
        <v>37.984180000000002</v>
      </c>
    </row>
    <row r="19" spans="2:17" x14ac:dyDescent="0.25">
      <c r="B19" s="558" t="s">
        <v>599</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x14ac:dyDescent="0.25">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9.6" x14ac:dyDescent="0.25">
      <c r="B21" s="558" t="s">
        <v>601</v>
      </c>
      <c r="C21" s="559" t="s">
        <v>602</v>
      </c>
      <c r="D21" s="149">
        <f t="shared" si="1"/>
        <v>748.38861580340085</v>
      </c>
      <c r="E21" s="150">
        <f t="shared" si="2"/>
        <v>201.25974179929563</v>
      </c>
      <c r="F21" s="378">
        <f t="shared" ref="F21:H21" si="15">SUM(F49,F77,F127)</f>
        <v>80.195639999999997</v>
      </c>
      <c r="G21" s="379">
        <f t="shared" si="15"/>
        <v>38.469191799295622</v>
      </c>
      <c r="H21" s="379">
        <f t="shared" si="15"/>
        <v>82.594909999999985</v>
      </c>
      <c r="I21" s="150">
        <f t="shared" si="3"/>
        <v>540.11755400410527</v>
      </c>
      <c r="J21" s="220">
        <f t="shared" ref="J21:Q21" si="16">SUM(J49,J77,J127)</f>
        <v>172.89515479533756</v>
      </c>
      <c r="K21" s="221">
        <f t="shared" si="16"/>
        <v>361.92157036157352</v>
      </c>
      <c r="L21" s="361">
        <f t="shared" si="16"/>
        <v>5.300828847194178</v>
      </c>
      <c r="M21" s="217">
        <f t="shared" si="16"/>
        <v>0</v>
      </c>
      <c r="N21" s="154">
        <f t="shared" si="5"/>
        <v>0</v>
      </c>
      <c r="O21" s="221">
        <f t="shared" si="16"/>
        <v>0</v>
      </c>
      <c r="P21" s="221">
        <f t="shared" si="16"/>
        <v>0</v>
      </c>
      <c r="Q21" s="324">
        <f t="shared" si="16"/>
        <v>7.0113200000000004</v>
      </c>
    </row>
    <row r="22" spans="2:17" x14ac:dyDescent="0.25">
      <c r="B22" s="556" t="s">
        <v>104</v>
      </c>
      <c r="C22" s="562" t="s">
        <v>31</v>
      </c>
      <c r="D22" s="149">
        <f t="shared" si="1"/>
        <v>158.02181584962221</v>
      </c>
      <c r="E22" s="150">
        <f t="shared" si="2"/>
        <v>111.84621711780456</v>
      </c>
      <c r="F22" s="151">
        <f>SUM(F23:F24)</f>
        <v>3.674560160446851</v>
      </c>
      <c r="G22" s="152">
        <f>SUM(G23:G24)</f>
        <v>94.148958404455584</v>
      </c>
      <c r="H22" s="493">
        <f>SUM(H23:H24)</f>
        <v>14.02269855290213</v>
      </c>
      <c r="I22" s="150">
        <f t="shared" si="3"/>
        <v>43.993228963692374</v>
      </c>
      <c r="J22" s="347">
        <f t="shared" ref="J22:Q22" si="17">SUM(J23:J24)</f>
        <v>21.110277758349529</v>
      </c>
      <c r="K22" s="348">
        <f t="shared" si="17"/>
        <v>20.686899031114965</v>
      </c>
      <c r="L22" s="561">
        <f t="shared" si="17"/>
        <v>2.1960521742278805</v>
      </c>
      <c r="M22" s="346">
        <f t="shared" si="17"/>
        <v>0.36604387809660122</v>
      </c>
      <c r="N22" s="154">
        <f t="shared" si="5"/>
        <v>1.0552092695195339</v>
      </c>
      <c r="O22" s="348">
        <f t="shared" si="17"/>
        <v>1.0552092695195339</v>
      </c>
      <c r="P22" s="348">
        <f t="shared" si="17"/>
        <v>0</v>
      </c>
      <c r="Q22" s="150">
        <f t="shared" si="17"/>
        <v>0.76111662050915085</v>
      </c>
    </row>
    <row r="23" spans="2:17" ht="52.8" x14ac:dyDescent="0.25">
      <c r="B23" s="558" t="s">
        <v>106</v>
      </c>
      <c r="C23" s="563" t="s">
        <v>33</v>
      </c>
      <c r="D23" s="149">
        <f t="shared" si="1"/>
        <v>155.78850584962223</v>
      </c>
      <c r="E23" s="150">
        <f t="shared" si="2"/>
        <v>111.84621711780456</v>
      </c>
      <c r="F23" s="378">
        <f t="shared" ref="F23:H23" si="18">SUM(F51,F79,F129)</f>
        <v>3.674560160446851</v>
      </c>
      <c r="G23" s="379">
        <f t="shared" si="18"/>
        <v>94.148958404455584</v>
      </c>
      <c r="H23" s="379">
        <f t="shared" si="18"/>
        <v>14.02269855290213</v>
      </c>
      <c r="I23" s="150">
        <f t="shared" si="3"/>
        <v>41.759918963692378</v>
      </c>
      <c r="J23" s="220">
        <f t="shared" ref="J23:Q23" si="19">SUM(J51,J79,J129)</f>
        <v>18.876967758349529</v>
      </c>
      <c r="K23" s="221">
        <f t="shared" si="19"/>
        <v>20.686899031114965</v>
      </c>
      <c r="L23" s="361">
        <f t="shared" si="19"/>
        <v>2.1960521742278805</v>
      </c>
      <c r="M23" s="217">
        <f t="shared" si="19"/>
        <v>0.36604387809660122</v>
      </c>
      <c r="N23" s="154">
        <f t="shared" si="5"/>
        <v>1.0552092695195339</v>
      </c>
      <c r="O23" s="221">
        <f t="shared" si="19"/>
        <v>1.0552092695195339</v>
      </c>
      <c r="P23" s="221">
        <f t="shared" si="19"/>
        <v>0</v>
      </c>
      <c r="Q23" s="324">
        <f t="shared" si="19"/>
        <v>0.76111662050915085</v>
      </c>
    </row>
    <row r="24" spans="2:17" x14ac:dyDescent="0.25">
      <c r="B24" s="558" t="s">
        <v>108</v>
      </c>
      <c r="C24" s="563" t="s">
        <v>35</v>
      </c>
      <c r="D24" s="149">
        <f t="shared" si="1"/>
        <v>2.2333099999999999</v>
      </c>
      <c r="E24" s="150">
        <f t="shared" si="2"/>
        <v>0</v>
      </c>
      <c r="F24" s="378">
        <f t="shared" ref="F24:H24" si="20">SUM(F52,F80)</f>
        <v>0</v>
      </c>
      <c r="G24" s="379">
        <f t="shared" si="20"/>
        <v>0</v>
      </c>
      <c r="H24" s="379">
        <f t="shared" si="20"/>
        <v>0</v>
      </c>
      <c r="I24" s="150">
        <f t="shared" si="3"/>
        <v>2.2333099999999999</v>
      </c>
      <c r="J24" s="220">
        <f t="shared" ref="J24:Q24" si="21">SUM(J52,J80)</f>
        <v>2.2333099999999999</v>
      </c>
      <c r="K24" s="221">
        <f t="shared" si="21"/>
        <v>0</v>
      </c>
      <c r="L24" s="361">
        <f t="shared" si="21"/>
        <v>0</v>
      </c>
      <c r="M24" s="217">
        <f t="shared" si="21"/>
        <v>0</v>
      </c>
      <c r="N24" s="154">
        <f t="shared" si="5"/>
        <v>0</v>
      </c>
      <c r="O24" s="221">
        <f t="shared" si="21"/>
        <v>0</v>
      </c>
      <c r="P24" s="221">
        <f t="shared" si="21"/>
        <v>0</v>
      </c>
      <c r="Q24" s="324">
        <f t="shared" si="21"/>
        <v>0</v>
      </c>
    </row>
    <row r="25" spans="2:17" x14ac:dyDescent="0.25">
      <c r="B25" s="556" t="s">
        <v>264</v>
      </c>
      <c r="C25" s="562" t="s">
        <v>37</v>
      </c>
      <c r="D25" s="149">
        <f t="shared" si="1"/>
        <v>268.06203142172603</v>
      </c>
      <c r="E25" s="150">
        <f t="shared" si="2"/>
        <v>8.7011835813894773</v>
      </c>
      <c r="F25" s="151">
        <f>SUM(F26:F30)</f>
        <v>1.4089756975763428</v>
      </c>
      <c r="G25" s="152">
        <f>SUM(G26:G30)</f>
        <v>0.39837809313344968</v>
      </c>
      <c r="H25" s="493">
        <f>SUM(H26:H30)</f>
        <v>6.8938297906796846</v>
      </c>
      <c r="I25" s="150">
        <f t="shared" si="3"/>
        <v>11.940728667775142</v>
      </c>
      <c r="J25" s="347">
        <f t="shared" ref="J25:Q25" si="22">SUM(J26:J30)</f>
        <v>2.37279472787265</v>
      </c>
      <c r="K25" s="348">
        <f t="shared" si="22"/>
        <v>9.3823855992155565</v>
      </c>
      <c r="L25" s="561">
        <f t="shared" si="22"/>
        <v>0.18554834068693499</v>
      </c>
      <c r="M25" s="346">
        <f t="shared" si="22"/>
        <v>7.7610178484471909E-2</v>
      </c>
      <c r="N25" s="154">
        <f t="shared" si="5"/>
        <v>247.13798480381931</v>
      </c>
      <c r="O25" s="348">
        <f t="shared" si="22"/>
        <v>247.13798480381931</v>
      </c>
      <c r="P25" s="348">
        <f t="shared" si="22"/>
        <v>0</v>
      </c>
      <c r="Q25" s="150">
        <f t="shared" si="22"/>
        <v>0.20452419025763799</v>
      </c>
    </row>
    <row r="26" spans="2:17" x14ac:dyDescent="0.25">
      <c r="B26" s="558" t="s">
        <v>603</v>
      </c>
      <c r="C26" s="563" t="s">
        <v>39</v>
      </c>
      <c r="D26" s="149">
        <f t="shared" si="1"/>
        <v>246.74520000000007</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246.74520000000007</v>
      </c>
      <c r="O26" s="482">
        <f>SUM(O54,O82,O131)</f>
        <v>246.74520000000007</v>
      </c>
      <c r="P26" s="482">
        <f>SUM(P54,P82,P131)</f>
        <v>0</v>
      </c>
      <c r="Q26" s="321">
        <f>SUM(Q54,Q82,Q131)</f>
        <v>0</v>
      </c>
    </row>
    <row r="27" spans="2:17" x14ac:dyDescent="0.25">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x14ac:dyDescent="0.25">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4" x14ac:dyDescent="0.25">
      <c r="B29" s="558" t="s">
        <v>606</v>
      </c>
      <c r="C29" s="567" t="s">
        <v>47</v>
      </c>
      <c r="D29" s="149">
        <f t="shared" si="23"/>
        <v>1.5105114217259552</v>
      </c>
      <c r="E29" s="147">
        <f t="shared" si="24"/>
        <v>1.5105114217259552</v>
      </c>
      <c r="F29" s="564">
        <f>SUM(F57,F85,F134)</f>
        <v>0.91174999999999995</v>
      </c>
      <c r="G29" s="565">
        <f t="shared" si="25"/>
        <v>0.1532014217259553</v>
      </c>
      <c r="H29" s="568">
        <f>SUM(H57,H85,H134)</f>
        <v>0.44556000000000001</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4" x14ac:dyDescent="0.25">
      <c r="B30" s="558" t="s">
        <v>607</v>
      </c>
      <c r="C30" s="569" t="s">
        <v>608</v>
      </c>
      <c r="D30" s="149">
        <f t="shared" si="1"/>
        <v>19.806319999999999</v>
      </c>
      <c r="E30" s="147">
        <f t="shared" si="2"/>
        <v>7.1906721596635217</v>
      </c>
      <c r="F30" s="564">
        <f t="shared" ref="F30:H30" si="30">SUM(F58,F86,F135)</f>
        <v>0.49722569757634283</v>
      </c>
      <c r="G30" s="565">
        <f t="shared" si="30"/>
        <v>0.24517667140749438</v>
      </c>
      <c r="H30" s="565">
        <f t="shared" si="30"/>
        <v>6.4482697906796842</v>
      </c>
      <c r="I30" s="147">
        <f t="shared" si="3"/>
        <v>11.940728667775142</v>
      </c>
      <c r="J30" s="481">
        <f t="shared" ref="J30:Q30" si="31">SUM(J58,J86,J135)</f>
        <v>2.37279472787265</v>
      </c>
      <c r="K30" s="482">
        <f t="shared" si="31"/>
        <v>9.3823855992155565</v>
      </c>
      <c r="L30" s="484">
        <f t="shared" si="31"/>
        <v>0.18554834068693499</v>
      </c>
      <c r="M30" s="332">
        <f t="shared" si="31"/>
        <v>7.7610178484471909E-2</v>
      </c>
      <c r="N30" s="566">
        <f t="shared" si="5"/>
        <v>0.39278480381922698</v>
      </c>
      <c r="O30" s="482">
        <f t="shared" ref="O30:P30" si="32">SUM(O58,O86,O135)</f>
        <v>0.39278480381922698</v>
      </c>
      <c r="P30" s="482">
        <f t="shared" si="32"/>
        <v>0</v>
      </c>
      <c r="Q30" s="321">
        <f t="shared" si="31"/>
        <v>0.20452419025763799</v>
      </c>
    </row>
    <row r="31" spans="2:17" x14ac:dyDescent="0.25">
      <c r="B31" s="556" t="s">
        <v>266</v>
      </c>
      <c r="C31" s="570" t="s">
        <v>53</v>
      </c>
      <c r="D31" s="350">
        <f t="shared" si="1"/>
        <v>114.58715000000001</v>
      </c>
      <c r="E31" s="571">
        <f t="shared" si="2"/>
        <v>18.794632769221423</v>
      </c>
      <c r="F31" s="572">
        <f>SUM(F32:F33)</f>
        <v>0.77936661027078957</v>
      </c>
      <c r="G31" s="573">
        <f>SUM(G32:G33)</f>
        <v>5.5683703030436469</v>
      </c>
      <c r="H31" s="574">
        <f>SUM(H32:H33)</f>
        <v>12.446895855906988</v>
      </c>
      <c r="I31" s="571">
        <f t="shared" si="3"/>
        <v>43.18665401376586</v>
      </c>
      <c r="J31" s="572">
        <f t="shared" ref="J31:Q31" si="33">SUM(J32:J33)</f>
        <v>20.454913772120669</v>
      </c>
      <c r="K31" s="573">
        <f t="shared" si="33"/>
        <v>18.517628580332492</v>
      </c>
      <c r="L31" s="574">
        <f t="shared" si="33"/>
        <v>4.2141116613126997</v>
      </c>
      <c r="M31" s="571">
        <f t="shared" si="33"/>
        <v>11.737656335147717</v>
      </c>
      <c r="N31" s="575">
        <f t="shared" si="5"/>
        <v>1.1624920915921466</v>
      </c>
      <c r="O31" s="573">
        <f t="shared" si="33"/>
        <v>1.1624920915921466</v>
      </c>
      <c r="P31" s="573">
        <f t="shared" si="33"/>
        <v>0</v>
      </c>
      <c r="Q31" s="571">
        <f t="shared" si="33"/>
        <v>39.705714790272872</v>
      </c>
    </row>
    <row r="32" spans="2:17" x14ac:dyDescent="0.25">
      <c r="B32" s="576" t="s">
        <v>268</v>
      </c>
      <c r="C32" s="577" t="s">
        <v>55</v>
      </c>
      <c r="D32" s="311">
        <f t="shared" si="1"/>
        <v>13.988350000000001</v>
      </c>
      <c r="E32" s="309">
        <f t="shared" si="2"/>
        <v>3.7800166164210145</v>
      </c>
      <c r="F32" s="578">
        <f t="shared" ref="F32:H33" si="34">SUM(F60,F88,F137)</f>
        <v>0.15674787442145621</v>
      </c>
      <c r="G32" s="579">
        <f t="shared" si="34"/>
        <v>1.1199225082152138</v>
      </c>
      <c r="H32" s="579">
        <f t="shared" si="34"/>
        <v>2.5033462337843444</v>
      </c>
      <c r="I32" s="309">
        <f t="shared" si="3"/>
        <v>8.6857919377385517</v>
      </c>
      <c r="J32" s="481">
        <f t="shared" ref="J32:M33" si="35">SUM(J60,J88,J137)</f>
        <v>4.1139358717716616</v>
      </c>
      <c r="K32" s="482">
        <f t="shared" si="35"/>
        <v>3.7243049433239417</v>
      </c>
      <c r="L32" s="484">
        <f t="shared" si="35"/>
        <v>0.84755112264294885</v>
      </c>
      <c r="M32" s="332">
        <f t="shared" si="35"/>
        <v>0.35450920045692141</v>
      </c>
      <c r="N32" s="580">
        <f t="shared" si="5"/>
        <v>0.23380288812412736</v>
      </c>
      <c r="O32" s="482">
        <f t="shared" ref="O32:Q33" si="36">SUM(O60,O88,O137)</f>
        <v>0.23380288812412736</v>
      </c>
      <c r="P32" s="482">
        <f t="shared" si="36"/>
        <v>0</v>
      </c>
      <c r="Q32" s="334">
        <f t="shared" si="36"/>
        <v>0.93422935725938738</v>
      </c>
    </row>
    <row r="33" spans="2:17" ht="26.4" x14ac:dyDescent="0.25">
      <c r="B33" s="576" t="s">
        <v>270</v>
      </c>
      <c r="C33" s="581" t="s">
        <v>57</v>
      </c>
      <c r="D33" s="350">
        <f t="shared" si="1"/>
        <v>100.59880000000001</v>
      </c>
      <c r="E33" s="571">
        <f t="shared" si="2"/>
        <v>15.014616152800411</v>
      </c>
      <c r="F33" s="481">
        <f t="shared" si="34"/>
        <v>0.62261873584933336</v>
      </c>
      <c r="G33" s="482">
        <f t="shared" si="34"/>
        <v>4.4484477948284331</v>
      </c>
      <c r="H33" s="482">
        <f t="shared" si="34"/>
        <v>9.943549622122644</v>
      </c>
      <c r="I33" s="571">
        <f t="shared" si="3"/>
        <v>34.500862076027303</v>
      </c>
      <c r="J33" s="481">
        <f t="shared" si="35"/>
        <v>16.340977900349007</v>
      </c>
      <c r="K33" s="482">
        <f t="shared" si="35"/>
        <v>14.793323637008548</v>
      </c>
      <c r="L33" s="484">
        <f t="shared" si="35"/>
        <v>3.3665605386697508</v>
      </c>
      <c r="M33" s="332">
        <f t="shared" si="35"/>
        <v>11.383147134690796</v>
      </c>
      <c r="N33" s="575">
        <f t="shared" si="5"/>
        <v>0.92868920346801931</v>
      </c>
      <c r="O33" s="482">
        <f t="shared" si="36"/>
        <v>0.92868920346801931</v>
      </c>
      <c r="P33" s="482">
        <f t="shared" si="36"/>
        <v>0</v>
      </c>
      <c r="Q33" s="332">
        <f t="shared" si="36"/>
        <v>38.771485433013481</v>
      </c>
    </row>
    <row r="34" spans="2:17" x14ac:dyDescent="0.25">
      <c r="B34" s="582" t="s">
        <v>274</v>
      </c>
      <c r="C34" s="583" t="s">
        <v>609</v>
      </c>
      <c r="D34" s="350">
        <f t="shared" si="1"/>
        <v>0</v>
      </c>
      <c r="E34" s="571">
        <f t="shared" si="2"/>
        <v>0</v>
      </c>
      <c r="F34" s="572">
        <f>SUM(F35:F37)</f>
        <v>0</v>
      </c>
      <c r="G34" s="573">
        <f>SUM(G35:G37)</f>
        <v>0</v>
      </c>
      <c r="H34" s="574">
        <f>SUM(H35:H37)</f>
        <v>0</v>
      </c>
      <c r="I34" s="571">
        <f t="shared" si="3"/>
        <v>0</v>
      </c>
      <c r="J34" s="572">
        <f t="shared" ref="J34:Q34" si="37">SUM(J35:J37)</f>
        <v>0</v>
      </c>
      <c r="K34" s="573">
        <f t="shared" si="37"/>
        <v>0</v>
      </c>
      <c r="L34" s="574">
        <f t="shared" si="37"/>
        <v>0</v>
      </c>
      <c r="M34" s="571">
        <f t="shared" si="37"/>
        <v>0</v>
      </c>
      <c r="N34" s="575">
        <f t="shared" si="5"/>
        <v>0</v>
      </c>
      <c r="O34" s="573">
        <f t="shared" si="37"/>
        <v>0</v>
      </c>
      <c r="P34" s="573">
        <f t="shared" si="37"/>
        <v>0</v>
      </c>
      <c r="Q34" s="571">
        <f t="shared" si="37"/>
        <v>0</v>
      </c>
    </row>
    <row r="35" spans="2:17" x14ac:dyDescent="0.25">
      <c r="B35" s="584" t="s">
        <v>276</v>
      </c>
      <c r="C35" s="585" t="s">
        <v>1368</v>
      </c>
      <c r="D35" s="350">
        <f t="shared" si="1"/>
        <v>0</v>
      </c>
      <c r="E35" s="571">
        <f t="shared" si="2"/>
        <v>0</v>
      </c>
      <c r="F35" s="481">
        <f t="shared" ref="F35:H37" si="38">SUM(F63,F91,F140)</f>
        <v>0</v>
      </c>
      <c r="G35" s="482">
        <f t="shared" si="38"/>
        <v>0</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x14ac:dyDescent="0.25">
      <c r="B36" s="584" t="s">
        <v>610</v>
      </c>
      <c r="C36" s="585" t="s">
        <v>49</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x14ac:dyDescent="0.25">
      <c r="B37" s="586" t="s">
        <v>611</v>
      </c>
      <c r="C37" s="587" t="s">
        <v>1369</v>
      </c>
      <c r="D37" s="588">
        <f t="shared" si="1"/>
        <v>0</v>
      </c>
      <c r="E37" s="589">
        <f t="shared" si="2"/>
        <v>0</v>
      </c>
      <c r="F37" s="590">
        <f t="shared" si="38"/>
        <v>0</v>
      </c>
      <c r="G37" s="591">
        <f t="shared" si="38"/>
        <v>0</v>
      </c>
      <c r="H37" s="591">
        <f t="shared" si="38"/>
        <v>0</v>
      </c>
      <c r="I37" s="589">
        <f t="shared" si="3"/>
        <v>0</v>
      </c>
      <c r="J37" s="578">
        <f t="shared" si="39"/>
        <v>0</v>
      </c>
      <c r="K37" s="579">
        <f t="shared" si="39"/>
        <v>0</v>
      </c>
      <c r="L37" s="592">
        <f t="shared" si="39"/>
        <v>0</v>
      </c>
      <c r="M37" s="334">
        <f t="shared" si="39"/>
        <v>0</v>
      </c>
      <c r="N37" s="593">
        <f t="shared" si="5"/>
        <v>0</v>
      </c>
      <c r="O37" s="579">
        <f t="shared" si="40"/>
        <v>0</v>
      </c>
      <c r="P37" s="579">
        <f t="shared" si="40"/>
        <v>0</v>
      </c>
      <c r="Q37" s="594">
        <f t="shared" si="40"/>
        <v>0</v>
      </c>
    </row>
    <row r="38" spans="2:17" x14ac:dyDescent="0.25">
      <c r="B38" s="549" t="s">
        <v>109</v>
      </c>
      <c r="C38" s="549" t="s">
        <v>612</v>
      </c>
      <c r="D38" s="139">
        <f t="shared" si="1"/>
        <v>4312.5858775528495</v>
      </c>
      <c r="E38" s="550">
        <f t="shared" ref="E38:Q38" si="41">E39+E43+E50+E53+E59+E62</f>
        <v>1874.7281159471977</v>
      </c>
      <c r="F38" s="551">
        <f t="shared" si="41"/>
        <v>171.77856000000003</v>
      </c>
      <c r="G38" s="552">
        <f t="shared" si="41"/>
        <v>541.68893978571714</v>
      </c>
      <c r="H38" s="553">
        <f t="shared" si="41"/>
        <v>1161.2606161614808</v>
      </c>
      <c r="I38" s="550">
        <f t="shared" si="41"/>
        <v>1599.3298116056524</v>
      </c>
      <c r="J38" s="551">
        <f t="shared" si="41"/>
        <v>1184.3065403731489</v>
      </c>
      <c r="K38" s="552">
        <f t="shared" si="41"/>
        <v>405.88894925506941</v>
      </c>
      <c r="L38" s="553">
        <f t="shared" si="41"/>
        <v>9.1343219774342561</v>
      </c>
      <c r="M38" s="550">
        <f t="shared" si="41"/>
        <v>162.93948999999998</v>
      </c>
      <c r="N38" s="554">
        <f t="shared" si="41"/>
        <v>247.08680000000007</v>
      </c>
      <c r="O38" s="552">
        <f t="shared" si="41"/>
        <v>247.08680000000007</v>
      </c>
      <c r="P38" s="552">
        <f t="shared" si="41"/>
        <v>0</v>
      </c>
      <c r="Q38" s="550">
        <f t="shared" si="41"/>
        <v>428.50166000000002</v>
      </c>
    </row>
    <row r="39" spans="2:17" x14ac:dyDescent="0.25">
      <c r="B39" s="556" t="s">
        <v>111</v>
      </c>
      <c r="C39" s="557"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x14ac:dyDescent="0.25">
      <c r="B40" s="558" t="s">
        <v>113</v>
      </c>
      <c r="C40" s="559" t="s">
        <v>10</v>
      </c>
      <c r="D40" s="149">
        <f t="shared" si="1"/>
        <v>0</v>
      </c>
      <c r="E40" s="150">
        <f t="shared" si="42"/>
        <v>0</v>
      </c>
      <c r="F40" s="325">
        <v>0</v>
      </c>
      <c r="G40" s="326">
        <v>0</v>
      </c>
      <c r="H40" s="595">
        <v>0</v>
      </c>
      <c r="I40" s="150">
        <f t="shared" si="43"/>
        <v>0</v>
      </c>
      <c r="J40" s="325">
        <v>0</v>
      </c>
      <c r="K40" s="326">
        <v>0</v>
      </c>
      <c r="L40" s="595">
        <v>0</v>
      </c>
      <c r="M40" s="331">
        <v>0</v>
      </c>
      <c r="N40" s="154">
        <f t="shared" si="45"/>
        <v>0</v>
      </c>
      <c r="O40" s="326">
        <v>0</v>
      </c>
      <c r="P40" s="327">
        <v>0</v>
      </c>
      <c r="Q40" s="253">
        <v>0</v>
      </c>
    </row>
    <row r="41" spans="2:17" x14ac:dyDescent="0.25">
      <c r="B41" s="558" t="s">
        <v>115</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x14ac:dyDescent="0.25">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x14ac:dyDescent="0.25">
      <c r="B43" s="556" t="s">
        <v>120</v>
      </c>
      <c r="C43" s="560" t="s">
        <v>15</v>
      </c>
      <c r="D43" s="149">
        <f t="shared" si="1"/>
        <v>3857.7559102815017</v>
      </c>
      <c r="E43" s="150">
        <f t="shared" si="42"/>
        <v>1758.6706786758496</v>
      </c>
      <c r="F43" s="151">
        <f>SUM(F44:F49)</f>
        <v>167.05644000000001</v>
      </c>
      <c r="G43" s="152">
        <f>SUM(G44:G49)</f>
        <v>448.55791251436892</v>
      </c>
      <c r="H43" s="493">
        <f>SUM(H44:H49)</f>
        <v>1143.0563261614807</v>
      </c>
      <c r="I43" s="150">
        <f t="shared" si="43"/>
        <v>1552.6797116056525</v>
      </c>
      <c r="J43" s="151">
        <f t="shared" ref="J43:Q43" si="46">SUM(J44:J49)</f>
        <v>1164.7157603731489</v>
      </c>
      <c r="K43" s="152">
        <f t="shared" si="46"/>
        <v>380.12707925506942</v>
      </c>
      <c r="L43" s="493">
        <f t="shared" si="46"/>
        <v>7.8368719774342557</v>
      </c>
      <c r="M43" s="150">
        <f t="shared" si="46"/>
        <v>152.96448999999998</v>
      </c>
      <c r="N43" s="154">
        <f t="shared" si="45"/>
        <v>0</v>
      </c>
      <c r="O43" s="152">
        <f t="shared" si="46"/>
        <v>0</v>
      </c>
      <c r="P43" s="153">
        <f t="shared" si="46"/>
        <v>0</v>
      </c>
      <c r="Q43" s="150">
        <f t="shared" si="46"/>
        <v>393.44103000000001</v>
      </c>
    </row>
    <row r="44" spans="2:17" x14ac:dyDescent="0.25">
      <c r="B44" s="558" t="s">
        <v>122</v>
      </c>
      <c r="C44" s="559" t="s">
        <v>17</v>
      </c>
      <c r="D44" s="149">
        <f t="shared" si="1"/>
        <v>936.33140782466126</v>
      </c>
      <c r="E44" s="150">
        <f t="shared" si="42"/>
        <v>498.3499520825219</v>
      </c>
      <c r="F44" s="325">
        <v>80.873580000000004</v>
      </c>
      <c r="G44" s="326">
        <v>405.47637208252189</v>
      </c>
      <c r="H44" s="595">
        <v>12</v>
      </c>
      <c r="I44" s="150">
        <f t="shared" si="43"/>
        <v>89.984435742139382</v>
      </c>
      <c r="J44" s="325">
        <v>83.141881560906967</v>
      </c>
      <c r="K44" s="326">
        <v>6.5078133849187543</v>
      </c>
      <c r="L44" s="595">
        <v>0.33474079631366477</v>
      </c>
      <c r="M44" s="331">
        <v>0</v>
      </c>
      <c r="N44" s="154">
        <f t="shared" si="45"/>
        <v>0</v>
      </c>
      <c r="O44" s="326">
        <v>0</v>
      </c>
      <c r="P44" s="327">
        <v>0</v>
      </c>
      <c r="Q44" s="253">
        <v>347.99702000000002</v>
      </c>
    </row>
    <row r="45" spans="2:17" x14ac:dyDescent="0.25">
      <c r="B45" s="558" t="s">
        <v>124</v>
      </c>
      <c r="C45" s="559" t="s">
        <v>598</v>
      </c>
      <c r="D45" s="149">
        <f t="shared" si="1"/>
        <v>24.634416475054987</v>
      </c>
      <c r="E45" s="150">
        <f t="shared" si="42"/>
        <v>7.9657686325514128</v>
      </c>
      <c r="F45" s="325">
        <v>3.3534199999999994</v>
      </c>
      <c r="G45" s="326">
        <v>4.6123486325514138</v>
      </c>
      <c r="H45" s="595">
        <v>0</v>
      </c>
      <c r="I45" s="150">
        <f t="shared" si="43"/>
        <v>16.220137842503576</v>
      </c>
      <c r="J45" s="325">
        <v>2.3211399999999998</v>
      </c>
      <c r="K45" s="326">
        <v>11.697695508577162</v>
      </c>
      <c r="L45" s="595">
        <v>2.2013023339264128</v>
      </c>
      <c r="M45" s="331">
        <v>0</v>
      </c>
      <c r="N45" s="154">
        <f t="shared" si="45"/>
        <v>0</v>
      </c>
      <c r="O45" s="326">
        <v>0</v>
      </c>
      <c r="P45" s="327">
        <v>0</v>
      </c>
      <c r="Q45" s="253">
        <v>0.44850999999999996</v>
      </c>
    </row>
    <row r="46" spans="2:17" x14ac:dyDescent="0.25">
      <c r="B46" s="558" t="s">
        <v>125</v>
      </c>
      <c r="C46" s="559" t="s">
        <v>23</v>
      </c>
      <c r="D46" s="149">
        <f t="shared" si="1"/>
        <v>2148.4014701783849</v>
      </c>
      <c r="E46" s="150">
        <f t="shared" si="42"/>
        <v>1051.0952161614807</v>
      </c>
      <c r="F46" s="325">
        <v>2.6338000000000004</v>
      </c>
      <c r="G46" s="326">
        <v>0</v>
      </c>
      <c r="H46" s="595">
        <v>1048.4614161614807</v>
      </c>
      <c r="I46" s="150">
        <f t="shared" si="43"/>
        <v>906.35758401690441</v>
      </c>
      <c r="J46" s="325">
        <v>906.35758401690441</v>
      </c>
      <c r="K46" s="326">
        <v>0</v>
      </c>
      <c r="L46" s="595">
        <v>0</v>
      </c>
      <c r="M46" s="331">
        <v>152.96448999999998</v>
      </c>
      <c r="N46" s="154">
        <f t="shared" si="45"/>
        <v>0</v>
      </c>
      <c r="O46" s="326">
        <v>0</v>
      </c>
      <c r="P46" s="327">
        <v>0</v>
      </c>
      <c r="Q46" s="253">
        <v>37.984180000000002</v>
      </c>
    </row>
    <row r="47" spans="2:17" x14ac:dyDescent="0.25">
      <c r="B47" s="558" t="s">
        <v>613</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x14ac:dyDescent="0.25">
      <c r="B48" s="558" t="s">
        <v>614</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9.6" x14ac:dyDescent="0.25">
      <c r="B49" s="558" t="s">
        <v>615</v>
      </c>
      <c r="C49" s="559" t="s">
        <v>602</v>
      </c>
      <c r="D49" s="149">
        <f t="shared" si="1"/>
        <v>748.38861580340085</v>
      </c>
      <c r="E49" s="150">
        <f t="shared" si="42"/>
        <v>201.25974179929563</v>
      </c>
      <c r="F49" s="325">
        <v>80.195639999999997</v>
      </c>
      <c r="G49" s="326">
        <v>38.469191799295622</v>
      </c>
      <c r="H49" s="595">
        <v>82.594909999999985</v>
      </c>
      <c r="I49" s="150">
        <f t="shared" si="43"/>
        <v>540.11755400410527</v>
      </c>
      <c r="J49" s="325">
        <v>172.89515479533756</v>
      </c>
      <c r="K49" s="326">
        <v>361.92157036157352</v>
      </c>
      <c r="L49" s="595">
        <v>5.300828847194178</v>
      </c>
      <c r="M49" s="331">
        <v>0</v>
      </c>
      <c r="N49" s="154">
        <f t="shared" si="45"/>
        <v>0</v>
      </c>
      <c r="O49" s="326">
        <v>0</v>
      </c>
      <c r="P49" s="327">
        <v>0</v>
      </c>
      <c r="Q49" s="253">
        <v>7.0113200000000004</v>
      </c>
    </row>
    <row r="50" spans="2:17" x14ac:dyDescent="0.25">
      <c r="B50" s="556" t="s">
        <v>294</v>
      </c>
      <c r="C50" s="562" t="s">
        <v>31</v>
      </c>
      <c r="D50" s="149">
        <f t="shared" si="1"/>
        <v>144.79467584962225</v>
      </c>
      <c r="E50" s="150">
        <f t="shared" si="42"/>
        <v>108.18378584962224</v>
      </c>
      <c r="F50" s="151">
        <f>SUM(F51:F52)</f>
        <v>3.3474599999999994</v>
      </c>
      <c r="G50" s="152">
        <f>SUM(G51:G52)</f>
        <v>92.977825849622235</v>
      </c>
      <c r="H50" s="493">
        <f>SUM(H51:H52)</f>
        <v>11.858499999999999</v>
      </c>
      <c r="I50" s="150">
        <f t="shared" si="43"/>
        <v>36.610889999999998</v>
      </c>
      <c r="J50" s="151">
        <f t="shared" ref="J50:Q50" si="47">SUM(J51:J52)</f>
        <v>18.11862</v>
      </c>
      <c r="K50" s="152">
        <f t="shared" si="47"/>
        <v>17.19482</v>
      </c>
      <c r="L50" s="493">
        <f t="shared" si="47"/>
        <v>1.2974499999999998</v>
      </c>
      <c r="M50" s="150">
        <f t="shared" si="47"/>
        <v>0</v>
      </c>
      <c r="N50" s="154">
        <f t="shared" si="45"/>
        <v>0</v>
      </c>
      <c r="O50" s="152">
        <f t="shared" si="47"/>
        <v>0</v>
      </c>
      <c r="P50" s="153">
        <f t="shared" si="47"/>
        <v>0</v>
      </c>
      <c r="Q50" s="150">
        <f t="shared" si="47"/>
        <v>0</v>
      </c>
    </row>
    <row r="51" spans="2:17" ht="52.8" x14ac:dyDescent="0.25">
      <c r="B51" s="558" t="s">
        <v>296</v>
      </c>
      <c r="C51" s="563" t="s">
        <v>33</v>
      </c>
      <c r="D51" s="149">
        <f t="shared" si="1"/>
        <v>142.56136584962223</v>
      </c>
      <c r="E51" s="150">
        <f t="shared" si="42"/>
        <v>108.18378584962224</v>
      </c>
      <c r="F51" s="325">
        <v>3.3474599999999994</v>
      </c>
      <c r="G51" s="326">
        <v>92.977825849622235</v>
      </c>
      <c r="H51" s="595">
        <v>11.858499999999999</v>
      </c>
      <c r="I51" s="150">
        <f t="shared" si="43"/>
        <v>34.377579999999995</v>
      </c>
      <c r="J51" s="325">
        <v>15.885309999999999</v>
      </c>
      <c r="K51" s="326">
        <v>17.19482</v>
      </c>
      <c r="L51" s="595">
        <v>1.2974499999999998</v>
      </c>
      <c r="M51" s="331">
        <v>0</v>
      </c>
      <c r="N51" s="154">
        <f t="shared" si="45"/>
        <v>0</v>
      </c>
      <c r="O51" s="326">
        <v>0</v>
      </c>
      <c r="P51" s="327">
        <v>0</v>
      </c>
      <c r="Q51" s="253">
        <v>0</v>
      </c>
    </row>
    <row r="52" spans="2:17" x14ac:dyDescent="0.25">
      <c r="B52" s="558" t="s">
        <v>297</v>
      </c>
      <c r="C52" s="563" t="s">
        <v>35</v>
      </c>
      <c r="D52" s="149">
        <f t="shared" si="1"/>
        <v>2.2333099999999999</v>
      </c>
      <c r="E52" s="150">
        <f t="shared" si="42"/>
        <v>0</v>
      </c>
      <c r="F52" s="325">
        <v>0</v>
      </c>
      <c r="G52" s="326">
        <v>0</v>
      </c>
      <c r="H52" s="595">
        <v>0</v>
      </c>
      <c r="I52" s="150">
        <f t="shared" si="43"/>
        <v>2.2333099999999999</v>
      </c>
      <c r="J52" s="325">
        <v>2.2333099999999999</v>
      </c>
      <c r="K52" s="326">
        <v>0</v>
      </c>
      <c r="L52" s="595">
        <v>0</v>
      </c>
      <c r="M52" s="331">
        <v>0</v>
      </c>
      <c r="N52" s="154">
        <f t="shared" si="45"/>
        <v>0</v>
      </c>
      <c r="O52" s="326">
        <v>0</v>
      </c>
      <c r="P52" s="327">
        <v>0</v>
      </c>
      <c r="Q52" s="253">
        <v>0</v>
      </c>
    </row>
    <row r="53" spans="2:17" x14ac:dyDescent="0.25">
      <c r="B53" s="556" t="s">
        <v>299</v>
      </c>
      <c r="C53" s="562" t="s">
        <v>37</v>
      </c>
      <c r="D53" s="149">
        <f t="shared" si="1"/>
        <v>264.99966142172605</v>
      </c>
      <c r="E53" s="150">
        <f t="shared" si="42"/>
        <v>7.8736514217259552</v>
      </c>
      <c r="F53" s="151">
        <f>SUM(F54:F58)</f>
        <v>1.37466</v>
      </c>
      <c r="G53" s="152">
        <f>SUM(G54:G58)</f>
        <v>0.1532014217259553</v>
      </c>
      <c r="H53" s="493">
        <f>SUM(H54:H58)</f>
        <v>6.34579</v>
      </c>
      <c r="I53" s="150">
        <f t="shared" si="43"/>
        <v>10.039210000000001</v>
      </c>
      <c r="J53" s="151">
        <f t="shared" ref="J53:Q53" si="48">SUM(J54:J58)</f>
        <v>1.4721600000000001</v>
      </c>
      <c r="K53" s="152">
        <f t="shared" si="48"/>
        <v>8.5670500000000001</v>
      </c>
      <c r="L53" s="493">
        <f t="shared" si="48"/>
        <v>0</v>
      </c>
      <c r="M53" s="150">
        <f t="shared" si="48"/>
        <v>0</v>
      </c>
      <c r="N53" s="154">
        <f t="shared" si="45"/>
        <v>247.08680000000007</v>
      </c>
      <c r="O53" s="152">
        <f t="shared" si="48"/>
        <v>247.08680000000007</v>
      </c>
      <c r="P53" s="153">
        <f t="shared" si="48"/>
        <v>0</v>
      </c>
      <c r="Q53" s="150">
        <f t="shared" si="48"/>
        <v>0</v>
      </c>
    </row>
    <row r="54" spans="2:17" x14ac:dyDescent="0.25">
      <c r="B54" s="558" t="s">
        <v>300</v>
      </c>
      <c r="C54" s="563" t="s">
        <v>39</v>
      </c>
      <c r="D54" s="149">
        <f t="shared" si="1"/>
        <v>246.74520000000007</v>
      </c>
      <c r="E54" s="147">
        <f t="shared" si="42"/>
        <v>0</v>
      </c>
      <c r="F54" s="596">
        <v>0</v>
      </c>
      <c r="G54" s="597">
        <v>0</v>
      </c>
      <c r="H54" s="598">
        <v>0</v>
      </c>
      <c r="I54" s="147">
        <f t="shared" si="43"/>
        <v>0</v>
      </c>
      <c r="J54" s="596">
        <v>0</v>
      </c>
      <c r="K54" s="597">
        <v>0</v>
      </c>
      <c r="L54" s="598">
        <v>0</v>
      </c>
      <c r="M54" s="599">
        <v>0</v>
      </c>
      <c r="N54" s="566">
        <f t="shared" si="45"/>
        <v>246.74520000000007</v>
      </c>
      <c r="O54" s="597">
        <v>246.74520000000007</v>
      </c>
      <c r="P54" s="600">
        <v>0</v>
      </c>
      <c r="Q54" s="253">
        <v>0</v>
      </c>
    </row>
    <row r="55" spans="2:17" x14ac:dyDescent="0.25">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x14ac:dyDescent="0.25">
      <c r="B56" s="558" t="s">
        <v>616</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4" x14ac:dyDescent="0.25">
      <c r="B57" s="558" t="s">
        <v>617</v>
      </c>
      <c r="C57" s="567" t="s">
        <v>47</v>
      </c>
      <c r="D57" s="149">
        <f t="shared" si="1"/>
        <v>1.5105114217259552</v>
      </c>
      <c r="E57" s="147">
        <f t="shared" si="42"/>
        <v>1.5105114217259552</v>
      </c>
      <c r="F57" s="596">
        <v>0.91174999999999995</v>
      </c>
      <c r="G57" s="597">
        <v>0.1532014217259553</v>
      </c>
      <c r="H57" s="598">
        <v>0.44556000000000001</v>
      </c>
      <c r="I57" s="147">
        <f t="shared" si="43"/>
        <v>0</v>
      </c>
      <c r="J57" s="596">
        <v>0</v>
      </c>
      <c r="K57" s="597">
        <v>0</v>
      </c>
      <c r="L57" s="598">
        <v>0</v>
      </c>
      <c r="M57" s="599">
        <v>0</v>
      </c>
      <c r="N57" s="566">
        <f t="shared" si="45"/>
        <v>0</v>
      </c>
      <c r="O57" s="597">
        <v>0</v>
      </c>
      <c r="P57" s="600">
        <v>0</v>
      </c>
      <c r="Q57" s="253">
        <v>0</v>
      </c>
    </row>
    <row r="58" spans="2:17" ht="26.4" x14ac:dyDescent="0.25">
      <c r="B58" s="558" t="s">
        <v>618</v>
      </c>
      <c r="C58" s="567" t="s">
        <v>608</v>
      </c>
      <c r="D58" s="149">
        <f t="shared" si="1"/>
        <v>16.743949999999998</v>
      </c>
      <c r="E58" s="147">
        <f t="shared" si="42"/>
        <v>6.3631399999999996</v>
      </c>
      <c r="F58" s="596">
        <v>0.46291000000000004</v>
      </c>
      <c r="G58" s="597">
        <v>0</v>
      </c>
      <c r="H58" s="598">
        <v>5.9002299999999996</v>
      </c>
      <c r="I58" s="147">
        <f t="shared" si="43"/>
        <v>10.039210000000001</v>
      </c>
      <c r="J58" s="596">
        <v>1.4721600000000001</v>
      </c>
      <c r="K58" s="597">
        <v>8.5670500000000001</v>
      </c>
      <c r="L58" s="598">
        <v>0</v>
      </c>
      <c r="M58" s="599">
        <v>0</v>
      </c>
      <c r="N58" s="566">
        <f t="shared" si="45"/>
        <v>0.34160000000000001</v>
      </c>
      <c r="O58" s="597">
        <v>0.34160000000000001</v>
      </c>
      <c r="P58" s="600">
        <v>0</v>
      </c>
      <c r="Q58" s="253">
        <v>0</v>
      </c>
    </row>
    <row r="59" spans="2:17" x14ac:dyDescent="0.25">
      <c r="B59" s="556" t="s">
        <v>304</v>
      </c>
      <c r="C59" s="570" t="s">
        <v>53</v>
      </c>
      <c r="D59" s="350">
        <f t="shared" si="1"/>
        <v>45.035630000000005</v>
      </c>
      <c r="E59" s="571">
        <f t="shared" si="42"/>
        <v>0</v>
      </c>
      <c r="F59" s="572">
        <f>SUM(F60:F61)</f>
        <v>0</v>
      </c>
      <c r="G59" s="573">
        <f>SUM(G60:G61)</f>
        <v>0</v>
      </c>
      <c r="H59" s="574">
        <f>SUM(H60:H61)</f>
        <v>0</v>
      </c>
      <c r="I59" s="571">
        <f t="shared" si="43"/>
        <v>0</v>
      </c>
      <c r="J59" s="572">
        <f t="shared" ref="J59:Q59" si="49">SUM(J60:J61)</f>
        <v>0</v>
      </c>
      <c r="K59" s="573">
        <f t="shared" si="49"/>
        <v>0</v>
      </c>
      <c r="L59" s="574">
        <f t="shared" si="49"/>
        <v>0</v>
      </c>
      <c r="M59" s="571">
        <f t="shared" si="49"/>
        <v>9.9749999999999996</v>
      </c>
      <c r="N59" s="575">
        <f t="shared" si="45"/>
        <v>0</v>
      </c>
      <c r="O59" s="573">
        <f t="shared" si="49"/>
        <v>0</v>
      </c>
      <c r="P59" s="601">
        <f t="shared" si="49"/>
        <v>0</v>
      </c>
      <c r="Q59" s="571">
        <f t="shared" si="49"/>
        <v>35.060630000000003</v>
      </c>
    </row>
    <row r="60" spans="2:17" x14ac:dyDescent="0.25">
      <c r="B60" s="576" t="s">
        <v>306</v>
      </c>
      <c r="C60" s="577" t="s">
        <v>55</v>
      </c>
      <c r="D60" s="311">
        <f t="shared" si="1"/>
        <v>0</v>
      </c>
      <c r="E60" s="309">
        <f t="shared" si="42"/>
        <v>0</v>
      </c>
      <c r="F60" s="602">
        <v>0</v>
      </c>
      <c r="G60" s="603">
        <v>0</v>
      </c>
      <c r="H60" s="604">
        <v>0</v>
      </c>
      <c r="I60" s="309">
        <f t="shared" si="43"/>
        <v>0</v>
      </c>
      <c r="J60" s="602">
        <v>0</v>
      </c>
      <c r="K60" s="603">
        <v>0</v>
      </c>
      <c r="L60" s="604">
        <v>0</v>
      </c>
      <c r="M60" s="605">
        <v>0</v>
      </c>
      <c r="N60" s="580">
        <f t="shared" si="45"/>
        <v>0</v>
      </c>
      <c r="O60" s="603">
        <v>0</v>
      </c>
      <c r="P60" s="606">
        <v>0</v>
      </c>
      <c r="Q60" s="253">
        <v>0</v>
      </c>
    </row>
    <row r="61" spans="2:17" ht="26.4" x14ac:dyDescent="0.25">
      <c r="B61" s="576" t="s">
        <v>308</v>
      </c>
      <c r="C61" s="581" t="s">
        <v>57</v>
      </c>
      <c r="D61" s="350">
        <f t="shared" si="1"/>
        <v>45.035630000000005</v>
      </c>
      <c r="E61" s="571">
        <f t="shared" si="42"/>
        <v>0</v>
      </c>
      <c r="F61" s="607">
        <v>0</v>
      </c>
      <c r="G61" s="608">
        <v>0</v>
      </c>
      <c r="H61" s="609">
        <v>0</v>
      </c>
      <c r="I61" s="571">
        <f t="shared" si="43"/>
        <v>0</v>
      </c>
      <c r="J61" s="607">
        <v>0</v>
      </c>
      <c r="K61" s="608">
        <v>0</v>
      </c>
      <c r="L61" s="609">
        <v>0</v>
      </c>
      <c r="M61" s="610">
        <v>9.9749999999999996</v>
      </c>
      <c r="N61" s="575">
        <f t="shared" si="45"/>
        <v>0</v>
      </c>
      <c r="O61" s="608">
        <v>0</v>
      </c>
      <c r="P61" s="611">
        <v>0</v>
      </c>
      <c r="Q61" s="253">
        <v>35.060630000000003</v>
      </c>
    </row>
    <row r="62" spans="2:17" x14ac:dyDescent="0.25">
      <c r="B62" s="582" t="s">
        <v>310</v>
      </c>
      <c r="C62" s="583" t="s">
        <v>609</v>
      </c>
      <c r="D62" s="350">
        <f t="shared" si="1"/>
        <v>0</v>
      </c>
      <c r="E62" s="571">
        <f t="shared" si="42"/>
        <v>0</v>
      </c>
      <c r="F62" s="572">
        <f>SUM(F63:F65)</f>
        <v>0</v>
      </c>
      <c r="G62" s="573">
        <f>SUM(G63:G65)</f>
        <v>0</v>
      </c>
      <c r="H62" s="574">
        <f>SUM(H63:H65)</f>
        <v>0</v>
      </c>
      <c r="I62" s="571">
        <f t="shared" si="43"/>
        <v>0</v>
      </c>
      <c r="J62" s="572">
        <f t="shared" ref="J62:Q62" si="50">SUM(J63:J65)</f>
        <v>0</v>
      </c>
      <c r="K62" s="573">
        <f t="shared" si="50"/>
        <v>0</v>
      </c>
      <c r="L62" s="574">
        <f t="shared" si="50"/>
        <v>0</v>
      </c>
      <c r="M62" s="571">
        <f t="shared" si="50"/>
        <v>0</v>
      </c>
      <c r="N62" s="575">
        <f t="shared" si="45"/>
        <v>0</v>
      </c>
      <c r="O62" s="573">
        <f t="shared" si="50"/>
        <v>0</v>
      </c>
      <c r="P62" s="601">
        <f t="shared" si="50"/>
        <v>0</v>
      </c>
      <c r="Q62" s="571">
        <f t="shared" si="50"/>
        <v>0</v>
      </c>
    </row>
    <row r="63" spans="2:17" x14ac:dyDescent="0.25">
      <c r="B63" s="584" t="s">
        <v>312</v>
      </c>
      <c r="C63" s="585" t="s">
        <v>1368</v>
      </c>
      <c r="D63" s="350">
        <f t="shared" si="1"/>
        <v>0</v>
      </c>
      <c r="E63" s="571">
        <f t="shared" si="42"/>
        <v>0</v>
      </c>
      <c r="F63" s="607">
        <v>0</v>
      </c>
      <c r="G63" s="608">
        <v>0</v>
      </c>
      <c r="H63" s="609">
        <v>0</v>
      </c>
      <c r="I63" s="571">
        <f t="shared" si="43"/>
        <v>0</v>
      </c>
      <c r="J63" s="607">
        <v>0</v>
      </c>
      <c r="K63" s="608">
        <v>0</v>
      </c>
      <c r="L63" s="609">
        <v>0</v>
      </c>
      <c r="M63" s="610">
        <v>0</v>
      </c>
      <c r="N63" s="575">
        <f t="shared" si="45"/>
        <v>0</v>
      </c>
      <c r="O63" s="608">
        <v>0</v>
      </c>
      <c r="P63" s="611">
        <v>0</v>
      </c>
      <c r="Q63" s="253">
        <v>0</v>
      </c>
    </row>
    <row r="64" spans="2:17" x14ac:dyDescent="0.25">
      <c r="B64" s="584" t="s">
        <v>619</v>
      </c>
      <c r="C64" s="585" t="s">
        <v>49</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x14ac:dyDescent="0.25">
      <c r="B65" s="586" t="s">
        <v>620</v>
      </c>
      <c r="C65" s="587" t="s">
        <v>1369</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x14ac:dyDescent="0.25">
      <c r="B66" s="549" t="s">
        <v>129</v>
      </c>
      <c r="C66" s="549" t="s">
        <v>621</v>
      </c>
      <c r="D66" s="139">
        <f t="shared" ref="D66:Q66" si="51">D67+D71+D78+D81+D87+D90</f>
        <v>305.54822999999999</v>
      </c>
      <c r="E66" s="550">
        <f t="shared" si="51"/>
        <v>82.567092367436487</v>
      </c>
      <c r="F66" s="551">
        <f t="shared" si="51"/>
        <v>3.4238516755541735</v>
      </c>
      <c r="G66" s="552">
        <f t="shared" si="51"/>
        <v>24.462523465763944</v>
      </c>
      <c r="H66" s="553">
        <f t="shared" si="51"/>
        <v>54.680717226118361</v>
      </c>
      <c r="I66" s="550">
        <f t="shared" si="51"/>
        <v>189.72418853719597</v>
      </c>
      <c r="J66" s="551">
        <f t="shared" si="51"/>
        <v>89.86090739460613</v>
      </c>
      <c r="K66" s="552">
        <f t="shared" si="51"/>
        <v>81.35017950028994</v>
      </c>
      <c r="L66" s="553">
        <f t="shared" si="51"/>
        <v>18.513101642299908</v>
      </c>
      <c r="M66" s="550">
        <f t="shared" si="51"/>
        <v>7.7435622298789744</v>
      </c>
      <c r="N66" s="554">
        <f t="shared" si="51"/>
        <v>5.1069682010541015</v>
      </c>
      <c r="O66" s="552">
        <f t="shared" si="51"/>
        <v>5.1069682010541015</v>
      </c>
      <c r="P66" s="555">
        <f t="shared" si="51"/>
        <v>0</v>
      </c>
      <c r="Q66" s="550">
        <f t="shared" si="51"/>
        <v>20.406418664434582</v>
      </c>
      <c r="R66" s="618"/>
    </row>
    <row r="67" spans="2:18" x14ac:dyDescent="0.25">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x14ac:dyDescent="0.25">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x14ac:dyDescent="0.25">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x14ac:dyDescent="0.25">
      <c r="B70" s="558" t="s">
        <v>622</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x14ac:dyDescent="0.25">
      <c r="B71" s="556" t="s">
        <v>133</v>
      </c>
      <c r="C71" s="560" t="s">
        <v>15</v>
      </c>
      <c r="D71" s="149">
        <f>SUM(D72:D77)</f>
        <v>229.20497000000003</v>
      </c>
      <c r="E71" s="150">
        <f t="shared" si="52"/>
        <v>61.937154501158489</v>
      </c>
      <c r="F71" s="151">
        <f>SUM(F72:F77)</f>
        <v>2.5683795339931903</v>
      </c>
      <c r="G71" s="152">
        <f>SUM(G72:G77)</f>
        <v>18.350399074786722</v>
      </c>
      <c r="H71" s="493">
        <f>SUM(H72:H77)</f>
        <v>41.018375892378572</v>
      </c>
      <c r="I71" s="150">
        <f t="shared" si="53"/>
        <v>142.32033660264486</v>
      </c>
      <c r="J71" s="151">
        <f t="shared" ref="J71:Q71" si="59">SUM(J72:J77)</f>
        <v>67.408561272154884</v>
      </c>
      <c r="K71" s="152">
        <f t="shared" si="59"/>
        <v>61.024295417645099</v>
      </c>
      <c r="L71" s="493">
        <f t="shared" si="59"/>
        <v>13.88747991284486</v>
      </c>
      <c r="M71" s="150">
        <f t="shared" si="59"/>
        <v>5.8087816401114267</v>
      </c>
      <c r="N71" s="154">
        <f t="shared" si="55"/>
        <v>3.830958187234661</v>
      </c>
      <c r="O71" s="152">
        <f t="shared" si="59"/>
        <v>3.830958187234661</v>
      </c>
      <c r="P71" s="153">
        <f t="shared" si="59"/>
        <v>0</v>
      </c>
      <c r="Q71" s="150">
        <f t="shared" si="59"/>
        <v>15.307739068850665</v>
      </c>
    </row>
    <row r="72" spans="2:18" x14ac:dyDescent="0.25">
      <c r="B72" s="558" t="s">
        <v>135</v>
      </c>
      <c r="C72" s="559" t="s">
        <v>17</v>
      </c>
      <c r="D72" s="328">
        <v>229.20497000000003</v>
      </c>
      <c r="E72" s="324">
        <f t="shared" si="52"/>
        <v>61.937154501158489</v>
      </c>
      <c r="F72" s="378">
        <f t="shared" ref="F72:H75" si="60">IFERROR($D72*F98/100, 0)</f>
        <v>2.5683795339931903</v>
      </c>
      <c r="G72" s="379">
        <f t="shared" si="60"/>
        <v>18.350399074786722</v>
      </c>
      <c r="H72" s="619">
        <f t="shared" si="60"/>
        <v>41.018375892378572</v>
      </c>
      <c r="I72" s="324">
        <f t="shared" si="53"/>
        <v>142.32033660264486</v>
      </c>
      <c r="J72" s="378">
        <f t="shared" ref="J72:M76" si="61">IFERROR($D72*J98/100, 0)</f>
        <v>67.408561272154884</v>
      </c>
      <c r="K72" s="379">
        <f t="shared" si="61"/>
        <v>61.024295417645099</v>
      </c>
      <c r="L72" s="619">
        <f t="shared" si="61"/>
        <v>13.88747991284486</v>
      </c>
      <c r="M72" s="324">
        <f t="shared" si="61"/>
        <v>5.8087816401114267</v>
      </c>
      <c r="N72" s="620">
        <f t="shared" si="55"/>
        <v>3.830958187234661</v>
      </c>
      <c r="O72" s="379">
        <f t="shared" ref="O72:Q76" si="62">IFERROR($D72*O98/100, 0)</f>
        <v>3.830958187234661</v>
      </c>
      <c r="P72" s="380">
        <f t="shared" si="62"/>
        <v>0</v>
      </c>
      <c r="Q72" s="324">
        <f t="shared" si="62"/>
        <v>15.307739068850665</v>
      </c>
    </row>
    <row r="73" spans="2:18" x14ac:dyDescent="0.25">
      <c r="B73" s="558" t="s">
        <v>137</v>
      </c>
      <c r="C73" s="559" t="s">
        <v>598</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x14ac:dyDescent="0.25">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x14ac:dyDescent="0.25">
      <c r="B75" s="558" t="s">
        <v>623</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x14ac:dyDescent="0.25">
      <c r="B76" s="558" t="s">
        <v>624</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9.6" x14ac:dyDescent="0.25">
      <c r="B77" s="558" t="s">
        <v>625</v>
      </c>
      <c r="C77" s="559" t="s">
        <v>602</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x14ac:dyDescent="0.25">
      <c r="B78" s="556" t="s">
        <v>141</v>
      </c>
      <c r="C78" s="562" t="s">
        <v>31</v>
      </c>
      <c r="D78" s="149">
        <f>D79+D80</f>
        <v>3.7293699999999999</v>
      </c>
      <c r="E78" s="150">
        <f t="shared" si="52"/>
        <v>1.0077729373930477</v>
      </c>
      <c r="F78" s="151">
        <f>F79+F80</f>
        <v>4.1789833713850894E-2</v>
      </c>
      <c r="G78" s="152">
        <f>G79+G80</f>
        <v>0.29857741652607861</v>
      </c>
      <c r="H78" s="493">
        <f>H79+H80</f>
        <v>0.66740568715311821</v>
      </c>
      <c r="I78" s="150">
        <f t="shared" si="53"/>
        <v>2.3156792530101136</v>
      </c>
      <c r="J78" s="151">
        <f t="shared" ref="J78:Q78" si="69">J79+J80</f>
        <v>1.0967976224579083</v>
      </c>
      <c r="K78" s="152">
        <f t="shared" si="69"/>
        <v>0.99291990309679179</v>
      </c>
      <c r="L78" s="493">
        <f t="shared" si="69"/>
        <v>0.22596172745541351</v>
      </c>
      <c r="M78" s="150">
        <f t="shared" si="69"/>
        <v>9.4514076135357575E-2</v>
      </c>
      <c r="N78" s="154">
        <f t="shared" si="55"/>
        <v>6.2333118408066476E-2</v>
      </c>
      <c r="O78" s="152">
        <f t="shared" si="69"/>
        <v>6.2333118408066476E-2</v>
      </c>
      <c r="P78" s="153">
        <f t="shared" si="69"/>
        <v>0</v>
      </c>
      <c r="Q78" s="150">
        <f t="shared" si="69"/>
        <v>0.24907061505341527</v>
      </c>
    </row>
    <row r="79" spans="2:18" ht="52.8" x14ac:dyDescent="0.25">
      <c r="B79" s="558" t="s">
        <v>408</v>
      </c>
      <c r="C79" s="563" t="s">
        <v>33</v>
      </c>
      <c r="D79" s="328">
        <v>3.7293699999999999</v>
      </c>
      <c r="E79" s="324">
        <f t="shared" si="52"/>
        <v>1.0077729373930477</v>
      </c>
      <c r="F79" s="378">
        <f t="shared" ref="F79:H80" si="70">IFERROR($D79*F104/100, 0)</f>
        <v>4.1789833713850894E-2</v>
      </c>
      <c r="G79" s="379">
        <f t="shared" si="70"/>
        <v>0.29857741652607861</v>
      </c>
      <c r="H79" s="619">
        <f t="shared" si="70"/>
        <v>0.66740568715311821</v>
      </c>
      <c r="I79" s="324">
        <f t="shared" si="53"/>
        <v>2.3156792530101136</v>
      </c>
      <c r="J79" s="378">
        <f t="shared" ref="J79:M80" si="71">IFERROR($D79*J104/100, 0)</f>
        <v>1.0967976224579083</v>
      </c>
      <c r="K79" s="379">
        <f t="shared" si="71"/>
        <v>0.99291990309679179</v>
      </c>
      <c r="L79" s="619">
        <f t="shared" si="71"/>
        <v>0.22596172745541351</v>
      </c>
      <c r="M79" s="324">
        <f t="shared" si="71"/>
        <v>9.4514076135357575E-2</v>
      </c>
      <c r="N79" s="620">
        <f t="shared" si="55"/>
        <v>6.2333118408066476E-2</v>
      </c>
      <c r="O79" s="379">
        <f t="shared" ref="O79:Q80" si="72">IFERROR($D79*O104/100, 0)</f>
        <v>6.2333118408066476E-2</v>
      </c>
      <c r="P79" s="380">
        <f t="shared" si="72"/>
        <v>0</v>
      </c>
      <c r="Q79" s="324">
        <f t="shared" si="72"/>
        <v>0.24907061505341527</v>
      </c>
    </row>
    <row r="80" spans="2:18" x14ac:dyDescent="0.25">
      <c r="B80" s="558" t="s">
        <v>626</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x14ac:dyDescent="0.25">
      <c r="B81" s="556" t="s">
        <v>409</v>
      </c>
      <c r="C81" s="562" t="s">
        <v>37</v>
      </c>
      <c r="D81" s="149">
        <f>D82+D86</f>
        <v>3.06237</v>
      </c>
      <c r="E81" s="150">
        <f t="shared" si="52"/>
        <v>0.82753215966352167</v>
      </c>
      <c r="F81" s="151">
        <f>F82+F86</f>
        <v>3.4315697576342806E-2</v>
      </c>
      <c r="G81" s="152">
        <f>G82+G86</f>
        <v>0.24517667140749438</v>
      </c>
      <c r="H81" s="493">
        <f>H82+H86</f>
        <v>0.54803979067968445</v>
      </c>
      <c r="I81" s="150">
        <f t="shared" si="53"/>
        <v>1.9015186677751421</v>
      </c>
      <c r="J81" s="151">
        <f t="shared" ref="J81:Q81" si="73">J82+J86</f>
        <v>0.90063472787265009</v>
      </c>
      <c r="K81" s="152">
        <f t="shared" si="73"/>
        <v>0.81533559921555721</v>
      </c>
      <c r="L81" s="493">
        <f t="shared" si="73"/>
        <v>0.18554834068693499</v>
      </c>
      <c r="M81" s="150">
        <f t="shared" si="73"/>
        <v>7.7610178484471909E-2</v>
      </c>
      <c r="N81" s="154">
        <f t="shared" si="55"/>
        <v>5.1184803819226986E-2</v>
      </c>
      <c r="O81" s="152">
        <f t="shared" si="73"/>
        <v>5.1184803819226986E-2</v>
      </c>
      <c r="P81" s="153">
        <f t="shared" si="73"/>
        <v>0</v>
      </c>
      <c r="Q81" s="150">
        <f t="shared" si="73"/>
        <v>0.20452419025763799</v>
      </c>
    </row>
    <row r="82" spans="2:17" x14ac:dyDescent="0.25">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x14ac:dyDescent="0.25">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x14ac:dyDescent="0.25">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4" x14ac:dyDescent="0.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4" x14ac:dyDescent="0.25">
      <c r="B86" s="558" t="s">
        <v>414</v>
      </c>
      <c r="C86" s="567" t="s">
        <v>608</v>
      </c>
      <c r="D86" s="328">
        <v>3.06237</v>
      </c>
      <c r="E86" s="324">
        <f t="shared" si="52"/>
        <v>0.82753215966352167</v>
      </c>
      <c r="F86" s="378">
        <f t="shared" ref="F86:H86" si="81">IFERROR($D86*F110/100, 0)</f>
        <v>3.4315697576342806E-2</v>
      </c>
      <c r="G86" s="379">
        <f t="shared" si="81"/>
        <v>0.24517667140749438</v>
      </c>
      <c r="H86" s="619">
        <f t="shared" si="81"/>
        <v>0.54803979067968445</v>
      </c>
      <c r="I86" s="324">
        <f t="shared" si="53"/>
        <v>1.9015186677751421</v>
      </c>
      <c r="J86" s="378">
        <f t="shared" ref="J86:Q86" si="82">IFERROR($D86*J110/100, 0)</f>
        <v>0.90063472787265009</v>
      </c>
      <c r="K86" s="379">
        <f t="shared" si="82"/>
        <v>0.81533559921555721</v>
      </c>
      <c r="L86" s="619">
        <f t="shared" si="82"/>
        <v>0.18554834068693499</v>
      </c>
      <c r="M86" s="324">
        <f t="shared" si="82"/>
        <v>7.7610178484471909E-2</v>
      </c>
      <c r="N86" s="620">
        <f t="shared" si="55"/>
        <v>5.1184803819226986E-2</v>
      </c>
      <c r="O86" s="379">
        <f t="shared" ref="O86:P86" si="83">IFERROR($D86*O110/100, 0)</f>
        <v>5.1184803819226986E-2</v>
      </c>
      <c r="P86" s="380">
        <f t="shared" si="83"/>
        <v>0</v>
      </c>
      <c r="Q86" s="324">
        <f t="shared" si="82"/>
        <v>0.20452419025763799</v>
      </c>
    </row>
    <row r="87" spans="2:17" x14ac:dyDescent="0.25">
      <c r="B87" s="556" t="s">
        <v>415</v>
      </c>
      <c r="C87" s="570" t="s">
        <v>53</v>
      </c>
      <c r="D87" s="350">
        <f>D88+D89</f>
        <v>69.551519999999996</v>
      </c>
      <c r="E87" s="571">
        <f t="shared" si="52"/>
        <v>18.794632769221423</v>
      </c>
      <c r="F87" s="572">
        <f>F88+F89</f>
        <v>0.77936661027078957</v>
      </c>
      <c r="G87" s="573">
        <f>G88+G89</f>
        <v>5.5683703030436469</v>
      </c>
      <c r="H87" s="574">
        <f>H88+H89</f>
        <v>12.446895855906988</v>
      </c>
      <c r="I87" s="571">
        <f t="shared" si="53"/>
        <v>43.18665401376586</v>
      </c>
      <c r="J87" s="572">
        <f t="shared" ref="J87:Q87" si="84">J88+J89</f>
        <v>20.454913772120669</v>
      </c>
      <c r="K87" s="573">
        <f t="shared" si="84"/>
        <v>18.517628580332492</v>
      </c>
      <c r="L87" s="574">
        <f t="shared" si="84"/>
        <v>4.2141116613126997</v>
      </c>
      <c r="M87" s="571">
        <f t="shared" si="84"/>
        <v>1.762656335147718</v>
      </c>
      <c r="N87" s="575">
        <f t="shared" si="55"/>
        <v>1.1624920915921466</v>
      </c>
      <c r="O87" s="573">
        <f t="shared" si="84"/>
        <v>1.1624920915921466</v>
      </c>
      <c r="P87" s="601">
        <f t="shared" si="84"/>
        <v>0</v>
      </c>
      <c r="Q87" s="571">
        <f t="shared" si="84"/>
        <v>4.6450847902728647</v>
      </c>
    </row>
    <row r="88" spans="2:17" x14ac:dyDescent="0.25">
      <c r="B88" s="576" t="s">
        <v>627</v>
      </c>
      <c r="C88" s="577" t="s">
        <v>55</v>
      </c>
      <c r="D88" s="338">
        <v>13.988350000000001</v>
      </c>
      <c r="E88" s="324">
        <f t="shared" si="52"/>
        <v>3.7800166164210145</v>
      </c>
      <c r="F88" s="378">
        <f t="shared" ref="F88:H89" si="85">IFERROR($D88*F111/100, 0)</f>
        <v>0.15674787442145621</v>
      </c>
      <c r="G88" s="379">
        <f t="shared" si="85"/>
        <v>1.1199225082152138</v>
      </c>
      <c r="H88" s="619">
        <f t="shared" si="85"/>
        <v>2.5033462337843444</v>
      </c>
      <c r="I88" s="324">
        <f t="shared" si="53"/>
        <v>8.6857919377385517</v>
      </c>
      <c r="J88" s="378">
        <f t="shared" ref="J88:M89" si="86">IFERROR($D88*J111/100, 0)</f>
        <v>4.1139358717716616</v>
      </c>
      <c r="K88" s="379">
        <f t="shared" si="86"/>
        <v>3.7243049433239417</v>
      </c>
      <c r="L88" s="619">
        <f t="shared" si="86"/>
        <v>0.84755112264294885</v>
      </c>
      <c r="M88" s="324">
        <f t="shared" si="86"/>
        <v>0.35450920045692141</v>
      </c>
      <c r="N88" s="620">
        <f t="shared" si="55"/>
        <v>0.23380288812412736</v>
      </c>
      <c r="O88" s="379">
        <f t="shared" ref="O88:Q89" si="87">IFERROR($D88*O111/100, 0)</f>
        <v>0.23380288812412736</v>
      </c>
      <c r="P88" s="380">
        <f t="shared" si="87"/>
        <v>0</v>
      </c>
      <c r="Q88" s="324">
        <f t="shared" si="87"/>
        <v>0.93422935725938738</v>
      </c>
    </row>
    <row r="89" spans="2:17" ht="26.4" x14ac:dyDescent="0.25">
      <c r="B89" s="576" t="s">
        <v>628</v>
      </c>
      <c r="C89" s="581" t="s">
        <v>57</v>
      </c>
      <c r="D89" s="258">
        <v>55.56317</v>
      </c>
      <c r="E89" s="324">
        <f t="shared" si="52"/>
        <v>15.014616152800411</v>
      </c>
      <c r="F89" s="378">
        <f t="shared" si="85"/>
        <v>0.62261873584933336</v>
      </c>
      <c r="G89" s="379">
        <f t="shared" si="85"/>
        <v>4.4484477948284331</v>
      </c>
      <c r="H89" s="619">
        <f t="shared" si="85"/>
        <v>9.943549622122644</v>
      </c>
      <c r="I89" s="324">
        <f t="shared" si="53"/>
        <v>34.500862076027303</v>
      </c>
      <c r="J89" s="378">
        <f t="shared" si="86"/>
        <v>16.340977900349007</v>
      </c>
      <c r="K89" s="379">
        <f t="shared" si="86"/>
        <v>14.793323637008548</v>
      </c>
      <c r="L89" s="619">
        <f t="shared" si="86"/>
        <v>3.3665605386697508</v>
      </c>
      <c r="M89" s="324">
        <f t="shared" si="86"/>
        <v>1.4081471346907966</v>
      </c>
      <c r="N89" s="620">
        <f t="shared" si="55"/>
        <v>0.92868920346801931</v>
      </c>
      <c r="O89" s="379">
        <f t="shared" si="87"/>
        <v>0.92868920346801931</v>
      </c>
      <c r="P89" s="380">
        <f t="shared" si="87"/>
        <v>0</v>
      </c>
      <c r="Q89" s="324">
        <f t="shared" si="87"/>
        <v>3.7108554330134775</v>
      </c>
    </row>
    <row r="90" spans="2:17" x14ac:dyDescent="0.25">
      <c r="B90" s="582" t="s">
        <v>416</v>
      </c>
      <c r="C90" s="583" t="s">
        <v>609</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x14ac:dyDescent="0.25">
      <c r="B91" s="584" t="s">
        <v>417</v>
      </c>
      <c r="C91" s="585" t="s">
        <v>1368</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x14ac:dyDescent="0.25">
      <c r="B92" s="576" t="s">
        <v>418</v>
      </c>
      <c r="C92" s="585" t="s">
        <v>49</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x14ac:dyDescent="0.25">
      <c r="B93" s="621" t="s">
        <v>419</v>
      </c>
      <c r="C93" s="587" t="s">
        <v>1369</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x14ac:dyDescent="0.25">
      <c r="B94" s="546" t="s">
        <v>143</v>
      </c>
      <c r="C94" s="629" t="s">
        <v>629</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x14ac:dyDescent="0.25">
      <c r="B95" s="393" t="s">
        <v>145</v>
      </c>
      <c r="C95" s="632" t="s">
        <v>630</v>
      </c>
      <c r="D95" s="633">
        <f t="shared" ref="D95:D115" si="93">E95+I95+M95+N95+Q95</f>
        <v>100.00000000000001</v>
      </c>
      <c r="E95" s="634">
        <f t="shared" ref="E95:E115" si="94">SUM(F95:H95)</f>
        <v>27.022605356750542</v>
      </c>
      <c r="F95" s="635">
        <v>1.1205601405559356</v>
      </c>
      <c r="G95" s="636">
        <v>8.0061087134309172</v>
      </c>
      <c r="H95" s="637">
        <v>17.895936502763689</v>
      </c>
      <c r="I95" s="634">
        <f t="shared" ref="I95:I115" si="95">SUM(J95:L95)</f>
        <v>62.093041264613426</v>
      </c>
      <c r="J95" s="635">
        <v>29.409729323127188</v>
      </c>
      <c r="K95" s="636">
        <v>26.624333415477462</v>
      </c>
      <c r="L95" s="638">
        <v>6.0589785260087767</v>
      </c>
      <c r="M95" s="639">
        <v>2.5343174888884068</v>
      </c>
      <c r="N95" s="640">
        <f>SUM(O95:P95)</f>
        <v>1.6714114825846318</v>
      </c>
      <c r="O95" s="635">
        <v>1.6714114825846318</v>
      </c>
      <c r="P95" s="637">
        <v>0</v>
      </c>
      <c r="Q95" s="641">
        <v>6.6786244071630136</v>
      </c>
    </row>
    <row r="96" spans="2:17" x14ac:dyDescent="0.25">
      <c r="B96" s="423" t="s">
        <v>147</v>
      </c>
      <c r="C96" s="642" t="s">
        <v>631</v>
      </c>
      <c r="D96" s="643">
        <f t="shared" si="93"/>
        <v>100.00000000000001</v>
      </c>
      <c r="E96" s="644">
        <f t="shared" si="94"/>
        <v>27.022605356750542</v>
      </c>
      <c r="F96" s="645">
        <v>1.1205601405559356</v>
      </c>
      <c r="G96" s="646">
        <v>8.0061087134309172</v>
      </c>
      <c r="H96" s="647">
        <v>17.895936502763689</v>
      </c>
      <c r="I96" s="644">
        <f t="shared" si="95"/>
        <v>62.093041264613426</v>
      </c>
      <c r="J96" s="645">
        <v>29.409729323127188</v>
      </c>
      <c r="K96" s="646">
        <v>26.624333415477462</v>
      </c>
      <c r="L96" s="648">
        <v>6.0589785260087767</v>
      </c>
      <c r="M96" s="649">
        <v>2.5343174888884068</v>
      </c>
      <c r="N96" s="640">
        <f t="shared" ref="N96:N115" si="96">SUM(O96:P96)</f>
        <v>1.6714114825846318</v>
      </c>
      <c r="O96" s="645">
        <v>1.6714114825846318</v>
      </c>
      <c r="P96" s="647">
        <v>0</v>
      </c>
      <c r="Q96" s="650">
        <v>6.6786244071630136</v>
      </c>
    </row>
    <row r="97" spans="2:17" x14ac:dyDescent="0.25">
      <c r="B97" s="423" t="s">
        <v>149</v>
      </c>
      <c r="C97" s="642" t="s">
        <v>632</v>
      </c>
      <c r="D97" s="643">
        <f t="shared" si="93"/>
        <v>100.00000000000001</v>
      </c>
      <c r="E97" s="644">
        <f t="shared" si="94"/>
        <v>27.022605356750542</v>
      </c>
      <c r="F97" s="645">
        <v>1.1205601405559356</v>
      </c>
      <c r="G97" s="646">
        <v>8.0061087134309172</v>
      </c>
      <c r="H97" s="647">
        <v>17.895936502763689</v>
      </c>
      <c r="I97" s="644">
        <f t="shared" si="95"/>
        <v>62.093041264613426</v>
      </c>
      <c r="J97" s="645">
        <v>29.409729323127188</v>
      </c>
      <c r="K97" s="646">
        <v>26.624333415477462</v>
      </c>
      <c r="L97" s="648">
        <v>6.0589785260087767</v>
      </c>
      <c r="M97" s="649">
        <v>2.5343174888884068</v>
      </c>
      <c r="N97" s="640">
        <f t="shared" si="96"/>
        <v>1.6714114825846318</v>
      </c>
      <c r="O97" s="645">
        <v>1.6714114825846318</v>
      </c>
      <c r="P97" s="647">
        <v>0</v>
      </c>
      <c r="Q97" s="650">
        <v>6.6786244071630136</v>
      </c>
    </row>
    <row r="98" spans="2:17" x14ac:dyDescent="0.25">
      <c r="B98" s="427" t="s">
        <v>458</v>
      </c>
      <c r="C98" s="642" t="s">
        <v>633</v>
      </c>
      <c r="D98" s="643">
        <f t="shared" si="93"/>
        <v>100.00000000000001</v>
      </c>
      <c r="E98" s="644">
        <f t="shared" si="94"/>
        <v>27.022605356750542</v>
      </c>
      <c r="F98" s="645">
        <v>1.1205601405559356</v>
      </c>
      <c r="G98" s="646">
        <v>8.0061087134309172</v>
      </c>
      <c r="H98" s="647">
        <v>17.895936502763689</v>
      </c>
      <c r="I98" s="644">
        <f t="shared" si="95"/>
        <v>62.093041264613426</v>
      </c>
      <c r="J98" s="645">
        <v>29.409729323127188</v>
      </c>
      <c r="K98" s="646">
        <v>26.624333415477462</v>
      </c>
      <c r="L98" s="648">
        <v>6.0589785260087767</v>
      </c>
      <c r="M98" s="649">
        <v>2.5343174888884068</v>
      </c>
      <c r="N98" s="640">
        <f t="shared" si="96"/>
        <v>1.6714114825846318</v>
      </c>
      <c r="O98" s="645">
        <v>1.6714114825846318</v>
      </c>
      <c r="P98" s="647">
        <v>0</v>
      </c>
      <c r="Q98" s="650">
        <v>6.6786244071630136</v>
      </c>
    </row>
    <row r="99" spans="2:17" x14ac:dyDescent="0.25">
      <c r="B99" s="423" t="s">
        <v>462</v>
      </c>
      <c r="C99" s="642" t="s">
        <v>634</v>
      </c>
      <c r="D99" s="643">
        <f t="shared" si="93"/>
        <v>100.00000000000001</v>
      </c>
      <c r="E99" s="644">
        <f t="shared" si="94"/>
        <v>27.022605356750542</v>
      </c>
      <c r="F99" s="645">
        <v>1.1205601405559356</v>
      </c>
      <c r="G99" s="646">
        <v>8.0061087134309172</v>
      </c>
      <c r="H99" s="647">
        <v>17.895936502763689</v>
      </c>
      <c r="I99" s="644">
        <f t="shared" si="95"/>
        <v>62.093041264613426</v>
      </c>
      <c r="J99" s="645">
        <v>29.409729323127188</v>
      </c>
      <c r="K99" s="646">
        <v>26.624333415477462</v>
      </c>
      <c r="L99" s="648">
        <v>6.0589785260087767</v>
      </c>
      <c r="M99" s="649">
        <v>2.5343174888884068</v>
      </c>
      <c r="N99" s="640">
        <f t="shared" si="96"/>
        <v>1.6714114825846318</v>
      </c>
      <c r="O99" s="645">
        <v>1.6714114825846318</v>
      </c>
      <c r="P99" s="647">
        <v>0</v>
      </c>
      <c r="Q99" s="650">
        <v>6.6786244071630136</v>
      </c>
    </row>
    <row r="100" spans="2:17" x14ac:dyDescent="0.25">
      <c r="B100" s="423" t="s">
        <v>463</v>
      </c>
      <c r="C100" s="642" t="s">
        <v>635</v>
      </c>
      <c r="D100" s="643">
        <f t="shared" si="93"/>
        <v>100.00000000000001</v>
      </c>
      <c r="E100" s="644">
        <f t="shared" si="94"/>
        <v>27.022605356750542</v>
      </c>
      <c r="F100" s="645">
        <v>1.1205601405559356</v>
      </c>
      <c r="G100" s="646">
        <v>8.0061087134309172</v>
      </c>
      <c r="H100" s="647">
        <v>17.895936502763689</v>
      </c>
      <c r="I100" s="644">
        <f t="shared" si="95"/>
        <v>62.093041264613426</v>
      </c>
      <c r="J100" s="645">
        <v>29.409729323127188</v>
      </c>
      <c r="K100" s="646">
        <v>26.624333415477462</v>
      </c>
      <c r="L100" s="648">
        <v>6.0589785260087767</v>
      </c>
      <c r="M100" s="649">
        <v>2.5343174888884068</v>
      </c>
      <c r="N100" s="640">
        <f t="shared" si="96"/>
        <v>1.6714114825846318</v>
      </c>
      <c r="O100" s="645">
        <v>1.6714114825846318</v>
      </c>
      <c r="P100" s="647">
        <v>0</v>
      </c>
      <c r="Q100" s="650">
        <v>6.6786244071630136</v>
      </c>
    </row>
    <row r="101" spans="2:17" x14ac:dyDescent="0.25">
      <c r="B101" s="423" t="s">
        <v>467</v>
      </c>
      <c r="C101" s="642" t="s">
        <v>636</v>
      </c>
      <c r="D101" s="643">
        <f t="shared" si="93"/>
        <v>100.00000000000001</v>
      </c>
      <c r="E101" s="644">
        <f t="shared" si="94"/>
        <v>27.022605356750542</v>
      </c>
      <c r="F101" s="645">
        <v>1.1205601405559356</v>
      </c>
      <c r="G101" s="646">
        <v>8.0061087134309172</v>
      </c>
      <c r="H101" s="647">
        <v>17.895936502763689</v>
      </c>
      <c r="I101" s="644">
        <f t="shared" si="95"/>
        <v>62.093041264613426</v>
      </c>
      <c r="J101" s="645">
        <v>29.409729323127188</v>
      </c>
      <c r="K101" s="646">
        <v>26.624333415477462</v>
      </c>
      <c r="L101" s="648">
        <v>6.0589785260087767</v>
      </c>
      <c r="M101" s="649">
        <v>2.5343174888884068</v>
      </c>
      <c r="N101" s="640">
        <f t="shared" si="96"/>
        <v>1.6714114825846318</v>
      </c>
      <c r="O101" s="645">
        <v>1.6714114825846318</v>
      </c>
      <c r="P101" s="647">
        <v>0</v>
      </c>
      <c r="Q101" s="650">
        <v>6.6786244071630136</v>
      </c>
    </row>
    <row r="102" spans="2:17" x14ac:dyDescent="0.25">
      <c r="B102" s="423" t="s">
        <v>471</v>
      </c>
      <c r="C102" s="642" t="s">
        <v>637</v>
      </c>
      <c r="D102" s="643">
        <f t="shared" si="93"/>
        <v>100.00000000000001</v>
      </c>
      <c r="E102" s="644">
        <f t="shared" si="94"/>
        <v>27.022605356750542</v>
      </c>
      <c r="F102" s="645">
        <v>1.1205601405559356</v>
      </c>
      <c r="G102" s="646">
        <v>8.0061087134309172</v>
      </c>
      <c r="H102" s="647">
        <v>17.895936502763689</v>
      </c>
      <c r="I102" s="644">
        <f t="shared" si="95"/>
        <v>62.093041264613426</v>
      </c>
      <c r="J102" s="645">
        <v>29.409729323127188</v>
      </c>
      <c r="K102" s="646">
        <v>26.624333415477462</v>
      </c>
      <c r="L102" s="648">
        <v>6.0589785260087767</v>
      </c>
      <c r="M102" s="649">
        <v>2.5343174888884068</v>
      </c>
      <c r="N102" s="640">
        <f t="shared" si="96"/>
        <v>1.6714114825846318</v>
      </c>
      <c r="O102" s="645">
        <v>1.6714114825846318</v>
      </c>
      <c r="P102" s="647">
        <v>0</v>
      </c>
      <c r="Q102" s="650">
        <v>6.6786244071630136</v>
      </c>
    </row>
    <row r="103" spans="2:17" x14ac:dyDescent="0.25">
      <c r="B103" s="423" t="s">
        <v>475</v>
      </c>
      <c r="C103" s="642" t="s">
        <v>638</v>
      </c>
      <c r="D103" s="643">
        <f t="shared" si="93"/>
        <v>100.00000000000001</v>
      </c>
      <c r="E103" s="644">
        <f t="shared" si="94"/>
        <v>27.022605356750542</v>
      </c>
      <c r="F103" s="645">
        <v>1.1205601405559356</v>
      </c>
      <c r="G103" s="646">
        <v>8.0061087134309172</v>
      </c>
      <c r="H103" s="647">
        <v>17.895936502763689</v>
      </c>
      <c r="I103" s="644">
        <f t="shared" si="95"/>
        <v>62.093041264613426</v>
      </c>
      <c r="J103" s="645">
        <v>29.409729323127188</v>
      </c>
      <c r="K103" s="646">
        <v>26.624333415477462</v>
      </c>
      <c r="L103" s="648">
        <v>6.0589785260087767</v>
      </c>
      <c r="M103" s="649">
        <v>2.5343174888884068</v>
      </c>
      <c r="N103" s="640">
        <f t="shared" si="96"/>
        <v>1.6714114825846318</v>
      </c>
      <c r="O103" s="645">
        <v>1.6714114825846318</v>
      </c>
      <c r="P103" s="647">
        <v>0</v>
      </c>
      <c r="Q103" s="650">
        <v>6.6786244071630136</v>
      </c>
    </row>
    <row r="104" spans="2:17" x14ac:dyDescent="0.25">
      <c r="B104" s="427" t="s">
        <v>491</v>
      </c>
      <c r="C104" s="642" t="s">
        <v>639</v>
      </c>
      <c r="D104" s="643">
        <f t="shared" si="93"/>
        <v>100.00000000000001</v>
      </c>
      <c r="E104" s="644">
        <f t="shared" si="94"/>
        <v>27.022605356750542</v>
      </c>
      <c r="F104" s="645">
        <v>1.1205601405559356</v>
      </c>
      <c r="G104" s="646">
        <v>8.0061087134309172</v>
      </c>
      <c r="H104" s="647">
        <v>17.895936502763689</v>
      </c>
      <c r="I104" s="644">
        <f t="shared" si="95"/>
        <v>62.093041264613426</v>
      </c>
      <c r="J104" s="645">
        <v>29.409729323127188</v>
      </c>
      <c r="K104" s="646">
        <v>26.624333415477462</v>
      </c>
      <c r="L104" s="648">
        <v>6.0589785260087767</v>
      </c>
      <c r="M104" s="649">
        <v>2.5343174888884068</v>
      </c>
      <c r="N104" s="640">
        <f t="shared" si="96"/>
        <v>1.6714114825846318</v>
      </c>
      <c r="O104" s="645">
        <v>1.6714114825846318</v>
      </c>
      <c r="P104" s="647">
        <v>0</v>
      </c>
      <c r="Q104" s="650">
        <v>6.6786244071630136</v>
      </c>
    </row>
    <row r="105" spans="2:17" x14ac:dyDescent="0.25">
      <c r="B105" s="427" t="s">
        <v>492</v>
      </c>
      <c r="C105" s="642" t="s">
        <v>640</v>
      </c>
      <c r="D105" s="643">
        <f t="shared" si="93"/>
        <v>100.00000000000001</v>
      </c>
      <c r="E105" s="644">
        <f t="shared" si="94"/>
        <v>27.022605356750542</v>
      </c>
      <c r="F105" s="645">
        <v>1.1205601405559356</v>
      </c>
      <c r="G105" s="646">
        <v>8.0061087134309172</v>
      </c>
      <c r="H105" s="647">
        <v>17.895936502763689</v>
      </c>
      <c r="I105" s="644">
        <f t="shared" si="95"/>
        <v>62.093041264613426</v>
      </c>
      <c r="J105" s="645">
        <v>29.409729323127188</v>
      </c>
      <c r="K105" s="646">
        <v>26.624333415477462</v>
      </c>
      <c r="L105" s="648">
        <v>6.0589785260087767</v>
      </c>
      <c r="M105" s="649">
        <v>2.5343174888884068</v>
      </c>
      <c r="N105" s="640">
        <f t="shared" si="96"/>
        <v>1.6714114825846318</v>
      </c>
      <c r="O105" s="645">
        <v>1.6714114825846318</v>
      </c>
      <c r="P105" s="647">
        <v>0</v>
      </c>
      <c r="Q105" s="650">
        <v>6.6786244071630136</v>
      </c>
    </row>
    <row r="106" spans="2:17" x14ac:dyDescent="0.25">
      <c r="B106" s="427" t="s">
        <v>641</v>
      </c>
      <c r="C106" s="642" t="s">
        <v>642</v>
      </c>
      <c r="D106" s="643">
        <f t="shared" si="93"/>
        <v>100.00000000000001</v>
      </c>
      <c r="E106" s="644">
        <f t="shared" si="94"/>
        <v>27.022605356750542</v>
      </c>
      <c r="F106" s="645">
        <v>1.1205601405559356</v>
      </c>
      <c r="G106" s="646">
        <v>8.0061087134309172</v>
      </c>
      <c r="H106" s="647">
        <v>17.895936502763689</v>
      </c>
      <c r="I106" s="644">
        <f t="shared" si="95"/>
        <v>62.093041264613426</v>
      </c>
      <c r="J106" s="645">
        <v>29.409729323127188</v>
      </c>
      <c r="K106" s="646">
        <v>26.624333415477462</v>
      </c>
      <c r="L106" s="648">
        <v>6.0589785260087767</v>
      </c>
      <c r="M106" s="649">
        <v>2.5343174888884068</v>
      </c>
      <c r="N106" s="640">
        <f t="shared" si="96"/>
        <v>1.6714114825846318</v>
      </c>
      <c r="O106" s="645">
        <v>1.6714114825846318</v>
      </c>
      <c r="P106" s="647">
        <v>0</v>
      </c>
      <c r="Q106" s="650">
        <v>6.6786244071630136</v>
      </c>
    </row>
    <row r="107" spans="2:17" x14ac:dyDescent="0.25">
      <c r="B107" s="427" t="s">
        <v>643</v>
      </c>
      <c r="C107" s="642" t="s">
        <v>644</v>
      </c>
      <c r="D107" s="643">
        <f t="shared" si="93"/>
        <v>100.00000000000001</v>
      </c>
      <c r="E107" s="644">
        <f t="shared" si="94"/>
        <v>27.022605356750542</v>
      </c>
      <c r="F107" s="645">
        <v>1.1205601405559356</v>
      </c>
      <c r="G107" s="646">
        <v>8.0061087134309172</v>
      </c>
      <c r="H107" s="647">
        <v>17.895936502763689</v>
      </c>
      <c r="I107" s="644">
        <f t="shared" si="95"/>
        <v>62.093041264613426</v>
      </c>
      <c r="J107" s="645">
        <v>29.409729323127188</v>
      </c>
      <c r="K107" s="646">
        <v>26.624333415477462</v>
      </c>
      <c r="L107" s="648">
        <v>6.0589785260087767</v>
      </c>
      <c r="M107" s="649">
        <v>2.5343174888884068</v>
      </c>
      <c r="N107" s="640">
        <f t="shared" si="96"/>
        <v>1.6714114825846318</v>
      </c>
      <c r="O107" s="645">
        <v>1.6714114825846318</v>
      </c>
      <c r="P107" s="647">
        <v>0</v>
      </c>
      <c r="Q107" s="650">
        <v>6.6786244071630136</v>
      </c>
    </row>
    <row r="108" spans="2:17" x14ac:dyDescent="0.25">
      <c r="B108" s="427" t="s">
        <v>645</v>
      </c>
      <c r="C108" s="642" t="s">
        <v>646</v>
      </c>
      <c r="D108" s="643">
        <f t="shared" si="93"/>
        <v>100.00000000000001</v>
      </c>
      <c r="E108" s="644">
        <f t="shared" si="94"/>
        <v>27.022605356750542</v>
      </c>
      <c r="F108" s="645">
        <v>1.1205601405559356</v>
      </c>
      <c r="G108" s="646">
        <v>8.0061087134309172</v>
      </c>
      <c r="H108" s="647">
        <v>17.895936502763689</v>
      </c>
      <c r="I108" s="644">
        <f t="shared" si="95"/>
        <v>62.093041264613426</v>
      </c>
      <c r="J108" s="645">
        <v>29.409729323127188</v>
      </c>
      <c r="K108" s="646">
        <v>26.624333415477462</v>
      </c>
      <c r="L108" s="648">
        <v>6.0589785260087767</v>
      </c>
      <c r="M108" s="649">
        <v>2.5343174888884068</v>
      </c>
      <c r="N108" s="640">
        <f t="shared" si="96"/>
        <v>1.6714114825846318</v>
      </c>
      <c r="O108" s="645">
        <v>1.6714114825846318</v>
      </c>
      <c r="P108" s="647">
        <v>0</v>
      </c>
      <c r="Q108" s="650">
        <v>6.6786244071630136</v>
      </c>
    </row>
    <row r="109" spans="2:17" x14ac:dyDescent="0.25">
      <c r="B109" s="427" t="s">
        <v>647</v>
      </c>
      <c r="C109" s="642" t="s">
        <v>648</v>
      </c>
      <c r="D109" s="643">
        <f t="shared" si="93"/>
        <v>100.00000000000001</v>
      </c>
      <c r="E109" s="644">
        <f t="shared" si="94"/>
        <v>27.022605356750542</v>
      </c>
      <c r="F109" s="645">
        <v>1.1205601405559356</v>
      </c>
      <c r="G109" s="646">
        <v>8.0061087134309172</v>
      </c>
      <c r="H109" s="647">
        <v>17.895936502763689</v>
      </c>
      <c r="I109" s="644">
        <f>SUM(J109:L109)</f>
        <v>62.093041264613426</v>
      </c>
      <c r="J109" s="645">
        <v>29.409729323127188</v>
      </c>
      <c r="K109" s="646">
        <v>26.624333415477462</v>
      </c>
      <c r="L109" s="648">
        <v>6.0589785260087767</v>
      </c>
      <c r="M109" s="649">
        <v>2.5343174888884068</v>
      </c>
      <c r="N109" s="640">
        <f t="shared" si="96"/>
        <v>1.6714114825846318</v>
      </c>
      <c r="O109" s="645">
        <v>1.6714114825846318</v>
      </c>
      <c r="P109" s="647">
        <v>0</v>
      </c>
      <c r="Q109" s="650">
        <v>6.6786244071630136</v>
      </c>
    </row>
    <row r="110" spans="2:17" x14ac:dyDescent="0.25">
      <c r="B110" s="427" t="s">
        <v>649</v>
      </c>
      <c r="C110" s="642" t="s">
        <v>650</v>
      </c>
      <c r="D110" s="643">
        <f t="shared" si="93"/>
        <v>100.00000000000001</v>
      </c>
      <c r="E110" s="644">
        <f t="shared" si="94"/>
        <v>27.022605356750542</v>
      </c>
      <c r="F110" s="645">
        <v>1.1205601405559356</v>
      </c>
      <c r="G110" s="646">
        <v>8.0061087134309172</v>
      </c>
      <c r="H110" s="647">
        <v>17.895936502763689</v>
      </c>
      <c r="I110" s="644">
        <f t="shared" si="95"/>
        <v>62.093041264613426</v>
      </c>
      <c r="J110" s="645">
        <v>29.409729323127188</v>
      </c>
      <c r="K110" s="646">
        <v>26.624333415477462</v>
      </c>
      <c r="L110" s="648">
        <v>6.0589785260087767</v>
      </c>
      <c r="M110" s="649">
        <v>2.5343174888884068</v>
      </c>
      <c r="N110" s="640">
        <f t="shared" si="96"/>
        <v>1.6714114825846318</v>
      </c>
      <c r="O110" s="645">
        <v>1.6714114825846318</v>
      </c>
      <c r="P110" s="647">
        <v>0</v>
      </c>
      <c r="Q110" s="650">
        <v>6.6786244071630136</v>
      </c>
    </row>
    <row r="111" spans="2:17" x14ac:dyDescent="0.25">
      <c r="B111" s="427" t="s">
        <v>651</v>
      </c>
      <c r="C111" s="642" t="s">
        <v>652</v>
      </c>
      <c r="D111" s="643">
        <f t="shared" si="93"/>
        <v>100.00000000000001</v>
      </c>
      <c r="E111" s="644">
        <f t="shared" si="94"/>
        <v>27.022605356750542</v>
      </c>
      <c r="F111" s="645">
        <v>1.1205601405559356</v>
      </c>
      <c r="G111" s="646">
        <v>8.0061087134309172</v>
      </c>
      <c r="H111" s="647">
        <v>17.895936502763689</v>
      </c>
      <c r="I111" s="644">
        <f t="shared" si="95"/>
        <v>62.093041264613426</v>
      </c>
      <c r="J111" s="645">
        <v>29.409729323127188</v>
      </c>
      <c r="K111" s="646">
        <v>26.624333415477462</v>
      </c>
      <c r="L111" s="648">
        <v>6.0589785260087767</v>
      </c>
      <c r="M111" s="649">
        <v>2.5343174888884068</v>
      </c>
      <c r="N111" s="640">
        <f t="shared" si="96"/>
        <v>1.6714114825846318</v>
      </c>
      <c r="O111" s="645">
        <v>1.6714114825846318</v>
      </c>
      <c r="P111" s="647">
        <v>0</v>
      </c>
      <c r="Q111" s="650">
        <v>6.6786244071630136</v>
      </c>
    </row>
    <row r="112" spans="2:17" x14ac:dyDescent="0.25">
      <c r="B112" s="427" t="s">
        <v>653</v>
      </c>
      <c r="C112" s="642" t="s">
        <v>654</v>
      </c>
      <c r="D112" s="643">
        <f t="shared" si="93"/>
        <v>100.00000000000001</v>
      </c>
      <c r="E112" s="644">
        <f t="shared" si="94"/>
        <v>27.022605356750542</v>
      </c>
      <c r="F112" s="645">
        <v>1.1205601405559356</v>
      </c>
      <c r="G112" s="646">
        <v>8.0061087134309172</v>
      </c>
      <c r="H112" s="647">
        <v>17.895936502763689</v>
      </c>
      <c r="I112" s="644">
        <f t="shared" si="95"/>
        <v>62.093041264613426</v>
      </c>
      <c r="J112" s="645">
        <v>29.409729323127188</v>
      </c>
      <c r="K112" s="646">
        <v>26.624333415477462</v>
      </c>
      <c r="L112" s="648">
        <v>6.0589785260087767</v>
      </c>
      <c r="M112" s="649">
        <v>2.5343174888884068</v>
      </c>
      <c r="N112" s="640">
        <f t="shared" si="96"/>
        <v>1.6714114825846318</v>
      </c>
      <c r="O112" s="645">
        <v>1.6714114825846318</v>
      </c>
      <c r="P112" s="647">
        <v>0</v>
      </c>
      <c r="Q112" s="650">
        <v>6.6786244071630136</v>
      </c>
    </row>
    <row r="113" spans="2:18" x14ac:dyDescent="0.25">
      <c r="B113" s="423" t="s">
        <v>655</v>
      </c>
      <c r="C113" s="642" t="s">
        <v>656</v>
      </c>
      <c r="D113" s="643">
        <f t="shared" si="93"/>
        <v>100.00000000000001</v>
      </c>
      <c r="E113" s="644">
        <f t="shared" si="94"/>
        <v>27.022605356750542</v>
      </c>
      <c r="F113" s="645">
        <v>1.1205601405559356</v>
      </c>
      <c r="G113" s="646">
        <v>8.0061087134309172</v>
      </c>
      <c r="H113" s="647">
        <v>17.895936502763689</v>
      </c>
      <c r="I113" s="644">
        <f t="shared" si="95"/>
        <v>62.093041264613426</v>
      </c>
      <c r="J113" s="645">
        <v>29.409729323127188</v>
      </c>
      <c r="K113" s="646">
        <v>26.624333415477462</v>
      </c>
      <c r="L113" s="648">
        <v>6.0589785260087767</v>
      </c>
      <c r="M113" s="649">
        <v>2.5343174888884068</v>
      </c>
      <c r="N113" s="640">
        <f t="shared" si="96"/>
        <v>1.6714114825846318</v>
      </c>
      <c r="O113" s="645">
        <v>1.6714114825846318</v>
      </c>
      <c r="P113" s="647">
        <v>0</v>
      </c>
      <c r="Q113" s="650">
        <v>6.6786244071630136</v>
      </c>
    </row>
    <row r="114" spans="2:18" x14ac:dyDescent="0.25">
      <c r="B114" s="427" t="s">
        <v>657</v>
      </c>
      <c r="C114" s="651" t="s">
        <v>658</v>
      </c>
      <c r="D114" s="652">
        <f t="shared" si="93"/>
        <v>100.00000000000001</v>
      </c>
      <c r="E114" s="653">
        <f t="shared" si="94"/>
        <v>27.022605356750542</v>
      </c>
      <c r="F114" s="654">
        <v>1.1205601405559356</v>
      </c>
      <c r="G114" s="655">
        <v>8.0061087134309172</v>
      </c>
      <c r="H114" s="656">
        <v>17.895936502763689</v>
      </c>
      <c r="I114" s="653">
        <f t="shared" si="95"/>
        <v>62.093041264613426</v>
      </c>
      <c r="J114" s="654">
        <v>29.409729323127188</v>
      </c>
      <c r="K114" s="655">
        <v>26.624333415477462</v>
      </c>
      <c r="L114" s="657">
        <v>6.0589785260087767</v>
      </c>
      <c r="M114" s="658">
        <v>2.5343174888884068</v>
      </c>
      <c r="N114" s="640">
        <f t="shared" si="96"/>
        <v>1.6714114825846318</v>
      </c>
      <c r="O114" s="654">
        <v>1.6714114825846318</v>
      </c>
      <c r="P114" s="656">
        <v>0</v>
      </c>
      <c r="Q114" s="659">
        <v>6.6786244071630136</v>
      </c>
    </row>
    <row r="115" spans="2:18" x14ac:dyDescent="0.25">
      <c r="B115" s="660" t="s">
        <v>659</v>
      </c>
      <c r="C115" s="661" t="s">
        <v>660</v>
      </c>
      <c r="D115" s="662">
        <f t="shared" si="93"/>
        <v>100.00000000000001</v>
      </c>
      <c r="E115" s="663">
        <f t="shared" si="94"/>
        <v>27.022605356750542</v>
      </c>
      <c r="F115" s="664">
        <v>1.1205601405559356</v>
      </c>
      <c r="G115" s="665">
        <v>8.0061087134309172</v>
      </c>
      <c r="H115" s="666">
        <v>17.895936502763689</v>
      </c>
      <c r="I115" s="663">
        <f t="shared" si="95"/>
        <v>62.093041264613426</v>
      </c>
      <c r="J115" s="664">
        <v>29.409729323127188</v>
      </c>
      <c r="K115" s="665">
        <v>26.624333415477462</v>
      </c>
      <c r="L115" s="667">
        <v>6.0589785260087767</v>
      </c>
      <c r="M115" s="668">
        <v>2.5343174888884068</v>
      </c>
      <c r="N115" s="640">
        <f t="shared" si="96"/>
        <v>1.6714114825846318</v>
      </c>
      <c r="O115" s="664">
        <v>1.6714114825846318</v>
      </c>
      <c r="P115" s="666">
        <v>0</v>
      </c>
      <c r="Q115" s="669">
        <v>6.6786244071630136</v>
      </c>
    </row>
    <row r="116" spans="2:18" x14ac:dyDescent="0.25">
      <c r="B116" s="549" t="s">
        <v>493</v>
      </c>
      <c r="C116" s="549" t="s">
        <v>661</v>
      </c>
      <c r="D116" s="670">
        <f t="shared" ref="D116:Q116" si="97">D117+D121+D128+D130+D136+D139</f>
        <v>123.28006999999999</v>
      </c>
      <c r="E116" s="671">
        <f t="shared" si="97"/>
        <v>34.45718993466749</v>
      </c>
      <c r="F116" s="672">
        <f t="shared" si="97"/>
        <v>3.7032984638885926</v>
      </c>
      <c r="G116" s="673">
        <f t="shared" si="97"/>
        <v>11.325675240543932</v>
      </c>
      <c r="H116" s="674">
        <f t="shared" si="97"/>
        <v>19.428216230234966</v>
      </c>
      <c r="I116" s="671">
        <f t="shared" si="97"/>
        <v>65.764717802082927</v>
      </c>
      <c r="J116" s="672">
        <f t="shared" si="97"/>
        <v>24.595088130469449</v>
      </c>
      <c r="K116" s="673">
        <f t="shared" si="97"/>
        <v>32.438826402747111</v>
      </c>
      <c r="L116" s="675">
        <f t="shared" si="97"/>
        <v>8.7308032688663761</v>
      </c>
      <c r="M116" s="671">
        <f t="shared" si="97"/>
        <v>3.524428680929129</v>
      </c>
      <c r="N116" s="676">
        <f t="shared" si="97"/>
        <v>12.887429513491298</v>
      </c>
      <c r="O116" s="672">
        <f t="shared" si="97"/>
        <v>12.887429513491298</v>
      </c>
      <c r="P116" s="674">
        <f t="shared" si="97"/>
        <v>0</v>
      </c>
      <c r="Q116" s="676">
        <f t="shared" si="97"/>
        <v>6.6463040688291528</v>
      </c>
      <c r="R116" s="618"/>
    </row>
    <row r="117" spans="2:18" x14ac:dyDescent="0.25">
      <c r="B117" s="556" t="s">
        <v>495</v>
      </c>
      <c r="C117" s="557" t="s">
        <v>8</v>
      </c>
      <c r="D117" s="633">
        <f>SUM(D118:D120)</f>
        <v>0</v>
      </c>
      <c r="E117" s="677">
        <f t="shared" ref="E117:E142" si="98">SUM(F117:H117)</f>
        <v>0</v>
      </c>
      <c r="F117" s="678">
        <f>SUM(F118:F120)</f>
        <v>0</v>
      </c>
      <c r="G117" s="679">
        <f>SUM(G118:G120)</f>
        <v>0</v>
      </c>
      <c r="H117" s="680">
        <f>SUM(H118:H120)</f>
        <v>0</v>
      </c>
      <c r="I117" s="677">
        <f t="shared" ref="I117:I142" si="99">SUM(J117:L117)</f>
        <v>0</v>
      </c>
      <c r="J117" s="678">
        <f t="shared" ref="J117:Q117" si="100">SUM(J118:J120)</f>
        <v>0</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x14ac:dyDescent="0.25">
      <c r="B118" s="558" t="s">
        <v>496</v>
      </c>
      <c r="C118" s="559" t="s">
        <v>10</v>
      </c>
      <c r="D118" s="683">
        <v>0</v>
      </c>
      <c r="E118" s="454">
        <f t="shared" si="98"/>
        <v>0</v>
      </c>
      <c r="F118" s="684">
        <f t="shared" ref="F118:H120" si="102">IFERROR($D118*F144/100, 0)</f>
        <v>0</v>
      </c>
      <c r="G118" s="685">
        <f t="shared" si="102"/>
        <v>0</v>
      </c>
      <c r="H118" s="686">
        <f t="shared" si="102"/>
        <v>0</v>
      </c>
      <c r="I118" s="454">
        <f t="shared" si="99"/>
        <v>0</v>
      </c>
      <c r="J118" s="684">
        <f t="shared" ref="J118:M120" si="103">IFERROR($D118*J144/100, 0)</f>
        <v>0</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x14ac:dyDescent="0.25">
      <c r="B119" s="558" t="s">
        <v>662</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x14ac:dyDescent="0.25">
      <c r="B120" s="558" t="s">
        <v>663</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x14ac:dyDescent="0.25">
      <c r="B121" s="556" t="s">
        <v>155</v>
      </c>
      <c r="C121" s="560" t="s">
        <v>15</v>
      </c>
      <c r="D121" s="633">
        <f>SUM(D122:D127)</f>
        <v>113.78229999999999</v>
      </c>
      <c r="E121" s="677">
        <f t="shared" si="98"/>
        <v>31.802531603878201</v>
      </c>
      <c r="F121" s="678">
        <f>SUM(F122:F127)</f>
        <v>3.417988137155592</v>
      </c>
      <c r="G121" s="679">
        <f>SUM(G122:G127)</f>
        <v>10.453120102236653</v>
      </c>
      <c r="H121" s="680">
        <f>SUM(H122:H127)</f>
        <v>17.931423364485955</v>
      </c>
      <c r="I121" s="677">
        <f t="shared" si="99"/>
        <v>60.698058091400668</v>
      </c>
      <c r="J121" s="678">
        <f t="shared" ref="J121:Q121" si="105">SUM(J122:J127)</f>
        <v>22.700227994577826</v>
      </c>
      <c r="K121" s="679">
        <f t="shared" si="105"/>
        <v>29.939667274728937</v>
      </c>
      <c r="L121" s="681">
        <f t="shared" si="105"/>
        <v>8.0581628220939088</v>
      </c>
      <c r="M121" s="677">
        <f t="shared" si="105"/>
        <v>3.2528988789678852</v>
      </c>
      <c r="N121" s="682">
        <f t="shared" si="101"/>
        <v>11.894553362379831</v>
      </c>
      <c r="O121" s="678">
        <f t="shared" si="105"/>
        <v>11.894553362379831</v>
      </c>
      <c r="P121" s="680">
        <f t="shared" si="105"/>
        <v>0</v>
      </c>
      <c r="Q121" s="682">
        <f t="shared" si="105"/>
        <v>6.1342580633734167</v>
      </c>
    </row>
    <row r="122" spans="2:18" x14ac:dyDescent="0.25">
      <c r="B122" s="558" t="s">
        <v>498</v>
      </c>
      <c r="C122" s="559" t="s">
        <v>17</v>
      </c>
      <c r="D122" s="683">
        <v>113.78229999999999</v>
      </c>
      <c r="E122" s="454">
        <f t="shared" si="98"/>
        <v>31.802531603878201</v>
      </c>
      <c r="F122" s="684">
        <f t="shared" ref="F122:H124" si="106">IFERROR($D122*F147/100, 0)</f>
        <v>3.417988137155592</v>
      </c>
      <c r="G122" s="685">
        <f t="shared" si="106"/>
        <v>10.453120102236653</v>
      </c>
      <c r="H122" s="686">
        <f t="shared" si="106"/>
        <v>17.931423364485955</v>
      </c>
      <c r="I122" s="454">
        <f t="shared" si="99"/>
        <v>60.698058091400668</v>
      </c>
      <c r="J122" s="684">
        <f t="shared" ref="J122:M124" si="107">IFERROR($D122*J147/100, 0)</f>
        <v>22.700227994577826</v>
      </c>
      <c r="K122" s="685">
        <f t="shared" si="107"/>
        <v>29.939667274728937</v>
      </c>
      <c r="L122" s="687">
        <f t="shared" si="107"/>
        <v>8.0581628220939088</v>
      </c>
      <c r="M122" s="454">
        <f t="shared" si="107"/>
        <v>3.2528988789678852</v>
      </c>
      <c r="N122" s="688">
        <f t="shared" si="101"/>
        <v>11.894553362379831</v>
      </c>
      <c r="O122" s="684">
        <f t="shared" ref="O122:Q124" si="108">IFERROR($D122*O147/100, 0)</f>
        <v>11.894553362379831</v>
      </c>
      <c r="P122" s="686">
        <f t="shared" si="108"/>
        <v>0</v>
      </c>
      <c r="Q122" s="688">
        <f t="shared" si="108"/>
        <v>6.1342580633734167</v>
      </c>
    </row>
    <row r="123" spans="2:18" x14ac:dyDescent="0.25">
      <c r="B123" s="558" t="s">
        <v>500</v>
      </c>
      <c r="C123" s="559" t="s">
        <v>598</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x14ac:dyDescent="0.25">
      <c r="B124" s="558" t="s">
        <v>664</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x14ac:dyDescent="0.25">
      <c r="B125" s="558" t="s">
        <v>665</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x14ac:dyDescent="0.25">
      <c r="B126" s="558" t="s">
        <v>666</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x14ac:dyDescent="0.25">
      <c r="B127" s="558" t="s">
        <v>667</v>
      </c>
      <c r="C127" s="559" t="s">
        <v>668</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x14ac:dyDescent="0.25">
      <c r="B128" s="556" t="s">
        <v>157</v>
      </c>
      <c r="C128" s="562" t="s">
        <v>31</v>
      </c>
      <c r="D128" s="633">
        <f>D129</f>
        <v>9.4977700000000009</v>
      </c>
      <c r="E128" s="677">
        <f t="shared" si="98"/>
        <v>2.6546583307892906</v>
      </c>
      <c r="F128" s="633">
        <f>F129</f>
        <v>0.28531032673300039</v>
      </c>
      <c r="G128" s="692">
        <f>G129</f>
        <v>0.87255513830727827</v>
      </c>
      <c r="H128" s="682">
        <f>H129</f>
        <v>1.4967928657490117</v>
      </c>
      <c r="I128" s="677">
        <f t="shared" si="99"/>
        <v>5.0666597106822646</v>
      </c>
      <c r="J128" s="633">
        <f t="shared" ref="J128:Q128" si="114">J129</f>
        <v>1.8948601358916235</v>
      </c>
      <c r="K128" s="692">
        <f t="shared" si="114"/>
        <v>2.499159128018174</v>
      </c>
      <c r="L128" s="693">
        <f t="shared" si="114"/>
        <v>0.67264044677246704</v>
      </c>
      <c r="M128" s="677">
        <f t="shared" si="114"/>
        <v>0.27152980196124366</v>
      </c>
      <c r="N128" s="682">
        <f t="shared" si="101"/>
        <v>0.99287615111146732</v>
      </c>
      <c r="O128" s="678">
        <f t="shared" si="114"/>
        <v>0.99287615111146732</v>
      </c>
      <c r="P128" s="680">
        <f t="shared" si="114"/>
        <v>0</v>
      </c>
      <c r="Q128" s="682">
        <f t="shared" si="114"/>
        <v>0.51204600545573564</v>
      </c>
    </row>
    <row r="129" spans="2:17" x14ac:dyDescent="0.25">
      <c r="B129" s="558" t="s">
        <v>501</v>
      </c>
      <c r="C129" s="563" t="s">
        <v>669</v>
      </c>
      <c r="D129" s="683">
        <v>9.4977700000000009</v>
      </c>
      <c r="E129" s="454">
        <f t="shared" si="98"/>
        <v>2.6546583307892906</v>
      </c>
      <c r="F129" s="689">
        <f>IFERROR($D129*F153/100, 0)</f>
        <v>0.28531032673300039</v>
      </c>
      <c r="G129" s="690">
        <f>IFERROR($D129*G153/100, 0)</f>
        <v>0.87255513830727827</v>
      </c>
      <c r="H129" s="688">
        <f>IFERROR($D129*H153/100, 0)</f>
        <v>1.4967928657490117</v>
      </c>
      <c r="I129" s="454">
        <f t="shared" si="99"/>
        <v>5.0666597106822646</v>
      </c>
      <c r="J129" s="689">
        <f t="shared" ref="J129:Q129" si="115">IFERROR($D129*J153/100, 0)</f>
        <v>1.8948601358916235</v>
      </c>
      <c r="K129" s="690">
        <f t="shared" si="115"/>
        <v>2.499159128018174</v>
      </c>
      <c r="L129" s="694">
        <f t="shared" si="115"/>
        <v>0.67264044677246704</v>
      </c>
      <c r="M129" s="454">
        <f t="shared" si="115"/>
        <v>0.27152980196124366</v>
      </c>
      <c r="N129" s="688">
        <f t="shared" si="101"/>
        <v>0.99287615111146732</v>
      </c>
      <c r="O129" s="684">
        <f t="shared" si="115"/>
        <v>0.99287615111146732</v>
      </c>
      <c r="P129" s="686">
        <f t="shared" si="115"/>
        <v>0</v>
      </c>
      <c r="Q129" s="688">
        <f t="shared" si="115"/>
        <v>0.51204600545573564</v>
      </c>
    </row>
    <row r="130" spans="2:17" x14ac:dyDescent="0.25">
      <c r="B130" s="556" t="s">
        <v>159</v>
      </c>
      <c r="C130" s="562" t="s">
        <v>37</v>
      </c>
      <c r="D130" s="633">
        <f>D131+D135</f>
        <v>0</v>
      </c>
      <c r="E130" s="677">
        <f t="shared" si="98"/>
        <v>0</v>
      </c>
      <c r="F130" s="633">
        <f>F131+F135</f>
        <v>0</v>
      </c>
      <c r="G130" s="692">
        <f>G131+G135</f>
        <v>0</v>
      </c>
      <c r="H130" s="682">
        <f>H131+H135</f>
        <v>0</v>
      </c>
      <c r="I130" s="677">
        <f t="shared" si="99"/>
        <v>0</v>
      </c>
      <c r="J130" s="633">
        <f t="shared" ref="J130:Q130" si="116">J131+J135</f>
        <v>0</v>
      </c>
      <c r="K130" s="692">
        <f t="shared" si="116"/>
        <v>0</v>
      </c>
      <c r="L130" s="693">
        <f t="shared" si="116"/>
        <v>0</v>
      </c>
      <c r="M130" s="677">
        <f t="shared" si="116"/>
        <v>0</v>
      </c>
      <c r="N130" s="682">
        <f t="shared" si="101"/>
        <v>0</v>
      </c>
      <c r="O130" s="678">
        <f t="shared" si="116"/>
        <v>0</v>
      </c>
      <c r="P130" s="680">
        <f t="shared" si="116"/>
        <v>0</v>
      </c>
      <c r="Q130" s="682">
        <f t="shared" si="116"/>
        <v>0</v>
      </c>
    </row>
    <row r="131" spans="2:17" x14ac:dyDescent="0.25">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x14ac:dyDescent="0.25">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x14ac:dyDescent="0.25">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4" x14ac:dyDescent="0.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4" x14ac:dyDescent="0.25">
      <c r="B135" s="558" t="s">
        <v>506</v>
      </c>
      <c r="C135" s="567" t="s">
        <v>608</v>
      </c>
      <c r="D135" s="683">
        <v>0</v>
      </c>
      <c r="E135" s="454">
        <f t="shared" si="98"/>
        <v>0</v>
      </c>
      <c r="F135" s="689">
        <f>IFERROR($D135*F158/100, 0)</f>
        <v>0</v>
      </c>
      <c r="G135" s="690">
        <f t="shared" si="118"/>
        <v>0</v>
      </c>
      <c r="H135" s="688">
        <f t="shared" si="118"/>
        <v>0</v>
      </c>
      <c r="I135" s="454">
        <f t="shared" si="99"/>
        <v>0</v>
      </c>
      <c r="J135" s="689">
        <f t="shared" ref="J135:M135" si="123">IFERROR($D135*J158/100, 0)</f>
        <v>0</v>
      </c>
      <c r="K135" s="690">
        <f t="shared" si="123"/>
        <v>0</v>
      </c>
      <c r="L135" s="691">
        <f t="shared" si="123"/>
        <v>0</v>
      </c>
      <c r="M135" s="454">
        <f t="shared" si="123"/>
        <v>0</v>
      </c>
      <c r="N135" s="688">
        <f t="shared" si="101"/>
        <v>0</v>
      </c>
      <c r="O135" s="684">
        <f t="shared" si="122"/>
        <v>0</v>
      </c>
      <c r="P135" s="686">
        <f t="shared" si="122"/>
        <v>0</v>
      </c>
      <c r="Q135" s="688">
        <f t="shared" si="122"/>
        <v>0</v>
      </c>
    </row>
    <row r="136" spans="2:17" x14ac:dyDescent="0.25">
      <c r="B136" s="556" t="s">
        <v>161</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x14ac:dyDescent="0.25">
      <c r="B137" s="576" t="s">
        <v>670</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x14ac:dyDescent="0.25">
      <c r="B138" s="576" t="s">
        <v>671</v>
      </c>
      <c r="C138" s="581" t="s">
        <v>672</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x14ac:dyDescent="0.25">
      <c r="B139" s="582" t="s">
        <v>163</v>
      </c>
      <c r="C139" s="583" t="s">
        <v>609</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x14ac:dyDescent="0.25">
      <c r="B140" s="584" t="s">
        <v>507</v>
      </c>
      <c r="C140" s="585" t="s">
        <v>1368</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x14ac:dyDescent="0.25">
      <c r="B141" s="576" t="s">
        <v>508</v>
      </c>
      <c r="C141" s="585" t="s">
        <v>49</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x14ac:dyDescent="0.25">
      <c r="B142" s="621" t="s">
        <v>509</v>
      </c>
      <c r="C142" s="587" t="s">
        <v>1369</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x14ac:dyDescent="0.25">
      <c r="B143" s="546" t="s">
        <v>197</v>
      </c>
      <c r="C143" s="629" t="s">
        <v>673</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x14ac:dyDescent="0.25">
      <c r="B144" s="393" t="s">
        <v>199</v>
      </c>
      <c r="C144" s="632" t="s">
        <v>674</v>
      </c>
      <c r="D144" s="633">
        <f t="shared" ref="D144:D164" si="134">E144+I144+M144+N144+Q144</f>
        <v>100.00000000000001</v>
      </c>
      <c r="E144" s="634">
        <f t="shared" ref="E144:E164" si="135">SUM(F144:H144)</f>
        <v>27.950332875920246</v>
      </c>
      <c r="F144" s="713">
        <v>3.0039717400295056</v>
      </c>
      <c r="G144" s="714">
        <v>9.1869474445820245</v>
      </c>
      <c r="H144" s="715">
        <v>15.759413691308714</v>
      </c>
      <c r="I144" s="634">
        <f t="shared" ref="I144:I164" si="136">SUM(J144:L144)</f>
        <v>53.345782332929353</v>
      </c>
      <c r="J144" s="713">
        <v>19.950579303264064</v>
      </c>
      <c r="K144" s="714">
        <v>26.31311484715016</v>
      </c>
      <c r="L144" s="715">
        <v>7.0820881825151272</v>
      </c>
      <c r="M144" s="716">
        <v>2.8588795260492059</v>
      </c>
      <c r="N144" s="640">
        <f>SUM(O144:P144)</f>
        <v>10.453781794162916</v>
      </c>
      <c r="O144" s="714">
        <v>10.453781794162916</v>
      </c>
      <c r="P144" s="717">
        <v>0</v>
      </c>
      <c r="Q144" s="716">
        <v>5.3912234709382894</v>
      </c>
    </row>
    <row r="145" spans="2:17" x14ac:dyDescent="0.25">
      <c r="B145" s="423" t="s">
        <v>201</v>
      </c>
      <c r="C145" s="642" t="s">
        <v>675</v>
      </c>
      <c r="D145" s="643">
        <f t="shared" si="134"/>
        <v>100.00000000000001</v>
      </c>
      <c r="E145" s="644">
        <f t="shared" si="135"/>
        <v>27.950332875920246</v>
      </c>
      <c r="F145" s="645">
        <v>3.0039717400295056</v>
      </c>
      <c r="G145" s="646">
        <v>9.1869474445820245</v>
      </c>
      <c r="H145" s="648">
        <v>15.759413691308714</v>
      </c>
      <c r="I145" s="644">
        <f t="shared" si="136"/>
        <v>53.345782332929353</v>
      </c>
      <c r="J145" s="645">
        <v>19.950579303264064</v>
      </c>
      <c r="K145" s="646">
        <v>26.31311484715016</v>
      </c>
      <c r="L145" s="648">
        <v>7.0820881825151272</v>
      </c>
      <c r="M145" s="649">
        <v>2.8588795260492059</v>
      </c>
      <c r="N145" s="640">
        <f t="shared" ref="N145:N163" si="137">SUM(O145:P145)</f>
        <v>10.453781794162916</v>
      </c>
      <c r="O145" s="646">
        <v>10.453781794162916</v>
      </c>
      <c r="P145" s="647">
        <v>0</v>
      </c>
      <c r="Q145" s="649">
        <v>5.3912234709382894</v>
      </c>
    </row>
    <row r="146" spans="2:17" x14ac:dyDescent="0.25">
      <c r="B146" s="423" t="s">
        <v>209</v>
      </c>
      <c r="C146" s="642" t="s">
        <v>676</v>
      </c>
      <c r="D146" s="643">
        <f t="shared" si="134"/>
        <v>100.00000000000001</v>
      </c>
      <c r="E146" s="644">
        <f t="shared" si="135"/>
        <v>27.950332875920246</v>
      </c>
      <c r="F146" s="645">
        <v>3.0039717400295056</v>
      </c>
      <c r="G146" s="646">
        <v>9.1869474445820245</v>
      </c>
      <c r="H146" s="648">
        <v>15.759413691308714</v>
      </c>
      <c r="I146" s="644">
        <f t="shared" si="136"/>
        <v>53.345782332929353</v>
      </c>
      <c r="J146" s="645">
        <v>19.950579303264064</v>
      </c>
      <c r="K146" s="646">
        <v>26.31311484715016</v>
      </c>
      <c r="L146" s="648">
        <v>7.0820881825151272</v>
      </c>
      <c r="M146" s="649">
        <v>2.8588795260492059</v>
      </c>
      <c r="N146" s="640">
        <f t="shared" si="137"/>
        <v>10.453781794162916</v>
      </c>
      <c r="O146" s="646">
        <v>10.453781794162916</v>
      </c>
      <c r="P146" s="647">
        <v>0</v>
      </c>
      <c r="Q146" s="649">
        <v>5.3912234709382894</v>
      </c>
    </row>
    <row r="147" spans="2:17" x14ac:dyDescent="0.25">
      <c r="B147" s="427" t="s">
        <v>677</v>
      </c>
      <c r="C147" s="642" t="s">
        <v>678</v>
      </c>
      <c r="D147" s="643">
        <f t="shared" si="134"/>
        <v>100.00000000000001</v>
      </c>
      <c r="E147" s="644">
        <f t="shared" si="135"/>
        <v>27.950332875920246</v>
      </c>
      <c r="F147" s="645">
        <v>3.0039717400295056</v>
      </c>
      <c r="G147" s="646">
        <v>9.1869474445820245</v>
      </c>
      <c r="H147" s="648">
        <v>15.759413691308714</v>
      </c>
      <c r="I147" s="644">
        <f t="shared" si="136"/>
        <v>53.345782332929353</v>
      </c>
      <c r="J147" s="645">
        <v>19.950579303264064</v>
      </c>
      <c r="K147" s="646">
        <v>26.31311484715016</v>
      </c>
      <c r="L147" s="648">
        <v>7.0820881825151272</v>
      </c>
      <c r="M147" s="649">
        <v>2.8588795260492059</v>
      </c>
      <c r="N147" s="640">
        <f t="shared" si="137"/>
        <v>10.453781794162916</v>
      </c>
      <c r="O147" s="646">
        <v>10.453781794162916</v>
      </c>
      <c r="P147" s="647">
        <v>0</v>
      </c>
      <c r="Q147" s="649">
        <v>5.3912234709382894</v>
      </c>
    </row>
    <row r="148" spans="2:17" x14ac:dyDescent="0.25">
      <c r="B148" s="423" t="s">
        <v>679</v>
      </c>
      <c r="C148" s="642" t="s">
        <v>680</v>
      </c>
      <c r="D148" s="643">
        <f t="shared" si="134"/>
        <v>100.00000000000001</v>
      </c>
      <c r="E148" s="644">
        <f t="shared" si="135"/>
        <v>27.950332875920246</v>
      </c>
      <c r="F148" s="645">
        <v>3.0039717400295056</v>
      </c>
      <c r="G148" s="646">
        <v>9.1869474445820245</v>
      </c>
      <c r="H148" s="648">
        <v>15.759413691308714</v>
      </c>
      <c r="I148" s="644">
        <f t="shared" si="136"/>
        <v>53.345782332929353</v>
      </c>
      <c r="J148" s="645">
        <v>19.950579303264064</v>
      </c>
      <c r="K148" s="646">
        <v>26.31311484715016</v>
      </c>
      <c r="L148" s="648">
        <v>7.0820881825151272</v>
      </c>
      <c r="M148" s="649">
        <v>2.8588795260492059</v>
      </c>
      <c r="N148" s="640">
        <f t="shared" si="137"/>
        <v>10.453781794162916</v>
      </c>
      <c r="O148" s="646">
        <v>10.453781794162916</v>
      </c>
      <c r="P148" s="647">
        <v>0</v>
      </c>
      <c r="Q148" s="649">
        <v>5.3912234709382894</v>
      </c>
    </row>
    <row r="149" spans="2:17" x14ac:dyDescent="0.25">
      <c r="B149" s="423" t="s">
        <v>681</v>
      </c>
      <c r="C149" s="642" t="s">
        <v>682</v>
      </c>
      <c r="D149" s="643">
        <f t="shared" si="134"/>
        <v>100.00000000000001</v>
      </c>
      <c r="E149" s="644">
        <f t="shared" si="135"/>
        <v>27.950332875920246</v>
      </c>
      <c r="F149" s="645">
        <v>3.0039717400295056</v>
      </c>
      <c r="G149" s="646">
        <v>9.1869474445820245</v>
      </c>
      <c r="H149" s="648">
        <v>15.759413691308714</v>
      </c>
      <c r="I149" s="644">
        <f t="shared" si="136"/>
        <v>53.345782332929353</v>
      </c>
      <c r="J149" s="645">
        <v>19.950579303264064</v>
      </c>
      <c r="K149" s="646">
        <v>26.31311484715016</v>
      </c>
      <c r="L149" s="648">
        <v>7.0820881825151272</v>
      </c>
      <c r="M149" s="649">
        <v>2.8588795260492059</v>
      </c>
      <c r="N149" s="640">
        <f t="shared" si="137"/>
        <v>10.453781794162916</v>
      </c>
      <c r="O149" s="646">
        <v>10.453781794162916</v>
      </c>
      <c r="P149" s="647">
        <v>0</v>
      </c>
      <c r="Q149" s="649">
        <v>5.3912234709382894</v>
      </c>
    </row>
    <row r="150" spans="2:17" x14ac:dyDescent="0.25">
      <c r="B150" s="423" t="s">
        <v>683</v>
      </c>
      <c r="C150" s="642" t="s">
        <v>684</v>
      </c>
      <c r="D150" s="643">
        <f t="shared" si="134"/>
        <v>100.00000000000001</v>
      </c>
      <c r="E150" s="644">
        <f t="shared" si="135"/>
        <v>27.950332875920246</v>
      </c>
      <c r="F150" s="645">
        <v>3.0039717400295056</v>
      </c>
      <c r="G150" s="646">
        <v>9.1869474445820245</v>
      </c>
      <c r="H150" s="648">
        <v>15.759413691308714</v>
      </c>
      <c r="I150" s="644">
        <f t="shared" si="136"/>
        <v>53.345782332929353</v>
      </c>
      <c r="J150" s="645">
        <v>19.950579303264064</v>
      </c>
      <c r="K150" s="646">
        <v>26.31311484715016</v>
      </c>
      <c r="L150" s="648">
        <v>7.0820881825151272</v>
      </c>
      <c r="M150" s="649">
        <v>2.8588795260492059</v>
      </c>
      <c r="N150" s="640">
        <f t="shared" si="137"/>
        <v>10.453781794162916</v>
      </c>
      <c r="O150" s="646">
        <v>10.453781794162916</v>
      </c>
      <c r="P150" s="647">
        <v>0</v>
      </c>
      <c r="Q150" s="649">
        <v>5.3912234709382894</v>
      </c>
    </row>
    <row r="151" spans="2:17" x14ac:dyDescent="0.25">
      <c r="B151" s="423" t="s">
        <v>685</v>
      </c>
      <c r="C151" s="642" t="s">
        <v>686</v>
      </c>
      <c r="D151" s="643">
        <f t="shared" ref="D151:D152" si="138">E151+I151+M151+N151+Q151</f>
        <v>100.00000000000001</v>
      </c>
      <c r="E151" s="644">
        <f t="shared" ref="E151:E152" si="139">SUM(F151:H151)</f>
        <v>27.950332875920246</v>
      </c>
      <c r="F151" s="645">
        <v>3.0039717400295056</v>
      </c>
      <c r="G151" s="646">
        <v>9.1869474445820245</v>
      </c>
      <c r="H151" s="648">
        <v>15.759413691308714</v>
      </c>
      <c r="I151" s="644">
        <f t="shared" si="136"/>
        <v>53.345782332929353</v>
      </c>
      <c r="J151" s="645">
        <v>19.950579303264064</v>
      </c>
      <c r="K151" s="646">
        <v>26.31311484715016</v>
      </c>
      <c r="L151" s="648">
        <v>7.0820881825151272</v>
      </c>
      <c r="M151" s="649">
        <v>2.8588795260492059</v>
      </c>
      <c r="N151" s="640">
        <f t="shared" si="137"/>
        <v>10.453781794162916</v>
      </c>
      <c r="O151" s="646">
        <v>10.453781794162916</v>
      </c>
      <c r="P151" s="647">
        <v>0</v>
      </c>
      <c r="Q151" s="649">
        <v>5.3912234709382894</v>
      </c>
    </row>
    <row r="152" spans="2:17" x14ac:dyDescent="0.25">
      <c r="B152" s="423" t="s">
        <v>687</v>
      </c>
      <c r="C152" s="642" t="s">
        <v>688</v>
      </c>
      <c r="D152" s="643">
        <f t="shared" si="138"/>
        <v>100.00000000000001</v>
      </c>
      <c r="E152" s="644">
        <f t="shared" si="139"/>
        <v>27.950332875920246</v>
      </c>
      <c r="F152" s="645">
        <v>3.0039717400295056</v>
      </c>
      <c r="G152" s="646">
        <v>9.1869474445820245</v>
      </c>
      <c r="H152" s="648">
        <v>15.759413691308714</v>
      </c>
      <c r="I152" s="644">
        <f t="shared" si="136"/>
        <v>53.345782332929353</v>
      </c>
      <c r="J152" s="645">
        <v>19.950579303264064</v>
      </c>
      <c r="K152" s="646">
        <v>26.31311484715016</v>
      </c>
      <c r="L152" s="648">
        <v>7.0820881825151272</v>
      </c>
      <c r="M152" s="649">
        <v>2.8588795260492059</v>
      </c>
      <c r="N152" s="640">
        <f t="shared" si="137"/>
        <v>10.453781794162916</v>
      </c>
      <c r="O152" s="646">
        <v>10.453781794162916</v>
      </c>
      <c r="P152" s="647">
        <v>0</v>
      </c>
      <c r="Q152" s="649">
        <v>5.3912234709382894</v>
      </c>
    </row>
    <row r="153" spans="2:17" x14ac:dyDescent="0.25">
      <c r="B153" s="427" t="s">
        <v>689</v>
      </c>
      <c r="C153" s="642" t="s">
        <v>690</v>
      </c>
      <c r="D153" s="643">
        <f t="shared" si="134"/>
        <v>100.00000000000001</v>
      </c>
      <c r="E153" s="644">
        <f t="shared" si="135"/>
        <v>27.950332875920246</v>
      </c>
      <c r="F153" s="645">
        <v>3.0039717400295056</v>
      </c>
      <c r="G153" s="646">
        <v>9.1869474445820245</v>
      </c>
      <c r="H153" s="648">
        <v>15.759413691308714</v>
      </c>
      <c r="I153" s="644">
        <f t="shared" si="136"/>
        <v>53.345782332929353</v>
      </c>
      <c r="J153" s="645">
        <v>19.950579303264064</v>
      </c>
      <c r="K153" s="646">
        <v>26.31311484715016</v>
      </c>
      <c r="L153" s="648">
        <v>7.0820881825151272</v>
      </c>
      <c r="M153" s="649">
        <v>2.8588795260492059</v>
      </c>
      <c r="N153" s="640">
        <f t="shared" si="137"/>
        <v>10.453781794162916</v>
      </c>
      <c r="O153" s="646">
        <v>10.453781794162916</v>
      </c>
      <c r="P153" s="647">
        <v>0</v>
      </c>
      <c r="Q153" s="649">
        <v>5.3912234709382894</v>
      </c>
    </row>
    <row r="154" spans="2:17" x14ac:dyDescent="0.25">
      <c r="B154" s="427" t="s">
        <v>691</v>
      </c>
      <c r="C154" s="642" t="s">
        <v>692</v>
      </c>
      <c r="D154" s="643">
        <f t="shared" si="134"/>
        <v>100.00000000000001</v>
      </c>
      <c r="E154" s="644">
        <f t="shared" si="135"/>
        <v>27.950332875920246</v>
      </c>
      <c r="F154" s="645">
        <v>3.0039717400295056</v>
      </c>
      <c r="G154" s="646">
        <v>9.1869474445820245</v>
      </c>
      <c r="H154" s="648">
        <v>15.759413691308714</v>
      </c>
      <c r="I154" s="644">
        <f t="shared" si="136"/>
        <v>53.345782332929353</v>
      </c>
      <c r="J154" s="645">
        <v>19.950579303264064</v>
      </c>
      <c r="K154" s="646">
        <v>26.31311484715016</v>
      </c>
      <c r="L154" s="648">
        <v>7.0820881825151272</v>
      </c>
      <c r="M154" s="649">
        <v>2.8588795260492059</v>
      </c>
      <c r="N154" s="640">
        <f t="shared" si="137"/>
        <v>10.453781794162916</v>
      </c>
      <c r="O154" s="646">
        <v>10.453781794162916</v>
      </c>
      <c r="P154" s="647">
        <v>0</v>
      </c>
      <c r="Q154" s="649">
        <v>5.3912234709382894</v>
      </c>
    </row>
    <row r="155" spans="2:17" x14ac:dyDescent="0.25">
      <c r="B155" s="427" t="s">
        <v>693</v>
      </c>
      <c r="C155" s="642" t="s">
        <v>694</v>
      </c>
      <c r="D155" s="643">
        <f t="shared" si="134"/>
        <v>100.00000000000001</v>
      </c>
      <c r="E155" s="644">
        <f t="shared" si="135"/>
        <v>27.950332875920246</v>
      </c>
      <c r="F155" s="645">
        <v>3.0039717400295056</v>
      </c>
      <c r="G155" s="646">
        <v>9.1869474445820245</v>
      </c>
      <c r="H155" s="648">
        <v>15.759413691308714</v>
      </c>
      <c r="I155" s="644">
        <f t="shared" si="136"/>
        <v>53.345782332929353</v>
      </c>
      <c r="J155" s="645">
        <v>19.950579303264064</v>
      </c>
      <c r="K155" s="646">
        <v>26.31311484715016</v>
      </c>
      <c r="L155" s="648">
        <v>7.0820881825151272</v>
      </c>
      <c r="M155" s="649">
        <v>2.8588795260492059</v>
      </c>
      <c r="N155" s="640">
        <f t="shared" si="137"/>
        <v>10.453781794162916</v>
      </c>
      <c r="O155" s="646">
        <v>10.453781794162916</v>
      </c>
      <c r="P155" s="647">
        <v>0</v>
      </c>
      <c r="Q155" s="649">
        <v>5.3912234709382894</v>
      </c>
    </row>
    <row r="156" spans="2:17" x14ac:dyDescent="0.25">
      <c r="B156" s="427" t="s">
        <v>695</v>
      </c>
      <c r="C156" s="642" t="s">
        <v>696</v>
      </c>
      <c r="D156" s="643">
        <f t="shared" ref="D156:D158" si="140">E156+I156+M156+N156+Q156</f>
        <v>100.00000000000001</v>
      </c>
      <c r="E156" s="644">
        <f t="shared" ref="E156:E158" si="141">SUM(F156:H156)</f>
        <v>27.950332875920246</v>
      </c>
      <c r="F156" s="645">
        <v>3.0039717400295056</v>
      </c>
      <c r="G156" s="646">
        <v>9.1869474445820245</v>
      </c>
      <c r="H156" s="648">
        <v>15.759413691308714</v>
      </c>
      <c r="I156" s="644">
        <f t="shared" si="136"/>
        <v>53.345782332929353</v>
      </c>
      <c r="J156" s="645">
        <v>19.950579303264064</v>
      </c>
      <c r="K156" s="646">
        <v>26.31311484715016</v>
      </c>
      <c r="L156" s="648">
        <v>7.0820881825151272</v>
      </c>
      <c r="M156" s="649">
        <v>2.8588795260492059</v>
      </c>
      <c r="N156" s="640">
        <f t="shared" si="137"/>
        <v>10.453781794162916</v>
      </c>
      <c r="O156" s="646">
        <v>10.453781794162916</v>
      </c>
      <c r="P156" s="647">
        <v>0</v>
      </c>
      <c r="Q156" s="649">
        <v>5.3912234709382894</v>
      </c>
    </row>
    <row r="157" spans="2:17" x14ac:dyDescent="0.25">
      <c r="B157" s="427" t="s">
        <v>697</v>
      </c>
      <c r="C157" s="642" t="s">
        <v>698</v>
      </c>
      <c r="D157" s="643">
        <f t="shared" si="140"/>
        <v>100.00000000000001</v>
      </c>
      <c r="E157" s="644">
        <f t="shared" si="141"/>
        <v>27.950332875920246</v>
      </c>
      <c r="F157" s="645">
        <v>3.0039717400295056</v>
      </c>
      <c r="G157" s="646">
        <v>9.1869474445820245</v>
      </c>
      <c r="H157" s="648">
        <v>15.759413691308714</v>
      </c>
      <c r="I157" s="644">
        <f t="shared" si="136"/>
        <v>53.345782332929353</v>
      </c>
      <c r="J157" s="645">
        <v>19.950579303264064</v>
      </c>
      <c r="K157" s="646">
        <v>26.31311484715016</v>
      </c>
      <c r="L157" s="648">
        <v>7.0820881825151272</v>
      </c>
      <c r="M157" s="649">
        <v>2.8588795260492059</v>
      </c>
      <c r="N157" s="640">
        <f t="shared" si="137"/>
        <v>10.453781794162916</v>
      </c>
      <c r="O157" s="646">
        <v>10.453781794162916</v>
      </c>
      <c r="P157" s="647">
        <v>0</v>
      </c>
      <c r="Q157" s="649">
        <v>5.3912234709382894</v>
      </c>
    </row>
    <row r="158" spans="2:17" x14ac:dyDescent="0.25">
      <c r="B158" s="427" t="s">
        <v>699</v>
      </c>
      <c r="C158" s="642" t="s">
        <v>700</v>
      </c>
      <c r="D158" s="643">
        <f t="shared" si="140"/>
        <v>100.00000000000001</v>
      </c>
      <c r="E158" s="644">
        <f t="shared" si="141"/>
        <v>27.950332875920246</v>
      </c>
      <c r="F158" s="645">
        <v>3.0039717400295056</v>
      </c>
      <c r="G158" s="646">
        <v>9.1869474445820245</v>
      </c>
      <c r="H158" s="648">
        <v>15.759413691308714</v>
      </c>
      <c r="I158" s="644">
        <f t="shared" si="136"/>
        <v>53.345782332929353</v>
      </c>
      <c r="J158" s="645">
        <v>19.950579303264064</v>
      </c>
      <c r="K158" s="646">
        <v>26.31311484715016</v>
      </c>
      <c r="L158" s="648">
        <v>7.0820881825151272</v>
      </c>
      <c r="M158" s="649">
        <v>2.8588795260492059</v>
      </c>
      <c r="N158" s="640">
        <f t="shared" si="137"/>
        <v>10.453781794162916</v>
      </c>
      <c r="O158" s="646">
        <v>10.453781794162916</v>
      </c>
      <c r="P158" s="647">
        <v>0</v>
      </c>
      <c r="Q158" s="649">
        <v>5.3912234709382894</v>
      </c>
    </row>
    <row r="159" spans="2:17" x14ac:dyDescent="0.25">
      <c r="B159" s="427" t="s">
        <v>701</v>
      </c>
      <c r="C159" s="642" t="s">
        <v>702</v>
      </c>
      <c r="D159" s="643">
        <f t="shared" si="134"/>
        <v>100.00000000000001</v>
      </c>
      <c r="E159" s="644">
        <f t="shared" si="135"/>
        <v>27.950332875920246</v>
      </c>
      <c r="F159" s="645">
        <v>3.0039717400295056</v>
      </c>
      <c r="G159" s="646">
        <v>9.1869474445820245</v>
      </c>
      <c r="H159" s="648">
        <v>15.759413691308714</v>
      </c>
      <c r="I159" s="644">
        <f t="shared" si="136"/>
        <v>53.345782332929353</v>
      </c>
      <c r="J159" s="645">
        <v>19.950579303264064</v>
      </c>
      <c r="K159" s="646">
        <v>26.31311484715016</v>
      </c>
      <c r="L159" s="648">
        <v>7.0820881825151272</v>
      </c>
      <c r="M159" s="649">
        <v>2.8588795260492059</v>
      </c>
      <c r="N159" s="640">
        <f t="shared" si="137"/>
        <v>10.453781794162916</v>
      </c>
      <c r="O159" s="646">
        <v>10.453781794162916</v>
      </c>
      <c r="P159" s="647">
        <v>0</v>
      </c>
      <c r="Q159" s="649">
        <v>5.3912234709382894</v>
      </c>
    </row>
    <row r="160" spans="2:17" x14ac:dyDescent="0.25">
      <c r="B160" s="423" t="s">
        <v>703</v>
      </c>
      <c r="C160" s="642" t="s">
        <v>704</v>
      </c>
      <c r="D160" s="643">
        <f t="shared" si="134"/>
        <v>100.00000000000001</v>
      </c>
      <c r="E160" s="644">
        <f t="shared" si="135"/>
        <v>27.950332875920246</v>
      </c>
      <c r="F160" s="645">
        <v>3.0039717400295056</v>
      </c>
      <c r="G160" s="646">
        <v>9.1869474445820245</v>
      </c>
      <c r="H160" s="648">
        <v>15.759413691308714</v>
      </c>
      <c r="I160" s="644">
        <f t="shared" si="136"/>
        <v>53.345782332929353</v>
      </c>
      <c r="J160" s="645">
        <v>19.950579303264064</v>
      </c>
      <c r="K160" s="646">
        <v>26.31311484715016</v>
      </c>
      <c r="L160" s="648">
        <v>7.0820881825151272</v>
      </c>
      <c r="M160" s="649">
        <v>2.8588795260492059</v>
      </c>
      <c r="N160" s="640">
        <f t="shared" si="137"/>
        <v>10.453781794162916</v>
      </c>
      <c r="O160" s="646">
        <v>10.453781794162916</v>
      </c>
      <c r="P160" s="647">
        <v>0</v>
      </c>
      <c r="Q160" s="649">
        <v>5.3912234709382894</v>
      </c>
    </row>
    <row r="161" spans="2:17" x14ac:dyDescent="0.25">
      <c r="B161" s="427" t="s">
        <v>705</v>
      </c>
      <c r="C161" s="642" t="s">
        <v>706</v>
      </c>
      <c r="D161" s="643">
        <f t="shared" si="134"/>
        <v>100.00000000000001</v>
      </c>
      <c r="E161" s="644">
        <f t="shared" si="135"/>
        <v>27.950332875920246</v>
      </c>
      <c r="F161" s="645">
        <v>3.0039717400295056</v>
      </c>
      <c r="G161" s="646">
        <v>9.1869474445820245</v>
      </c>
      <c r="H161" s="648">
        <v>15.759413691308714</v>
      </c>
      <c r="I161" s="644">
        <f t="shared" si="136"/>
        <v>53.345782332929353</v>
      </c>
      <c r="J161" s="645">
        <v>19.950579303264064</v>
      </c>
      <c r="K161" s="646">
        <v>26.31311484715016</v>
      </c>
      <c r="L161" s="648">
        <v>7.0820881825151272</v>
      </c>
      <c r="M161" s="649">
        <v>2.8588795260492059</v>
      </c>
      <c r="N161" s="640">
        <f t="shared" si="137"/>
        <v>10.453781794162916</v>
      </c>
      <c r="O161" s="646">
        <v>10.453781794162916</v>
      </c>
      <c r="P161" s="647">
        <v>0</v>
      </c>
      <c r="Q161" s="649">
        <v>5.3912234709382894</v>
      </c>
    </row>
    <row r="162" spans="2:17" x14ac:dyDescent="0.25">
      <c r="B162" s="427" t="s">
        <v>707</v>
      </c>
      <c r="C162" s="651" t="s">
        <v>708</v>
      </c>
      <c r="D162" s="652">
        <f t="shared" si="134"/>
        <v>100.00000000000001</v>
      </c>
      <c r="E162" s="653">
        <f t="shared" si="135"/>
        <v>27.950332875920246</v>
      </c>
      <c r="F162" s="654">
        <v>3.0039717400295056</v>
      </c>
      <c r="G162" s="655">
        <v>9.1869474445820245</v>
      </c>
      <c r="H162" s="657">
        <v>15.759413691308714</v>
      </c>
      <c r="I162" s="653">
        <f t="shared" si="136"/>
        <v>53.345782332929353</v>
      </c>
      <c r="J162" s="654">
        <v>19.950579303264064</v>
      </c>
      <c r="K162" s="655">
        <v>26.31311484715016</v>
      </c>
      <c r="L162" s="657">
        <v>7.0820881825151272</v>
      </c>
      <c r="M162" s="658">
        <v>2.8588795260492059</v>
      </c>
      <c r="N162" s="640">
        <f t="shared" si="137"/>
        <v>10.453781794162916</v>
      </c>
      <c r="O162" s="655">
        <v>10.453781794162916</v>
      </c>
      <c r="P162" s="656">
        <v>0</v>
      </c>
      <c r="Q162" s="658">
        <v>5.3912234709382894</v>
      </c>
    </row>
    <row r="163" spans="2:17" x14ac:dyDescent="0.25">
      <c r="B163" s="718" t="s">
        <v>709</v>
      </c>
      <c r="C163" s="719" t="s">
        <v>710</v>
      </c>
      <c r="D163" s="720">
        <f t="shared" si="134"/>
        <v>100.00000000000001</v>
      </c>
      <c r="E163" s="721">
        <f t="shared" si="135"/>
        <v>27.950332875920246</v>
      </c>
      <c r="F163" s="722">
        <v>3.0039717400295056</v>
      </c>
      <c r="G163" s="723">
        <v>9.1869474445820245</v>
      </c>
      <c r="H163" s="724">
        <v>15.759413691308714</v>
      </c>
      <c r="I163" s="721">
        <f t="shared" si="136"/>
        <v>53.345782332929353</v>
      </c>
      <c r="J163" s="722">
        <v>19.950579303264064</v>
      </c>
      <c r="K163" s="723">
        <v>26.31311484715016</v>
      </c>
      <c r="L163" s="724">
        <v>7.0820881825151272</v>
      </c>
      <c r="M163" s="725">
        <v>2.8588795260492059</v>
      </c>
      <c r="N163" s="640">
        <f t="shared" si="137"/>
        <v>10.453781794162916</v>
      </c>
      <c r="O163" s="723">
        <v>10.453781794162916</v>
      </c>
      <c r="P163" s="726">
        <v>0</v>
      </c>
      <c r="Q163" s="725">
        <v>5.3912234709382894</v>
      </c>
    </row>
    <row r="164" spans="2:17" ht="26.4" x14ac:dyDescent="0.25">
      <c r="B164" s="727" t="s">
        <v>211</v>
      </c>
      <c r="C164" s="728" t="s">
        <v>711</v>
      </c>
      <c r="D164" s="729">
        <f t="shared" si="134"/>
        <v>100.00000000000001</v>
      </c>
      <c r="E164" s="730">
        <f t="shared" si="135"/>
        <v>27.950332875920246</v>
      </c>
      <c r="F164" s="731">
        <f>IFERROR(F116/$D$116*100, 0)</f>
        <v>3.0039717400295056</v>
      </c>
      <c r="G164" s="732">
        <f>IFERROR(G116/$D$116*100, 0)</f>
        <v>9.1869474445820263</v>
      </c>
      <c r="H164" s="733">
        <f>IFERROR(H116/$D$116*100, 0)</f>
        <v>15.759413691308714</v>
      </c>
      <c r="I164" s="730">
        <f t="shared" si="136"/>
        <v>53.345782332929353</v>
      </c>
      <c r="J164" s="731">
        <f t="shared" ref="J164:Q164" si="142">IFERROR(J116/$D$116*100, 0)</f>
        <v>19.950579303264064</v>
      </c>
      <c r="K164" s="732">
        <f t="shared" si="142"/>
        <v>26.31311484715016</v>
      </c>
      <c r="L164" s="733">
        <f t="shared" si="142"/>
        <v>7.0820881825151272</v>
      </c>
      <c r="M164" s="730">
        <f t="shared" si="142"/>
        <v>2.8588795260492059</v>
      </c>
      <c r="N164" s="734">
        <f>SUM(O164:P164)</f>
        <v>10.453781794162916</v>
      </c>
      <c r="O164" s="732">
        <f t="shared" si="142"/>
        <v>10.453781794162916</v>
      </c>
      <c r="P164" s="735">
        <f t="shared" si="142"/>
        <v>0</v>
      </c>
      <c r="Q164" s="730">
        <f t="shared" si="142"/>
        <v>5.3912234709382894</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60"/>
  <sheetViews>
    <sheetView topLeftCell="B1" zoomScale="80" zoomScaleNormal="80" workbookViewId="0">
      <selection activeCell="E24" sqref="E24"/>
    </sheetView>
  </sheetViews>
  <sheetFormatPr defaultColWidth="9.109375" defaultRowHeight="14.4" x14ac:dyDescent="0.3"/>
  <cols>
    <col min="1" max="1" width="9.109375" style="514"/>
    <col min="2" max="2" width="10.44140625" style="514" customWidth="1"/>
    <col min="3" max="3" width="91.5546875" style="514" customWidth="1"/>
    <col min="4" max="4" width="20.33203125" style="514" customWidth="1"/>
    <col min="5" max="5" width="19.88671875" style="514" customWidth="1"/>
    <col min="6" max="6" width="43.109375" style="514" customWidth="1"/>
    <col min="7" max="7" width="28.88671875" style="514" customWidth="1"/>
    <col min="8" max="8" width="38.6640625" style="514" bestFit="1" customWidth="1"/>
    <col min="9" max="16384" width="9.109375" style="514"/>
  </cols>
  <sheetData>
    <row r="1" spans="1:8" x14ac:dyDescent="0.3">
      <c r="A1" s="516" t="s">
        <v>0</v>
      </c>
      <c r="B1" s="517"/>
      <c r="C1" s="517"/>
      <c r="D1" s="517"/>
      <c r="E1" s="517"/>
      <c r="F1" s="517"/>
    </row>
    <row r="2" spans="1:8" x14ac:dyDescent="0.3">
      <c r="A2" s="516" t="s">
        <v>1</v>
      </c>
      <c r="B2" s="517"/>
      <c r="C2" s="517"/>
      <c r="D2" s="517"/>
      <c r="E2" s="517"/>
      <c r="F2" s="517"/>
    </row>
    <row r="3" spans="1:8" x14ac:dyDescent="0.3">
      <c r="A3" s="517"/>
      <c r="B3" s="517"/>
      <c r="C3" s="517"/>
      <c r="D3" s="517"/>
      <c r="E3" s="517"/>
      <c r="F3" s="517"/>
    </row>
    <row r="4" spans="1:8" x14ac:dyDescent="0.3">
      <c r="A4" s="517"/>
      <c r="B4" s="517"/>
      <c r="C4" s="517"/>
      <c r="D4" s="517"/>
      <c r="E4" s="517"/>
      <c r="F4" s="517"/>
    </row>
    <row r="5" spans="1:8" x14ac:dyDescent="0.3">
      <c r="A5" s="519" t="s">
        <v>712</v>
      </c>
      <c r="B5" s="517"/>
      <c r="C5" s="517"/>
      <c r="D5" s="517"/>
      <c r="E5" s="517"/>
      <c r="F5" s="517"/>
    </row>
    <row r="6" spans="1:8" x14ac:dyDescent="0.3">
      <c r="A6" s="517"/>
      <c r="B6" s="517"/>
      <c r="C6" s="517"/>
      <c r="D6" s="517"/>
      <c r="E6" s="517"/>
      <c r="F6" s="517"/>
    </row>
    <row r="8" spans="1:8" x14ac:dyDescent="0.3">
      <c r="B8" s="1468" t="s">
        <v>713</v>
      </c>
      <c r="C8" s="1468"/>
      <c r="D8" s="1468"/>
      <c r="E8" s="1468"/>
      <c r="F8" s="1468"/>
    </row>
    <row r="9" spans="1:8" ht="33" customHeight="1" x14ac:dyDescent="0.3">
      <c r="B9" s="736" t="s">
        <v>4</v>
      </c>
      <c r="C9" s="737" t="s">
        <v>714</v>
      </c>
      <c r="D9" s="738" t="s">
        <v>715</v>
      </c>
      <c r="E9" s="739" t="s">
        <v>65</v>
      </c>
      <c r="F9" s="740" t="s">
        <v>716</v>
      </c>
      <c r="G9" s="741"/>
    </row>
    <row r="10" spans="1:8" ht="26.4" x14ac:dyDescent="0.3">
      <c r="B10" s="742" t="s">
        <v>717</v>
      </c>
      <c r="C10" s="743" t="s">
        <v>718</v>
      </c>
      <c r="D10" s="744" t="s">
        <v>719</v>
      </c>
      <c r="E10" s="745">
        <f>E11+E20</f>
        <v>1977.1732387554707</v>
      </c>
      <c r="F10" s="746"/>
      <c r="G10" s="741"/>
      <c r="H10" s="747"/>
    </row>
    <row r="11" spans="1:8" x14ac:dyDescent="0.3">
      <c r="B11" s="748" t="s">
        <v>72</v>
      </c>
      <c r="C11" s="749" t="s">
        <v>720</v>
      </c>
      <c r="D11" s="750" t="s">
        <v>719</v>
      </c>
      <c r="E11" s="751">
        <f>SUM(E12:E19)</f>
        <v>245.66323875547079</v>
      </c>
      <c r="F11" s="752"/>
      <c r="G11" s="741"/>
    </row>
    <row r="12" spans="1:8" x14ac:dyDescent="0.3">
      <c r="B12" s="753" t="s">
        <v>721</v>
      </c>
      <c r="C12" s="754" t="s">
        <v>722</v>
      </c>
      <c r="D12" s="755" t="s">
        <v>719</v>
      </c>
      <c r="E12" s="756">
        <v>16.976675341823068</v>
      </c>
      <c r="F12" s="752"/>
      <c r="G12" s="741"/>
    </row>
    <row r="13" spans="1:8" x14ac:dyDescent="0.3">
      <c r="B13" s="753" t="s">
        <v>723</v>
      </c>
      <c r="C13" s="754" t="s">
        <v>724</v>
      </c>
      <c r="D13" s="755" t="s">
        <v>719</v>
      </c>
      <c r="E13" s="756">
        <v>5.5705747292723062</v>
      </c>
      <c r="F13" s="752"/>
      <c r="G13" s="741"/>
    </row>
    <row r="14" spans="1:8" x14ac:dyDescent="0.3">
      <c r="B14" s="753" t="s">
        <v>725</v>
      </c>
      <c r="C14" s="754" t="s">
        <v>726</v>
      </c>
      <c r="D14" s="755" t="s">
        <v>719</v>
      </c>
      <c r="E14" s="756">
        <v>26.924749928904628</v>
      </c>
      <c r="F14" s="752"/>
      <c r="G14" s="741"/>
    </row>
    <row r="15" spans="1:8" x14ac:dyDescent="0.3">
      <c r="B15" s="753" t="s">
        <v>727</v>
      </c>
      <c r="C15" s="754" t="s">
        <v>728</v>
      </c>
      <c r="D15" s="755" t="s">
        <v>719</v>
      </c>
      <c r="E15" s="756">
        <v>19.960999999999999</v>
      </c>
      <c r="F15" s="752"/>
      <c r="G15" s="741"/>
    </row>
    <row r="16" spans="1:8" x14ac:dyDescent="0.3">
      <c r="B16" s="753" t="s">
        <v>729</v>
      </c>
      <c r="C16" s="754" t="s">
        <v>730</v>
      </c>
      <c r="D16" s="755" t="s">
        <v>719</v>
      </c>
      <c r="E16" s="756">
        <v>135.41999999999999</v>
      </c>
      <c r="F16" s="752"/>
      <c r="G16" s="741"/>
    </row>
    <row r="17" spans="2:8" x14ac:dyDescent="0.3">
      <c r="B17" s="753" t="s">
        <v>731</v>
      </c>
      <c r="C17" s="754" t="s">
        <v>732</v>
      </c>
      <c r="D17" s="755" t="s">
        <v>719</v>
      </c>
      <c r="E17" s="756">
        <v>1.881</v>
      </c>
      <c r="F17" s="752"/>
      <c r="G17" s="741"/>
    </row>
    <row r="18" spans="2:8" x14ac:dyDescent="0.3">
      <c r="B18" s="753" t="s">
        <v>733</v>
      </c>
      <c r="C18" s="757" t="s">
        <v>734</v>
      </c>
      <c r="D18" s="753" t="s">
        <v>719</v>
      </c>
      <c r="E18" s="756">
        <v>0</v>
      </c>
      <c r="F18" s="758"/>
      <c r="G18" s="741"/>
    </row>
    <row r="19" spans="2:8" x14ac:dyDescent="0.3">
      <c r="B19" s="753" t="s">
        <v>735</v>
      </c>
      <c r="C19" s="759" t="s">
        <v>736</v>
      </c>
      <c r="D19" s="753" t="s">
        <v>719</v>
      </c>
      <c r="E19" s="760">
        <v>38.929238755470799</v>
      </c>
      <c r="F19" s="761"/>
      <c r="G19" s="741"/>
    </row>
    <row r="20" spans="2:8" ht="27.6" x14ac:dyDescent="0.3">
      <c r="B20" s="748" t="s">
        <v>74</v>
      </c>
      <c r="C20" s="762" t="s">
        <v>737</v>
      </c>
      <c r="D20" s="763" t="s">
        <v>719</v>
      </c>
      <c r="E20" s="746">
        <f>SUM(E21:E28)</f>
        <v>1731.51</v>
      </c>
      <c r="F20" s="1474" t="s">
        <v>738</v>
      </c>
      <c r="G20" s="741"/>
    </row>
    <row r="21" spans="2:8" x14ac:dyDescent="0.3">
      <c r="B21" s="753" t="s">
        <v>739</v>
      </c>
      <c r="C21" s="754" t="s">
        <v>722</v>
      </c>
      <c r="D21" s="753" t="s">
        <v>719</v>
      </c>
      <c r="E21" s="764">
        <v>183.32791999172954</v>
      </c>
      <c r="F21" s="1475"/>
      <c r="G21" s="741"/>
    </row>
    <row r="22" spans="2:8" x14ac:dyDescent="0.3">
      <c r="B22" s="753" t="s">
        <v>740</v>
      </c>
      <c r="C22" s="754" t="s">
        <v>724</v>
      </c>
      <c r="D22" s="753" t="s">
        <v>719</v>
      </c>
      <c r="E22" s="764">
        <v>93.495336854007959</v>
      </c>
      <c r="F22" s="1475"/>
      <c r="G22" s="741"/>
    </row>
    <row r="23" spans="2:8" x14ac:dyDescent="0.3">
      <c r="B23" s="753" t="s">
        <v>741</v>
      </c>
      <c r="C23" s="754" t="s">
        <v>726</v>
      </c>
      <c r="D23" s="753" t="s">
        <v>719</v>
      </c>
      <c r="E23" s="764">
        <v>292.11774315426243</v>
      </c>
      <c r="F23" s="1475"/>
      <c r="G23" s="741"/>
    </row>
    <row r="24" spans="2:8" x14ac:dyDescent="0.3">
      <c r="B24" s="753" t="s">
        <v>742</v>
      </c>
      <c r="C24" s="754" t="s">
        <v>728</v>
      </c>
      <c r="D24" s="753" t="s">
        <v>719</v>
      </c>
      <c r="E24" s="764">
        <v>363.71100000000001</v>
      </c>
      <c r="F24" s="1475"/>
      <c r="G24" s="741"/>
    </row>
    <row r="25" spans="2:8" x14ac:dyDescent="0.3">
      <c r="B25" s="753" t="s">
        <v>743</v>
      </c>
      <c r="C25" s="754" t="s">
        <v>730</v>
      </c>
      <c r="D25" s="753" t="s">
        <v>719</v>
      </c>
      <c r="E25" s="764">
        <v>788.01400000000001</v>
      </c>
      <c r="F25" s="1475"/>
      <c r="G25" s="741"/>
    </row>
    <row r="26" spans="2:8" x14ac:dyDescent="0.3">
      <c r="B26" s="753" t="s">
        <v>744</v>
      </c>
      <c r="C26" s="754" t="s">
        <v>732</v>
      </c>
      <c r="D26" s="753" t="s">
        <v>719</v>
      </c>
      <c r="E26" s="764">
        <v>10.843999999999999</v>
      </c>
      <c r="F26" s="1475"/>
      <c r="G26" s="741"/>
    </row>
    <row r="27" spans="2:8" x14ac:dyDescent="0.3">
      <c r="B27" s="753" t="s">
        <v>745</v>
      </c>
      <c r="C27" s="765" t="s">
        <v>734</v>
      </c>
      <c r="D27" s="753" t="s">
        <v>719</v>
      </c>
      <c r="E27" s="766">
        <v>0</v>
      </c>
      <c r="F27" s="1475"/>
      <c r="G27" s="741"/>
      <c r="H27" s="747"/>
    </row>
    <row r="28" spans="2:8" x14ac:dyDescent="0.3">
      <c r="B28" s="753" t="s">
        <v>746</v>
      </c>
      <c r="C28" s="767" t="s">
        <v>736</v>
      </c>
      <c r="D28" s="768" t="s">
        <v>719</v>
      </c>
      <c r="E28" s="769">
        <v>0</v>
      </c>
      <c r="F28" s="1476"/>
      <c r="G28" s="741"/>
      <c r="H28" s="747"/>
    </row>
    <row r="29" spans="2:8" x14ac:dyDescent="0.3">
      <c r="B29" s="770" t="s">
        <v>109</v>
      </c>
      <c r="C29" s="737" t="s">
        <v>747</v>
      </c>
      <c r="D29" s="770" t="s">
        <v>719</v>
      </c>
      <c r="E29" s="771">
        <f>E10+$E$31</f>
        <v>1982.0372387554708</v>
      </c>
      <c r="F29" s="772"/>
      <c r="G29" s="741"/>
    </row>
    <row r="30" spans="2:8" x14ac:dyDescent="0.3">
      <c r="B30" s="770" t="s">
        <v>113</v>
      </c>
      <c r="C30" s="743" t="s">
        <v>748</v>
      </c>
      <c r="D30" s="770" t="s">
        <v>719</v>
      </c>
      <c r="E30" s="773">
        <v>3.019948741342648</v>
      </c>
      <c r="F30" s="774" t="s">
        <v>749</v>
      </c>
    </row>
    <row r="31" spans="2:8" x14ac:dyDescent="0.3">
      <c r="B31" s="736" t="s">
        <v>115</v>
      </c>
      <c r="C31" s="775" t="s">
        <v>750</v>
      </c>
      <c r="D31" s="736" t="s">
        <v>719</v>
      </c>
      <c r="E31" s="776">
        <v>4.8639999999999999</v>
      </c>
      <c r="F31" s="774" t="s">
        <v>751</v>
      </c>
    </row>
    <row r="32" spans="2:8" x14ac:dyDescent="0.3">
      <c r="B32" s="777" t="s">
        <v>129</v>
      </c>
      <c r="C32" s="778" t="s">
        <v>752</v>
      </c>
      <c r="D32" s="777" t="s">
        <v>719</v>
      </c>
      <c r="E32" s="779">
        <v>2.8368125031865619</v>
      </c>
      <c r="F32" s="780"/>
    </row>
    <row r="33" spans="2:6" x14ac:dyDescent="0.3">
      <c r="B33" s="777" t="s">
        <v>143</v>
      </c>
      <c r="C33" s="778" t="s">
        <v>753</v>
      </c>
      <c r="D33" s="777" t="s">
        <v>719</v>
      </c>
      <c r="E33" s="779">
        <v>0</v>
      </c>
      <c r="F33" s="781"/>
    </row>
    <row r="34" spans="2:6" x14ac:dyDescent="0.3">
      <c r="B34" s="777" t="s">
        <v>493</v>
      </c>
      <c r="C34" s="778" t="s">
        <v>754</v>
      </c>
      <c r="D34" s="777" t="s">
        <v>719</v>
      </c>
      <c r="E34" s="782">
        <f>E29+E30+E32-E33</f>
        <v>1987.894</v>
      </c>
      <c r="F34" s="781"/>
    </row>
    <row r="35" spans="2:6" x14ac:dyDescent="0.3">
      <c r="B35" s="777" t="s">
        <v>197</v>
      </c>
      <c r="C35" s="783" t="s">
        <v>755</v>
      </c>
      <c r="D35" s="784"/>
      <c r="E35" s="785"/>
      <c r="F35" s="786"/>
    </row>
    <row r="36" spans="2:6" s="4" customFormat="1" x14ac:dyDescent="0.3">
      <c r="B36" s="742" t="s">
        <v>756</v>
      </c>
      <c r="C36" s="787" t="s">
        <v>757</v>
      </c>
      <c r="D36" s="742" t="s">
        <v>758</v>
      </c>
      <c r="E36" s="788">
        <f>IF((E37+E39)=0,"0",(E21+E23)*100/(E40*(E41+E42+E43)))</f>
        <v>0.58155801865796541</v>
      </c>
      <c r="F36" s="746"/>
    </row>
    <row r="37" spans="2:6" ht="15" x14ac:dyDescent="0.3">
      <c r="B37" s="748" t="s">
        <v>759</v>
      </c>
      <c r="C37" s="789" t="s">
        <v>760</v>
      </c>
      <c r="D37" s="790" t="s">
        <v>761</v>
      </c>
      <c r="E37" s="791">
        <f>VAS078_F_Vidutinissvert1AtaskaitinisLaikotarpis</f>
        <v>54</v>
      </c>
      <c r="F37" s="791" t="s">
        <v>762</v>
      </c>
    </row>
    <row r="38" spans="2:6" ht="15" x14ac:dyDescent="0.3">
      <c r="B38" s="748" t="s">
        <v>763</v>
      </c>
      <c r="C38" s="792" t="s">
        <v>764</v>
      </c>
      <c r="D38" s="790" t="s">
        <v>761</v>
      </c>
      <c r="E38" s="791">
        <f>VAS078_F_Vidutinissvert2AtaskaitinisLaikotarpis</f>
        <v>36</v>
      </c>
      <c r="F38" s="791" t="s">
        <v>765</v>
      </c>
    </row>
    <row r="39" spans="2:6" ht="15" x14ac:dyDescent="0.3">
      <c r="B39" s="793" t="s">
        <v>766</v>
      </c>
      <c r="C39" s="792" t="s">
        <v>767</v>
      </c>
      <c r="D39" s="794" t="s">
        <v>761</v>
      </c>
      <c r="E39" s="795">
        <f>VAS078_F_Vidutinissvert3AtaskaitinisLaikotarpis</f>
        <v>57</v>
      </c>
      <c r="F39" s="795" t="s">
        <v>762</v>
      </c>
    </row>
    <row r="40" spans="2:6" ht="15" x14ac:dyDescent="0.3">
      <c r="B40" s="793" t="s">
        <v>768</v>
      </c>
      <c r="C40" s="792" t="s">
        <v>769</v>
      </c>
      <c r="D40" s="794" t="s">
        <v>761</v>
      </c>
      <c r="E40" s="795">
        <f>((E41*(E37+E38))+(E42+E43)*E39)/(E41+ E42+ E43)</f>
        <v>73.646348120776224</v>
      </c>
      <c r="F40" s="795"/>
    </row>
    <row r="41" spans="2:6" ht="16.2" x14ac:dyDescent="0.3">
      <c r="B41" s="793" t="s">
        <v>770</v>
      </c>
      <c r="C41" s="792" t="s">
        <v>771</v>
      </c>
      <c r="D41" s="748" t="s">
        <v>772</v>
      </c>
      <c r="E41" s="795">
        <f>VAS077_F_Isgautopozemin1AtaskaitinisLaikotarpis</f>
        <v>559.96599999999989</v>
      </c>
      <c r="F41" s="791" t="s">
        <v>773</v>
      </c>
    </row>
    <row r="42" spans="2:6" ht="16.2" x14ac:dyDescent="0.3">
      <c r="B42" s="748" t="s">
        <v>774</v>
      </c>
      <c r="C42" s="789" t="s">
        <v>775</v>
      </c>
      <c r="D42" s="748" t="s">
        <v>772</v>
      </c>
      <c r="E42" s="791">
        <f>VAS077_F_Patiektogeriam1AtaskaitinisLaikotarpis</f>
        <v>550.12</v>
      </c>
      <c r="F42" s="791" t="s">
        <v>773</v>
      </c>
    </row>
    <row r="43" spans="2:6" ht="16.2" x14ac:dyDescent="0.3">
      <c r="B43" s="748" t="s">
        <v>776</v>
      </c>
      <c r="C43" s="796" t="s">
        <v>777</v>
      </c>
      <c r="D43" s="748" t="s">
        <v>772</v>
      </c>
      <c r="E43" s="797">
        <f>VAS077_F_Trecioketvirto1AtaskaitinisLaikotarpis</f>
        <v>0</v>
      </c>
      <c r="F43" s="791" t="s">
        <v>773</v>
      </c>
    </row>
    <row r="44" spans="2:6" s="4" customFormat="1" x14ac:dyDescent="0.3">
      <c r="B44" s="742" t="s">
        <v>778</v>
      </c>
      <c r="C44" s="787" t="s">
        <v>779</v>
      </c>
      <c r="D44" s="742" t="s">
        <v>780</v>
      </c>
      <c r="E44" s="788">
        <f>IF(E45=0,"0",E22/E46)</f>
        <v>0.17926437897422676</v>
      </c>
      <c r="F44" s="746"/>
    </row>
    <row r="45" spans="2:6" ht="15" x14ac:dyDescent="0.3">
      <c r="B45" s="748" t="s">
        <v>781</v>
      </c>
      <c r="C45" s="789" t="s">
        <v>764</v>
      </c>
      <c r="D45" s="790" t="s">
        <v>761</v>
      </c>
      <c r="E45" s="791">
        <f>VAS078_F_Vidutinissvert2AtaskaitinisLaikotarpis</f>
        <v>36</v>
      </c>
      <c r="F45" s="791" t="s">
        <v>762</v>
      </c>
    </row>
    <row r="46" spans="2:6" ht="16.2" x14ac:dyDescent="0.3">
      <c r="B46" s="748" t="s">
        <v>782</v>
      </c>
      <c r="C46" s="789" t="s">
        <v>783</v>
      </c>
      <c r="D46" s="748" t="s">
        <v>772</v>
      </c>
      <c r="E46" s="791">
        <f>VAS077_F_Paruostogeriam1AtaskaitinisLaikotarpis</f>
        <v>521.54999999999995</v>
      </c>
      <c r="F46" s="791" t="s">
        <v>773</v>
      </c>
    </row>
    <row r="47" spans="2:6" s="4" customFormat="1" x14ac:dyDescent="0.3">
      <c r="B47" s="742" t="s">
        <v>784</v>
      </c>
      <c r="C47" s="787" t="s">
        <v>785</v>
      </c>
      <c r="D47" s="742" t="s">
        <v>758</v>
      </c>
      <c r="E47" s="788">
        <f>IF(E48=0,"0",((E24*100)/(E50+E51)/E48))</f>
        <v>0.35842395985300035</v>
      </c>
      <c r="F47" s="746"/>
    </row>
    <row r="48" spans="2:6" ht="15" x14ac:dyDescent="0.3">
      <c r="B48" s="748" t="s">
        <v>786</v>
      </c>
      <c r="C48" s="789" t="s">
        <v>787</v>
      </c>
      <c r="D48" s="790" t="s">
        <v>761</v>
      </c>
      <c r="E48" s="791">
        <f>VAS078_F_Vidutinissvert4AtaskaitinisLaikotarpis</f>
        <v>46</v>
      </c>
      <c r="F48" s="791" t="s">
        <v>762</v>
      </c>
    </row>
    <row r="49" spans="2:6" ht="16.2" x14ac:dyDescent="0.3">
      <c r="B49" s="748" t="s">
        <v>788</v>
      </c>
      <c r="C49" s="789" t="s">
        <v>789</v>
      </c>
      <c r="D49" s="748" t="s">
        <v>772</v>
      </c>
      <c r="E49" s="791">
        <f>VAS077_F_Surinktabuitin1AtaskaitinisLaikotarpis</f>
        <v>1376.1110000000001</v>
      </c>
      <c r="F49" s="791" t="s">
        <v>773</v>
      </c>
    </row>
    <row r="50" spans="2:6" s="4" customFormat="1" ht="16.2" x14ac:dyDescent="0.3">
      <c r="B50" s="748" t="s">
        <v>790</v>
      </c>
      <c r="C50" s="789" t="s">
        <v>791</v>
      </c>
      <c r="D50" s="748" t="s">
        <v>772</v>
      </c>
      <c r="E50" s="791">
        <f>VAS077_F_Perpumpuotasbu1AtaskaitinisLaikotarpis</f>
        <v>1413.14</v>
      </c>
      <c r="F50" s="791" t="s">
        <v>773</v>
      </c>
    </row>
    <row r="51" spans="2:6" s="4" customFormat="1" ht="16.2" x14ac:dyDescent="0.3">
      <c r="B51" s="748" t="s">
        <v>792</v>
      </c>
      <c r="C51" s="796" t="s">
        <v>793</v>
      </c>
      <c r="D51" s="748" t="s">
        <v>772</v>
      </c>
      <c r="E51" s="797">
        <f>VAS077_F_Perpumpuotasbu2AtaskaitinisLaikotarpis</f>
        <v>792.84</v>
      </c>
      <c r="F51" s="797"/>
    </row>
    <row r="52" spans="2:6" s="4" customFormat="1" x14ac:dyDescent="0.3">
      <c r="B52" s="742" t="s">
        <v>794</v>
      </c>
      <c r="C52" s="787" t="s">
        <v>795</v>
      </c>
      <c r="D52" s="742" t="s">
        <v>796</v>
      </c>
      <c r="E52" s="788">
        <f>IF(E53=0,"0",((E25*1000)/E53))</f>
        <v>4137.8746999818331</v>
      </c>
      <c r="F52" s="746"/>
    </row>
    <row r="53" spans="2:6" x14ac:dyDescent="0.3">
      <c r="B53" s="748" t="s">
        <v>797</v>
      </c>
      <c r="C53" s="789" t="s">
        <v>798</v>
      </c>
      <c r="D53" s="790" t="s">
        <v>799</v>
      </c>
      <c r="E53" s="791">
        <f>VAS078_F_Pagalbiochemin3AtaskaitinisLaikotarpis</f>
        <v>190.43930933999999</v>
      </c>
      <c r="F53" s="791" t="s">
        <v>762</v>
      </c>
    </row>
    <row r="54" spans="2:6" x14ac:dyDescent="0.3">
      <c r="B54" s="742" t="s">
        <v>800</v>
      </c>
      <c r="C54" s="787" t="s">
        <v>801</v>
      </c>
      <c r="D54" s="742" t="s">
        <v>802</v>
      </c>
      <c r="E54" s="746">
        <f>IFERROR(E55/(E29-E33), 0)</f>
        <v>0.16804345974212898</v>
      </c>
      <c r="F54" s="746"/>
    </row>
    <row r="55" spans="2:6" x14ac:dyDescent="0.3">
      <c r="B55" s="798" t="s">
        <v>803</v>
      </c>
      <c r="C55" s="799" t="s">
        <v>804</v>
      </c>
      <c r="D55" s="800" t="s">
        <v>805</v>
      </c>
      <c r="E55" s="801">
        <f>VAS073_F_Elektrosenergi13IsViso+VAS073_F_Elektrosenergi14IsViso+VAS073_F_Elektrosenergi15PavirsiniuNuoteku</f>
        <v>333.06839493820542</v>
      </c>
      <c r="F55" s="801" t="s">
        <v>128</v>
      </c>
    </row>
    <row r="57" spans="2:6" x14ac:dyDescent="0.3">
      <c r="C57" s="1" t="s">
        <v>806</v>
      </c>
      <c r="E57" s="515"/>
    </row>
    <row r="58" spans="2:6" x14ac:dyDescent="0.3">
      <c r="E58" s="515"/>
    </row>
    <row r="59" spans="2:6" x14ac:dyDescent="0.3">
      <c r="E59" s="515"/>
    </row>
    <row r="60" spans="2:6" x14ac:dyDescent="0.3">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52"/>
  <sheetViews>
    <sheetView zoomScale="70" zoomScaleNormal="70" workbookViewId="0">
      <selection activeCell="E19" sqref="E19:F26"/>
    </sheetView>
  </sheetViews>
  <sheetFormatPr defaultColWidth="9.109375" defaultRowHeight="14.4" x14ac:dyDescent="0.3"/>
  <cols>
    <col min="1" max="1" width="9.109375" style="514"/>
    <col min="2" max="2" width="6.6640625" style="514" customWidth="1"/>
    <col min="3" max="3" width="88.5546875" style="514" customWidth="1"/>
    <col min="4" max="4" width="17.33203125" style="514" customWidth="1"/>
    <col min="5" max="6" width="24" style="514" customWidth="1"/>
    <col min="7" max="7" width="61.33203125" style="514" customWidth="1"/>
    <col min="8" max="8" width="23.109375" style="514" customWidth="1"/>
    <col min="9" max="16384" width="9.109375" style="514"/>
  </cols>
  <sheetData>
    <row r="1" spans="1:12" x14ac:dyDescent="0.3">
      <c r="A1" s="516" t="s">
        <v>0</v>
      </c>
      <c r="B1" s="517"/>
      <c r="C1" s="517"/>
      <c r="D1" s="517"/>
      <c r="E1" s="517"/>
      <c r="F1" s="517"/>
      <c r="G1" s="517"/>
      <c r="H1" s="517"/>
      <c r="I1" s="517"/>
      <c r="J1" s="517"/>
      <c r="K1" s="517"/>
    </row>
    <row r="2" spans="1:12" x14ac:dyDescent="0.3">
      <c r="A2" s="516" t="s">
        <v>1</v>
      </c>
      <c r="B2" s="517"/>
      <c r="C2" s="517"/>
      <c r="D2" s="517"/>
      <c r="E2" s="517"/>
      <c r="F2" s="517"/>
      <c r="G2" s="517"/>
      <c r="H2" s="517"/>
      <c r="I2" s="517"/>
      <c r="J2" s="517"/>
      <c r="K2" s="517"/>
    </row>
    <row r="3" spans="1:12" x14ac:dyDescent="0.3">
      <c r="A3" s="517"/>
      <c r="B3" s="517"/>
      <c r="C3" s="517"/>
      <c r="D3" s="517"/>
      <c r="E3" s="517"/>
      <c r="F3" s="517"/>
      <c r="G3" s="517"/>
      <c r="H3" s="517"/>
      <c r="I3" s="517"/>
      <c r="J3" s="517"/>
      <c r="K3" s="517"/>
    </row>
    <row r="4" spans="1:12" x14ac:dyDescent="0.3">
      <c r="A4" s="517"/>
      <c r="B4" s="517"/>
      <c r="C4" s="517"/>
      <c r="D4" s="517"/>
      <c r="E4" s="517"/>
      <c r="F4" s="517"/>
      <c r="G4" s="517"/>
      <c r="H4" s="517"/>
      <c r="I4" s="517"/>
      <c r="J4" s="517"/>
      <c r="K4" s="517"/>
    </row>
    <row r="5" spans="1:12" x14ac:dyDescent="0.3">
      <c r="A5" s="519" t="s">
        <v>807</v>
      </c>
      <c r="B5" s="517"/>
      <c r="C5" s="517"/>
      <c r="D5" s="517"/>
      <c r="E5" s="517"/>
      <c r="F5" s="517"/>
      <c r="G5" s="517"/>
      <c r="H5" s="517"/>
      <c r="I5" s="517"/>
      <c r="J5" s="517"/>
      <c r="K5" s="517"/>
    </row>
    <row r="6" spans="1:12" x14ac:dyDescent="0.3">
      <c r="A6" s="517"/>
      <c r="B6" s="517"/>
      <c r="C6" s="517"/>
      <c r="D6" s="517"/>
      <c r="E6" s="517"/>
      <c r="F6" s="517"/>
      <c r="G6" s="517"/>
      <c r="H6" s="517"/>
      <c r="I6" s="517"/>
      <c r="J6" s="517"/>
      <c r="K6" s="517"/>
    </row>
    <row r="8" spans="1:12" ht="15" customHeight="1" x14ac:dyDescent="0.3">
      <c r="B8" s="1468" t="s">
        <v>808</v>
      </c>
      <c r="C8" s="1468"/>
      <c r="D8" s="1468"/>
      <c r="E8" s="1468"/>
      <c r="F8" s="1468"/>
      <c r="G8" s="1468"/>
    </row>
    <row r="9" spans="1:12" ht="21" customHeight="1" x14ac:dyDescent="0.3">
      <c r="B9" s="736" t="s">
        <v>4</v>
      </c>
      <c r="C9" s="736" t="s">
        <v>714</v>
      </c>
      <c r="D9" s="738" t="s">
        <v>715</v>
      </c>
      <c r="E9" s="1478" t="s">
        <v>65</v>
      </c>
      <c r="F9" s="1479"/>
      <c r="G9" s="802" t="s">
        <v>716</v>
      </c>
      <c r="H9" s="741"/>
    </row>
    <row r="10" spans="1:12" ht="29.25" customHeight="1" x14ac:dyDescent="0.3">
      <c r="B10" s="736"/>
      <c r="C10" s="736"/>
      <c r="D10" s="738"/>
      <c r="E10" s="803" t="s">
        <v>809</v>
      </c>
      <c r="F10" s="803" t="s">
        <v>810</v>
      </c>
      <c r="G10" s="802"/>
      <c r="H10" s="741"/>
    </row>
    <row r="11" spans="1:12" x14ac:dyDescent="0.3">
      <c r="B11" s="736" t="s">
        <v>717</v>
      </c>
      <c r="C11" s="736" t="s">
        <v>811</v>
      </c>
      <c r="D11" s="736" t="s">
        <v>812</v>
      </c>
      <c r="E11" s="772">
        <f>E12+E26</f>
        <v>35.159667504448471</v>
      </c>
      <c r="F11" s="772">
        <f>F12+F26</f>
        <v>54.479166666666657</v>
      </c>
      <c r="G11" s="802"/>
      <c r="H11" s="741"/>
    </row>
    <row r="12" spans="1:12" x14ac:dyDescent="0.3">
      <c r="B12" s="804" t="s">
        <v>813</v>
      </c>
      <c r="C12" s="804" t="s">
        <v>814</v>
      </c>
      <c r="D12" s="804" t="s">
        <v>812</v>
      </c>
      <c r="E12" s="805">
        <f>E14+E18+E22+E23+E24+E25</f>
        <v>33.783630631292205</v>
      </c>
      <c r="F12" s="805">
        <f>F14+F18+F22+F23+F24+F25</f>
        <v>52.366795724624673</v>
      </c>
      <c r="G12" s="806"/>
      <c r="H12" s="747"/>
    </row>
    <row r="13" spans="1:12" x14ac:dyDescent="0.3">
      <c r="B13" s="770" t="s">
        <v>815</v>
      </c>
      <c r="C13" s="770" t="s">
        <v>816</v>
      </c>
      <c r="D13" s="770" t="s">
        <v>812</v>
      </c>
      <c r="E13" s="807">
        <f>E14+E18+E23+E22</f>
        <v>22.503759755283081</v>
      </c>
      <c r="F13" s="807">
        <f>F14+F18+F23+F22</f>
        <v>34.895833333333329</v>
      </c>
      <c r="G13" s="808"/>
      <c r="H13" s="741"/>
    </row>
    <row r="14" spans="1:12" ht="18.75" customHeight="1" x14ac:dyDescent="0.3">
      <c r="B14" s="763" t="s">
        <v>113</v>
      </c>
      <c r="C14" s="763" t="s">
        <v>817</v>
      </c>
      <c r="D14" s="742" t="s">
        <v>812</v>
      </c>
      <c r="E14" s="745">
        <f>SUM(E15:E17)</f>
        <v>5.1243886129364515</v>
      </c>
      <c r="F14" s="745">
        <f>SUM(F15:F17)</f>
        <v>9.1875</v>
      </c>
      <c r="G14" s="809"/>
      <c r="H14" s="741"/>
    </row>
    <row r="15" spans="1:12" x14ac:dyDescent="0.3">
      <c r="B15" s="810" t="s">
        <v>818</v>
      </c>
      <c r="C15" s="811" t="s">
        <v>722</v>
      </c>
      <c r="D15" s="810" t="s">
        <v>812</v>
      </c>
      <c r="E15" s="812">
        <v>0.60275198502684879</v>
      </c>
      <c r="F15" s="812">
        <v>1.2291666666666667</v>
      </c>
      <c r="G15" s="813"/>
      <c r="H15" s="741"/>
    </row>
    <row r="16" spans="1:12" x14ac:dyDescent="0.3">
      <c r="B16" s="810" t="s">
        <v>819</v>
      </c>
      <c r="C16" s="811" t="s">
        <v>724</v>
      </c>
      <c r="D16" s="810" t="s">
        <v>812</v>
      </c>
      <c r="E16" s="812">
        <v>1.8793201598909977</v>
      </c>
      <c r="F16" s="812">
        <v>3.6458333333333335</v>
      </c>
      <c r="G16" s="813"/>
      <c r="H16" s="741"/>
      <c r="L16" s="814"/>
    </row>
    <row r="17" spans="2:7" x14ac:dyDescent="0.3">
      <c r="B17" s="815" t="s">
        <v>820</v>
      </c>
      <c r="C17" s="816" t="s">
        <v>726</v>
      </c>
      <c r="D17" s="815" t="s">
        <v>812</v>
      </c>
      <c r="E17" s="817">
        <v>2.6423164680186049</v>
      </c>
      <c r="F17" s="817">
        <v>4.3125</v>
      </c>
      <c r="G17" s="818"/>
    </row>
    <row r="18" spans="2:7" ht="23.25" customHeight="1" x14ac:dyDescent="0.3">
      <c r="B18" s="819" t="s">
        <v>115</v>
      </c>
      <c r="C18" s="819" t="s">
        <v>821</v>
      </c>
      <c r="D18" s="820" t="s">
        <v>812</v>
      </c>
      <c r="E18" s="821">
        <f>SUM(E19:E21)</f>
        <v>13.456451354441826</v>
      </c>
      <c r="F18" s="821">
        <f>SUM(F19:F21)</f>
        <v>20.708333333333332</v>
      </c>
      <c r="G18" s="822"/>
    </row>
    <row r="19" spans="2:7" x14ac:dyDescent="0.3">
      <c r="B19" s="810" t="s">
        <v>822</v>
      </c>
      <c r="C19" s="811" t="s">
        <v>823</v>
      </c>
      <c r="D19" s="810" t="s">
        <v>812</v>
      </c>
      <c r="E19" s="812">
        <v>3.7301811015984208</v>
      </c>
      <c r="F19" s="812">
        <v>7.208333333333333</v>
      </c>
      <c r="G19" s="813"/>
    </row>
    <row r="20" spans="2:7" x14ac:dyDescent="0.3">
      <c r="B20" s="810" t="s">
        <v>824</v>
      </c>
      <c r="C20" s="811" t="s">
        <v>730</v>
      </c>
      <c r="D20" s="810" t="s">
        <v>812</v>
      </c>
      <c r="E20" s="812">
        <v>7.4781812729586301</v>
      </c>
      <c r="F20" s="812">
        <v>9.5</v>
      </c>
      <c r="G20" s="813"/>
    </row>
    <row r="21" spans="2:7" x14ac:dyDescent="0.3">
      <c r="B21" s="810" t="s">
        <v>825</v>
      </c>
      <c r="C21" s="811" t="s">
        <v>732</v>
      </c>
      <c r="D21" s="810" t="s">
        <v>812</v>
      </c>
      <c r="E21" s="812">
        <v>2.2480889798847747</v>
      </c>
      <c r="F21" s="812">
        <v>4</v>
      </c>
      <c r="G21" s="813"/>
    </row>
    <row r="22" spans="2:7" x14ac:dyDescent="0.3">
      <c r="B22" s="823" t="s">
        <v>117</v>
      </c>
      <c r="C22" s="823" t="s">
        <v>826</v>
      </c>
      <c r="D22" s="824" t="s">
        <v>812</v>
      </c>
      <c r="E22" s="825">
        <v>0.86248754192571186</v>
      </c>
      <c r="F22" s="825">
        <v>1</v>
      </c>
      <c r="G22" s="802"/>
    </row>
    <row r="23" spans="2:7" x14ac:dyDescent="0.3">
      <c r="B23" s="823" t="s">
        <v>119</v>
      </c>
      <c r="C23" s="826" t="s">
        <v>748</v>
      </c>
      <c r="D23" s="823" t="s">
        <v>812</v>
      </c>
      <c r="E23" s="825">
        <v>3.0604322459790914</v>
      </c>
      <c r="F23" s="825">
        <v>4</v>
      </c>
      <c r="G23" s="802" t="s">
        <v>827</v>
      </c>
    </row>
    <row r="24" spans="2:7" x14ac:dyDescent="0.3">
      <c r="B24" s="736" t="s">
        <v>828</v>
      </c>
      <c r="C24" s="736" t="s">
        <v>829</v>
      </c>
      <c r="D24" s="736" t="s">
        <v>812</v>
      </c>
      <c r="E24" s="825">
        <v>3.6998230929905818</v>
      </c>
      <c r="F24" s="825">
        <v>8.0100847383851743</v>
      </c>
      <c r="G24" s="802"/>
    </row>
    <row r="25" spans="2:7" x14ac:dyDescent="0.3">
      <c r="B25" s="736" t="s">
        <v>294</v>
      </c>
      <c r="C25" s="827" t="s">
        <v>830</v>
      </c>
      <c r="D25" s="736" t="s">
        <v>812</v>
      </c>
      <c r="E25" s="825">
        <v>7.5800477830185402</v>
      </c>
      <c r="F25" s="825">
        <v>9.4608776529061718</v>
      </c>
      <c r="G25" s="802"/>
    </row>
    <row r="26" spans="2:7" x14ac:dyDescent="0.3">
      <c r="B26" s="770" t="s">
        <v>831</v>
      </c>
      <c r="C26" s="770" t="s">
        <v>832</v>
      </c>
      <c r="D26" s="770" t="s">
        <v>812</v>
      </c>
      <c r="E26" s="828">
        <v>1.3760368731562664</v>
      </c>
      <c r="F26" s="828">
        <v>2.1123709420419874</v>
      </c>
      <c r="G26" s="808"/>
    </row>
    <row r="27" spans="2:7" ht="17.25" customHeight="1" x14ac:dyDescent="0.3">
      <c r="B27" s="736" t="s">
        <v>833</v>
      </c>
      <c r="C27" s="784" t="s">
        <v>834</v>
      </c>
      <c r="D27" s="784"/>
      <c r="E27" s="829"/>
      <c r="F27" s="829"/>
      <c r="G27" s="830"/>
    </row>
    <row r="28" spans="2:7" x14ac:dyDescent="0.3">
      <c r="B28" s="831" t="s">
        <v>835</v>
      </c>
      <c r="C28" s="831" t="s">
        <v>836</v>
      </c>
      <c r="D28" s="831" t="s">
        <v>837</v>
      </c>
      <c r="E28" s="1480">
        <f>IFERROR(E29/E14/12*1000, 0)</f>
        <v>1646.8321499588264</v>
      </c>
      <c r="F28" s="1481"/>
      <c r="G28" s="832"/>
    </row>
    <row r="29" spans="2:7" x14ac:dyDescent="0.3">
      <c r="B29" s="833" t="s">
        <v>838</v>
      </c>
      <c r="C29" s="834" t="s">
        <v>839</v>
      </c>
      <c r="D29" s="833" t="s">
        <v>805</v>
      </c>
      <c r="E29" s="1482">
        <f>VAS073_F_Darbouzmokesci23IsViso</f>
        <v>101.26809499999999</v>
      </c>
      <c r="F29" s="1483"/>
      <c r="G29" s="835" t="s">
        <v>128</v>
      </c>
    </row>
    <row r="30" spans="2:7" x14ac:dyDescent="0.3">
      <c r="B30" s="819" t="s">
        <v>147</v>
      </c>
      <c r="C30" s="742" t="s">
        <v>840</v>
      </c>
      <c r="D30" s="742" t="s">
        <v>837</v>
      </c>
      <c r="E30" s="1484">
        <f>IFERROR(E31/E18/12*1000, 0)</f>
        <v>1544.6067368872693</v>
      </c>
      <c r="F30" s="1485"/>
      <c r="G30" s="836"/>
    </row>
    <row r="31" spans="2:7" x14ac:dyDescent="0.3">
      <c r="B31" s="798" t="s">
        <v>580</v>
      </c>
      <c r="C31" s="834" t="s">
        <v>841</v>
      </c>
      <c r="D31" s="833" t="s">
        <v>805</v>
      </c>
      <c r="E31" s="1486">
        <f>VAS073_F_Darbouzmokesci24IsViso</f>
        <v>249.419105</v>
      </c>
      <c r="F31" s="1487"/>
      <c r="G31" s="835" t="s">
        <v>128</v>
      </c>
    </row>
    <row r="32" spans="2:7" x14ac:dyDescent="0.3">
      <c r="B32" s="770" t="s">
        <v>149</v>
      </c>
      <c r="C32" s="837" t="s">
        <v>842</v>
      </c>
      <c r="D32" s="742" t="s">
        <v>837</v>
      </c>
      <c r="E32" s="1488">
        <f>IFERROR(E33/E22/12*1000, 0)</f>
        <v>1668.1854481680073</v>
      </c>
      <c r="F32" s="1489"/>
      <c r="G32" s="836"/>
    </row>
    <row r="33" spans="2:11" x14ac:dyDescent="0.3">
      <c r="B33" s="798" t="s">
        <v>843</v>
      </c>
      <c r="C33" s="834" t="s">
        <v>844</v>
      </c>
      <c r="D33" s="833" t="s">
        <v>805</v>
      </c>
      <c r="E33" s="1486">
        <f>VAS073_F_Darbouzmokesci25PavirsiniuNuoteku</f>
        <v>17.265470000000001</v>
      </c>
      <c r="F33" s="1487"/>
      <c r="G33" s="835" t="s">
        <v>128</v>
      </c>
    </row>
    <row r="34" spans="2:11" x14ac:dyDescent="0.3">
      <c r="B34" s="742" t="s">
        <v>458</v>
      </c>
      <c r="C34" s="838" t="s">
        <v>845</v>
      </c>
      <c r="D34" s="770" t="s">
        <v>837</v>
      </c>
      <c r="E34" s="1480">
        <f>IFERROR(E35/E23/12*1000, 0)</f>
        <v>1411.9699395439111</v>
      </c>
      <c r="F34" s="1481"/>
      <c r="G34" s="839"/>
    </row>
    <row r="35" spans="2:11" x14ac:dyDescent="0.3">
      <c r="B35" s="798" t="s">
        <v>846</v>
      </c>
      <c r="C35" s="834" t="s">
        <v>847</v>
      </c>
      <c r="D35" s="833" t="s">
        <v>805</v>
      </c>
      <c r="E35" s="1486">
        <f>VAS073_F_Darbouzmokesci2Apskaitosveikla1</f>
        <v>51.854860000000009</v>
      </c>
      <c r="F35" s="1487"/>
      <c r="G35" s="835" t="s">
        <v>128</v>
      </c>
    </row>
    <row r="36" spans="2:11" x14ac:dyDescent="0.3">
      <c r="B36" s="742" t="s">
        <v>462</v>
      </c>
      <c r="C36" s="820" t="s">
        <v>848</v>
      </c>
      <c r="D36" s="742" t="s">
        <v>837</v>
      </c>
      <c r="E36" s="1480">
        <f>IFERROR(E37/E24/12*1000, 0)</f>
        <v>1778.2174805709235</v>
      </c>
      <c r="F36" s="1481"/>
      <c r="G36" s="836"/>
    </row>
    <row r="37" spans="2:11" x14ac:dyDescent="0.3">
      <c r="B37" s="798" t="s">
        <v>849</v>
      </c>
      <c r="C37" s="834" t="s">
        <v>850</v>
      </c>
      <c r="D37" s="833" t="s">
        <v>805</v>
      </c>
      <c r="E37" s="1486">
        <f>VAS073_F_Darbouzmokesci33IsViso+VAS073_F_Darbouzmokesci34IsViso+VAS073_F_Darbouzmokesci35PavirsiniuNuoteku+VAS073_F_Darbouzmokesci3Apskaitosveikla1</f>
        <v>78.949081187710007</v>
      </c>
      <c r="F37" s="1487"/>
      <c r="G37" s="835" t="s">
        <v>128</v>
      </c>
    </row>
    <row r="38" spans="2:11" x14ac:dyDescent="0.3">
      <c r="B38" s="742" t="s">
        <v>463</v>
      </c>
      <c r="C38" s="820" t="s">
        <v>851</v>
      </c>
      <c r="D38" s="742" t="s">
        <v>837</v>
      </c>
      <c r="E38" s="1480">
        <f>IFERROR(E39/E25/12*1000, 0)</f>
        <v>3078.8730309785037</v>
      </c>
      <c r="F38" s="1481"/>
      <c r="G38" s="836"/>
    </row>
    <row r="39" spans="2:11" x14ac:dyDescent="0.3">
      <c r="B39" s="798" t="s">
        <v>852</v>
      </c>
      <c r="C39" s="834" t="s">
        <v>853</v>
      </c>
      <c r="D39" s="833" t="s">
        <v>805</v>
      </c>
      <c r="E39" s="1486">
        <f>VAS073_F_Darbouzmokesci53IsViso+VAS073_F_Darbouzmokesci54IsViso+VAS073_F_Darbouzmokesci55PavirsiniuNuoteku+VAS073_F_Darbouzmokesci5Apskaitosveikla1</f>
        <v>280.05605631197017</v>
      </c>
      <c r="F39" s="1487"/>
      <c r="G39" s="835" t="s">
        <v>128</v>
      </c>
    </row>
    <row r="40" spans="2:11" x14ac:dyDescent="0.3">
      <c r="B40" s="777" t="s">
        <v>467</v>
      </c>
      <c r="C40" s="840" t="s">
        <v>854</v>
      </c>
      <c r="D40" s="841" t="s">
        <v>837</v>
      </c>
      <c r="E40" s="1490">
        <f>IFERROR((E29+E31+E33+E35+E37+E39)/E12/12*1000, 0)</f>
        <v>1921.0799553573893</v>
      </c>
      <c r="F40" s="1491"/>
      <c r="G40" s="842"/>
    </row>
    <row r="41" spans="2:11" ht="26.4" x14ac:dyDescent="0.3">
      <c r="B41" s="736" t="s">
        <v>471</v>
      </c>
      <c r="C41" s="843" t="s">
        <v>855</v>
      </c>
      <c r="D41" s="736" t="s">
        <v>856</v>
      </c>
      <c r="E41" s="1492">
        <f>IFERROR((E13+E24)/E25, 0)</f>
        <v>3.4569152594231833</v>
      </c>
      <c r="F41" s="1493"/>
      <c r="G41" s="802"/>
    </row>
    <row r="42" spans="2:11" x14ac:dyDescent="0.3">
      <c r="C42" s="741"/>
    </row>
    <row r="43" spans="2:11" x14ac:dyDescent="0.3">
      <c r="C43" s="1" t="s">
        <v>806</v>
      </c>
    </row>
    <row r="44" spans="2:11" x14ac:dyDescent="0.3">
      <c r="E44" s="515"/>
      <c r="F44" s="515"/>
    </row>
    <row r="45" spans="2:11" x14ac:dyDescent="0.3">
      <c r="C45" s="1494" t="s">
        <v>857</v>
      </c>
      <c r="D45" s="1494"/>
      <c r="E45" s="5"/>
      <c r="F45" s="5"/>
      <c r="G45" s="5"/>
      <c r="H45" s="5"/>
      <c r="I45" s="5"/>
      <c r="J45" s="5"/>
      <c r="K45" s="5"/>
    </row>
    <row r="46" spans="2:11" x14ac:dyDescent="0.3">
      <c r="C46" s="1477" t="s">
        <v>858</v>
      </c>
      <c r="D46" s="1477"/>
      <c r="E46" s="1477"/>
      <c r="F46" s="1477"/>
      <c r="G46" s="1477"/>
      <c r="H46" s="1477"/>
      <c r="I46" s="1477"/>
      <c r="J46" s="1477"/>
      <c r="K46" s="1477"/>
    </row>
    <row r="47" spans="2:11" x14ac:dyDescent="0.3">
      <c r="C47" s="1477"/>
      <c r="D47" s="1477"/>
      <c r="E47" s="1477"/>
      <c r="F47" s="1477"/>
      <c r="G47" s="1477"/>
      <c r="H47" s="1477"/>
      <c r="I47" s="1477"/>
      <c r="J47" s="1477"/>
      <c r="K47" s="1477"/>
    </row>
    <row r="48" spans="2:11" x14ac:dyDescent="0.3">
      <c r="C48" s="1477"/>
      <c r="D48" s="1477"/>
      <c r="E48" s="1477"/>
      <c r="F48" s="1477"/>
      <c r="G48" s="1477"/>
      <c r="H48" s="1477"/>
      <c r="I48" s="1477"/>
      <c r="J48" s="1477"/>
      <c r="K48" s="1477"/>
    </row>
    <row r="49" spans="3:11" x14ac:dyDescent="0.3">
      <c r="C49" s="1477"/>
      <c r="D49" s="1477"/>
      <c r="E49" s="1477"/>
      <c r="F49" s="1477"/>
      <c r="G49" s="1477"/>
      <c r="H49" s="1477"/>
      <c r="I49" s="1477"/>
      <c r="J49" s="1477"/>
      <c r="K49" s="1477"/>
    </row>
    <row r="50" spans="3:11" x14ac:dyDescent="0.3">
      <c r="C50" s="1477"/>
      <c r="D50" s="1477"/>
      <c r="E50" s="1477"/>
      <c r="F50" s="1477"/>
      <c r="G50" s="1477"/>
      <c r="H50" s="1477"/>
      <c r="I50" s="1477"/>
      <c r="J50" s="1477"/>
      <c r="K50" s="1477"/>
    </row>
    <row r="51" spans="3:11" x14ac:dyDescent="0.3">
      <c r="C51" s="1477"/>
      <c r="D51" s="1477"/>
      <c r="E51" s="1477"/>
      <c r="F51" s="1477"/>
      <c r="G51" s="1477"/>
      <c r="H51" s="1477"/>
      <c r="I51" s="1477"/>
      <c r="J51" s="1477"/>
      <c r="K51" s="1477"/>
    </row>
    <row r="52" spans="3:11" ht="119.25" customHeight="1" x14ac:dyDescent="0.3">
      <c r="C52" s="1477"/>
      <c r="D52" s="1477"/>
      <c r="E52" s="1477"/>
      <c r="F52" s="1477"/>
      <c r="G52" s="1477"/>
      <c r="H52" s="1477"/>
      <c r="I52" s="1477"/>
      <c r="J52" s="1477"/>
      <c r="K52" s="1477"/>
    </row>
  </sheetData>
  <sheetProtection password="F757" sheet="1" objects="1" scenarios="1"/>
  <mergeCells count="18">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107"/>
  <sheetViews>
    <sheetView topLeftCell="D1" zoomScale="80" zoomScaleNormal="80" workbookViewId="0">
      <selection activeCell="M41" sqref="M41"/>
    </sheetView>
  </sheetViews>
  <sheetFormatPr defaultColWidth="9.109375" defaultRowHeight="14.4" x14ac:dyDescent="0.3"/>
  <cols>
    <col min="1" max="1" width="9.109375" style="514"/>
    <col min="2" max="2" width="10.44140625" style="514" customWidth="1"/>
    <col min="3" max="3" width="89.6640625" style="514" customWidth="1"/>
    <col min="4" max="4" width="16" style="514" customWidth="1"/>
    <col min="5" max="5" width="22.109375" style="514" customWidth="1"/>
    <col min="6" max="6" width="34.33203125" style="514" customWidth="1"/>
    <col min="7" max="7" width="14.88671875" style="514" customWidth="1"/>
    <col min="8" max="16384" width="9.109375" style="514"/>
  </cols>
  <sheetData>
    <row r="1" spans="1:7" x14ac:dyDescent="0.3">
      <c r="A1" s="516" t="s">
        <v>0</v>
      </c>
      <c r="B1" s="517"/>
      <c r="C1" s="517"/>
      <c r="D1" s="517"/>
      <c r="E1" s="517"/>
      <c r="F1" s="517"/>
      <c r="G1" s="517"/>
    </row>
    <row r="2" spans="1:7" x14ac:dyDescent="0.3">
      <c r="A2" s="516" t="s">
        <v>1</v>
      </c>
      <c r="B2" s="517"/>
      <c r="C2" s="517"/>
      <c r="D2" s="517"/>
      <c r="E2" s="517"/>
      <c r="F2" s="517"/>
      <c r="G2" s="517"/>
    </row>
    <row r="3" spans="1:7" x14ac:dyDescent="0.3">
      <c r="A3" s="517"/>
      <c r="B3" s="517"/>
      <c r="C3" s="517"/>
      <c r="D3" s="517"/>
      <c r="E3" s="517"/>
      <c r="F3" s="517"/>
      <c r="G3" s="517"/>
    </row>
    <row r="4" spans="1:7" x14ac:dyDescent="0.3">
      <c r="A4" s="517"/>
      <c r="B4" s="517"/>
      <c r="C4" s="517"/>
      <c r="D4" s="517"/>
      <c r="E4" s="517"/>
      <c r="F4" s="517"/>
      <c r="G4" s="517"/>
    </row>
    <row r="5" spans="1:7" x14ac:dyDescent="0.3">
      <c r="A5" s="519" t="s">
        <v>859</v>
      </c>
      <c r="B5" s="517"/>
      <c r="C5" s="517"/>
      <c r="D5" s="517"/>
      <c r="E5" s="517"/>
      <c r="F5" s="517"/>
      <c r="G5" s="517"/>
    </row>
    <row r="6" spans="1:7" x14ac:dyDescent="0.3">
      <c r="A6" s="517"/>
      <c r="B6" s="517"/>
      <c r="C6" s="517"/>
      <c r="D6" s="517"/>
      <c r="E6" s="517"/>
      <c r="F6" s="517"/>
      <c r="G6" s="517"/>
    </row>
    <row r="8" spans="1:7" ht="27" customHeight="1" x14ac:dyDescent="0.3">
      <c r="B8" s="1468" t="s">
        <v>860</v>
      </c>
      <c r="C8" s="1468"/>
      <c r="D8" s="1468"/>
      <c r="E8" s="1468"/>
    </row>
    <row r="9" spans="1:7" ht="26.4" x14ac:dyDescent="0.3">
      <c r="B9" s="736" t="s">
        <v>4</v>
      </c>
      <c r="C9" s="784" t="s">
        <v>861</v>
      </c>
      <c r="D9" s="844" t="s">
        <v>715</v>
      </c>
      <c r="E9" s="740" t="s">
        <v>65</v>
      </c>
      <c r="F9" s="845"/>
      <c r="G9" s="741"/>
    </row>
    <row r="10" spans="1:7" ht="16.5" customHeight="1" x14ac:dyDescent="0.3">
      <c r="B10" s="846"/>
      <c r="C10" s="847" t="s">
        <v>862</v>
      </c>
      <c r="D10" s="848"/>
      <c r="E10" s="849"/>
      <c r="F10" s="845"/>
      <c r="G10" s="741"/>
    </row>
    <row r="11" spans="1:7" ht="15.6" x14ac:dyDescent="0.3">
      <c r="B11" s="850">
        <v>1</v>
      </c>
      <c r="C11" s="851" t="s">
        <v>863</v>
      </c>
      <c r="D11" s="852" t="s">
        <v>864</v>
      </c>
      <c r="E11" s="853">
        <v>559.96599999999989</v>
      </c>
      <c r="F11" s="854"/>
      <c r="G11" s="741"/>
    </row>
    <row r="12" spans="1:7" ht="15.6" x14ac:dyDescent="0.3">
      <c r="B12" s="855">
        <v>2</v>
      </c>
      <c r="C12" s="856" t="s">
        <v>865</v>
      </c>
      <c r="D12" s="857" t="s">
        <v>864</v>
      </c>
      <c r="E12" s="858">
        <v>521.54999999999995</v>
      </c>
      <c r="F12" s="845"/>
      <c r="G12" s="741"/>
    </row>
    <row r="13" spans="1:7" ht="15.6" x14ac:dyDescent="0.3">
      <c r="B13" s="859">
        <v>3</v>
      </c>
      <c r="C13" s="860" t="s">
        <v>866</v>
      </c>
      <c r="D13" s="861" t="s">
        <v>864</v>
      </c>
      <c r="E13" s="862">
        <v>550.12</v>
      </c>
      <c r="F13" s="845"/>
      <c r="G13" s="741"/>
    </row>
    <row r="14" spans="1:7" ht="15.6" x14ac:dyDescent="0.3">
      <c r="B14" s="863" t="s">
        <v>867</v>
      </c>
      <c r="C14" s="864" t="s">
        <v>868</v>
      </c>
      <c r="D14" s="865" t="s">
        <v>869</v>
      </c>
      <c r="E14" s="866">
        <f>$F$105+$G$105</f>
        <v>0</v>
      </c>
      <c r="F14" s="867"/>
      <c r="G14" s="741"/>
    </row>
    <row r="15" spans="1:7" ht="15.6" x14ac:dyDescent="0.3">
      <c r="B15" s="868" t="s">
        <v>870</v>
      </c>
      <c r="C15" s="869" t="s">
        <v>871</v>
      </c>
      <c r="D15" s="870" t="s">
        <v>872</v>
      </c>
      <c r="E15" s="871">
        <v>0</v>
      </c>
      <c r="F15" s="867"/>
    </row>
    <row r="16" spans="1:7" x14ac:dyDescent="0.3">
      <c r="B16" s="872" t="s">
        <v>873</v>
      </c>
      <c r="C16" s="873" t="s">
        <v>777</v>
      </c>
      <c r="D16" s="874" t="s">
        <v>874</v>
      </c>
      <c r="E16" s="875">
        <v>0</v>
      </c>
      <c r="F16" s="867"/>
    </row>
    <row r="17" spans="2:7" ht="15.6" x14ac:dyDescent="0.3">
      <c r="B17" s="859" t="s">
        <v>875</v>
      </c>
      <c r="C17" s="876" t="s">
        <v>876</v>
      </c>
      <c r="D17" s="877" t="s">
        <v>869</v>
      </c>
      <c r="E17" s="878">
        <f>E18+E23+E25</f>
        <v>487.09693499999997</v>
      </c>
      <c r="F17" s="845"/>
    </row>
    <row r="18" spans="2:7" ht="15.6" x14ac:dyDescent="0.3">
      <c r="B18" s="879" t="s">
        <v>877</v>
      </c>
      <c r="C18" s="880" t="s">
        <v>878</v>
      </c>
      <c r="D18" s="881" t="s">
        <v>864</v>
      </c>
      <c r="E18" s="882">
        <f>E19+E22</f>
        <v>343.39693499999998</v>
      </c>
      <c r="F18" s="867"/>
    </row>
    <row r="19" spans="2:7" ht="15.6" x14ac:dyDescent="0.3">
      <c r="B19" s="863" t="s">
        <v>879</v>
      </c>
      <c r="C19" s="864" t="s">
        <v>880</v>
      </c>
      <c r="D19" s="865" t="s">
        <v>869</v>
      </c>
      <c r="E19" s="883">
        <v>184.29999999999998</v>
      </c>
      <c r="F19" s="884"/>
    </row>
    <row r="20" spans="2:7" ht="15.6" x14ac:dyDescent="0.3">
      <c r="B20" s="885" t="s">
        <v>881</v>
      </c>
      <c r="C20" s="886" t="s">
        <v>882</v>
      </c>
      <c r="D20" s="887" t="s">
        <v>872</v>
      </c>
      <c r="E20" s="883">
        <v>0</v>
      </c>
      <c r="F20" s="884"/>
    </row>
    <row r="21" spans="2:7" ht="15.6" x14ac:dyDescent="0.3">
      <c r="B21" s="885" t="s">
        <v>883</v>
      </c>
      <c r="C21" s="886" t="s">
        <v>871</v>
      </c>
      <c r="D21" s="887" t="s">
        <v>872</v>
      </c>
      <c r="E21" s="883">
        <v>0</v>
      </c>
      <c r="F21" s="888"/>
    </row>
    <row r="22" spans="2:7" ht="15.6" x14ac:dyDescent="0.3">
      <c r="B22" s="863" t="s">
        <v>884</v>
      </c>
      <c r="C22" s="864" t="s">
        <v>885</v>
      </c>
      <c r="D22" s="865" t="s">
        <v>869</v>
      </c>
      <c r="E22" s="883">
        <v>159.09693499999997</v>
      </c>
      <c r="F22" s="889"/>
    </row>
    <row r="23" spans="2:7" ht="15.6" x14ac:dyDescent="0.3">
      <c r="B23" s="879" t="s">
        <v>886</v>
      </c>
      <c r="C23" s="880" t="s">
        <v>887</v>
      </c>
      <c r="D23" s="881" t="s">
        <v>864</v>
      </c>
      <c r="E23" s="890">
        <v>143.69999999999999</v>
      </c>
      <c r="F23" s="867"/>
    </row>
    <row r="24" spans="2:7" ht="15.6" x14ac:dyDescent="0.3">
      <c r="B24" s="863" t="s">
        <v>888</v>
      </c>
      <c r="C24" s="864" t="s">
        <v>889</v>
      </c>
      <c r="D24" s="865" t="s">
        <v>869</v>
      </c>
      <c r="E24" s="883">
        <v>66.8</v>
      </c>
      <c r="F24" s="867"/>
    </row>
    <row r="25" spans="2:7" ht="15.6" x14ac:dyDescent="0.3">
      <c r="B25" s="855" t="s">
        <v>890</v>
      </c>
      <c r="C25" s="856" t="s">
        <v>891</v>
      </c>
      <c r="D25" s="857" t="s">
        <v>864</v>
      </c>
      <c r="E25" s="858">
        <v>0</v>
      </c>
    </row>
    <row r="26" spans="2:7" ht="15.6" x14ac:dyDescent="0.3">
      <c r="B26" s="891" t="s">
        <v>892</v>
      </c>
      <c r="C26" s="892" t="s">
        <v>893</v>
      </c>
      <c r="D26" s="893" t="s">
        <v>864</v>
      </c>
      <c r="E26" s="894">
        <v>0</v>
      </c>
      <c r="F26" s="867"/>
      <c r="G26" s="814"/>
    </row>
    <row r="27" spans="2:7" ht="15.6" x14ac:dyDescent="0.3">
      <c r="B27" s="895" t="s">
        <v>894</v>
      </c>
      <c r="C27" s="896" t="s">
        <v>895</v>
      </c>
      <c r="D27" s="897" t="s">
        <v>864</v>
      </c>
      <c r="E27" s="898">
        <f>E11-E17-E26</f>
        <v>72.869064999999921</v>
      </c>
      <c r="F27" s="845"/>
    </row>
    <row r="28" spans="2:7" ht="15.6" x14ac:dyDescent="0.3">
      <c r="B28" s="899" t="s">
        <v>896</v>
      </c>
      <c r="C28" s="864" t="s">
        <v>897</v>
      </c>
      <c r="D28" s="865" t="s">
        <v>869</v>
      </c>
      <c r="E28" s="900">
        <f>E11-E13</f>
        <v>9.84599999999989</v>
      </c>
      <c r="F28" s="741"/>
      <c r="G28" s="901"/>
    </row>
    <row r="29" spans="2:7" x14ac:dyDescent="0.3">
      <c r="B29" s="899" t="s">
        <v>898</v>
      </c>
      <c r="C29" s="864" t="s">
        <v>899</v>
      </c>
      <c r="D29" s="865" t="s">
        <v>874</v>
      </c>
      <c r="E29" s="900">
        <f>E13-E17-E26-E31</f>
        <v>247.32306500000001</v>
      </c>
      <c r="F29" s="741"/>
      <c r="G29" s="901"/>
    </row>
    <row r="30" spans="2:7" ht="15.6" x14ac:dyDescent="0.3">
      <c r="B30" s="863" t="s">
        <v>900</v>
      </c>
      <c r="C30" s="864" t="s">
        <v>901</v>
      </c>
      <c r="D30" s="865" t="s">
        <v>869</v>
      </c>
      <c r="E30" s="902">
        <f>$E$14-$E$19</f>
        <v>-184.29999999999998</v>
      </c>
      <c r="F30" s="845"/>
    </row>
    <row r="31" spans="2:7" ht="15.6" x14ac:dyDescent="0.3">
      <c r="B31" s="903" t="s">
        <v>902</v>
      </c>
      <c r="C31" s="886" t="s">
        <v>903</v>
      </c>
      <c r="D31" s="887" t="s">
        <v>872</v>
      </c>
      <c r="E31" s="904">
        <f>($E$14-$E$20)-($E$19-$E$20)</f>
        <v>-184.29999999999998</v>
      </c>
      <c r="F31" s="845"/>
    </row>
    <row r="32" spans="2:7" x14ac:dyDescent="0.3">
      <c r="B32" s="903" t="s">
        <v>904</v>
      </c>
      <c r="C32" s="905" t="s">
        <v>905</v>
      </c>
      <c r="D32" s="906" t="s">
        <v>874</v>
      </c>
      <c r="E32" s="907">
        <f>E15-E21</f>
        <v>0</v>
      </c>
      <c r="F32" s="845"/>
    </row>
    <row r="33" spans="2:6" x14ac:dyDescent="0.3">
      <c r="B33" s="908"/>
      <c r="C33" s="847" t="s">
        <v>906</v>
      </c>
      <c r="D33" s="848"/>
      <c r="E33" s="849"/>
      <c r="F33" s="845"/>
    </row>
    <row r="34" spans="2:6" ht="15.6" x14ac:dyDescent="0.3">
      <c r="B34" s="859" t="s">
        <v>907</v>
      </c>
      <c r="C34" s="876" t="s">
        <v>908</v>
      </c>
      <c r="D34" s="865" t="s">
        <v>869</v>
      </c>
      <c r="E34" s="878">
        <f>E35+E36</f>
        <v>1376.1110000000001</v>
      </c>
      <c r="F34" s="845"/>
    </row>
    <row r="35" spans="2:6" ht="15.6" x14ac:dyDescent="0.3">
      <c r="B35" s="863" t="s">
        <v>909</v>
      </c>
      <c r="C35" s="864" t="s">
        <v>910</v>
      </c>
      <c r="D35" s="865" t="s">
        <v>869</v>
      </c>
      <c r="E35" s="909">
        <v>1375.4</v>
      </c>
      <c r="F35" s="741"/>
    </row>
    <row r="36" spans="2:6" ht="15.6" x14ac:dyDescent="0.3">
      <c r="B36" s="863" t="s">
        <v>911</v>
      </c>
      <c r="C36" s="910" t="s">
        <v>912</v>
      </c>
      <c r="D36" s="865" t="s">
        <v>869</v>
      </c>
      <c r="E36" s="909">
        <v>0.71099999999999997</v>
      </c>
      <c r="F36" s="741"/>
    </row>
    <row r="37" spans="2:6" ht="26.4" x14ac:dyDescent="0.3">
      <c r="B37" s="911" t="s">
        <v>913</v>
      </c>
      <c r="C37" s="912" t="s">
        <v>914</v>
      </c>
      <c r="D37" s="913" t="s">
        <v>915</v>
      </c>
      <c r="E37" s="914">
        <v>1413.14</v>
      </c>
      <c r="F37" s="915"/>
    </row>
    <row r="38" spans="2:6" ht="26.4" x14ac:dyDescent="0.3">
      <c r="B38" s="916" t="s">
        <v>916</v>
      </c>
      <c r="C38" s="917" t="s">
        <v>917</v>
      </c>
      <c r="D38" s="918" t="s">
        <v>918</v>
      </c>
      <c r="E38" s="919">
        <v>792.84</v>
      </c>
      <c r="F38" s="915"/>
    </row>
    <row r="39" spans="2:6" ht="16.2" x14ac:dyDescent="0.3">
      <c r="B39" s="891" t="s">
        <v>919</v>
      </c>
      <c r="C39" s="892" t="s">
        <v>920</v>
      </c>
      <c r="D39" s="913" t="s">
        <v>915</v>
      </c>
      <c r="E39" s="894">
        <v>1376.1060000000002</v>
      </c>
      <c r="F39" s="845"/>
    </row>
    <row r="40" spans="2:6" ht="15.6" x14ac:dyDescent="0.3">
      <c r="B40" s="920" t="s">
        <v>921</v>
      </c>
      <c r="C40" s="921" t="s">
        <v>922</v>
      </c>
      <c r="D40" s="861" t="s">
        <v>864</v>
      </c>
      <c r="E40" s="922">
        <v>1376.1060000000002</v>
      </c>
      <c r="F40" s="923"/>
    </row>
    <row r="41" spans="2:6" ht="15.6" x14ac:dyDescent="0.3">
      <c r="B41" s="1496" t="s">
        <v>923</v>
      </c>
      <c r="C41" s="924" t="s">
        <v>924</v>
      </c>
      <c r="D41" s="925" t="s">
        <v>864</v>
      </c>
      <c r="E41" s="926">
        <f>E43+E49+E52</f>
        <v>499.85489000000001</v>
      </c>
      <c r="F41" s="741"/>
    </row>
    <row r="42" spans="2:6" ht="15.6" x14ac:dyDescent="0.3">
      <c r="B42" s="1497"/>
      <c r="C42" s="924" t="s">
        <v>925</v>
      </c>
      <c r="D42" s="925" t="s">
        <v>864</v>
      </c>
      <c r="E42" s="926">
        <f>$E$44+$E$47+$E$50+$E$52</f>
        <v>500.56089000000003</v>
      </c>
      <c r="F42" s="741"/>
    </row>
    <row r="43" spans="2:6" x14ac:dyDescent="0.3">
      <c r="B43" s="927" t="s">
        <v>926</v>
      </c>
      <c r="C43" s="876" t="s">
        <v>927</v>
      </c>
      <c r="D43" s="861" t="s">
        <v>874</v>
      </c>
      <c r="E43" s="878">
        <f>E44+E46</f>
        <v>331.52489000000003</v>
      </c>
      <c r="F43" s="867"/>
    </row>
    <row r="44" spans="2:6" x14ac:dyDescent="0.3">
      <c r="B44" s="928" t="s">
        <v>928</v>
      </c>
      <c r="C44" s="864" t="s">
        <v>929</v>
      </c>
      <c r="D44" s="865" t="s">
        <v>874</v>
      </c>
      <c r="E44" s="909">
        <v>181.94</v>
      </c>
      <c r="F44" s="741"/>
    </row>
    <row r="45" spans="2:6" x14ac:dyDescent="0.3">
      <c r="B45" s="929" t="s">
        <v>930</v>
      </c>
      <c r="C45" s="886" t="s">
        <v>931</v>
      </c>
      <c r="D45" s="865" t="s">
        <v>874</v>
      </c>
      <c r="E45" s="883">
        <v>0</v>
      </c>
      <c r="F45" s="888"/>
    </row>
    <row r="46" spans="2:6" x14ac:dyDescent="0.3">
      <c r="B46" s="930" t="s">
        <v>932</v>
      </c>
      <c r="C46" s="931" t="s">
        <v>933</v>
      </c>
      <c r="D46" s="932" t="s">
        <v>874</v>
      </c>
      <c r="E46" s="871">
        <v>149.58489</v>
      </c>
      <c r="F46" s="888"/>
    </row>
    <row r="47" spans="2:6" x14ac:dyDescent="0.3">
      <c r="B47" s="933" t="s">
        <v>934</v>
      </c>
      <c r="C47" s="934" t="s">
        <v>935</v>
      </c>
      <c r="D47" s="932" t="s">
        <v>874</v>
      </c>
      <c r="E47" s="871">
        <v>150.01089000000002</v>
      </c>
      <c r="F47" s="888"/>
    </row>
    <row r="48" spans="2:6" x14ac:dyDescent="0.3">
      <c r="B48" s="933" t="s">
        <v>936</v>
      </c>
      <c r="C48" s="934" t="s">
        <v>937</v>
      </c>
      <c r="D48" s="932" t="s">
        <v>874</v>
      </c>
      <c r="E48" s="871">
        <v>150.01089000000002</v>
      </c>
      <c r="F48" s="889"/>
    </row>
    <row r="49" spans="2:6" ht="15.6" x14ac:dyDescent="0.3">
      <c r="B49" s="859" t="s">
        <v>938</v>
      </c>
      <c r="C49" s="876" t="s">
        <v>939</v>
      </c>
      <c r="D49" s="861" t="s">
        <v>864</v>
      </c>
      <c r="E49" s="862">
        <v>168.32999999999998</v>
      </c>
      <c r="F49" s="867"/>
    </row>
    <row r="50" spans="2:6" ht="15.6" x14ac:dyDescent="0.3">
      <c r="B50" s="863" t="s">
        <v>940</v>
      </c>
      <c r="C50" s="935" t="s">
        <v>941</v>
      </c>
      <c r="D50" s="887" t="s">
        <v>872</v>
      </c>
      <c r="E50" s="909">
        <v>168.61</v>
      </c>
      <c r="F50" s="741"/>
    </row>
    <row r="51" spans="2:6" ht="15.6" x14ac:dyDescent="0.3">
      <c r="B51" s="936" t="s">
        <v>942</v>
      </c>
      <c r="C51" s="937" t="s">
        <v>943</v>
      </c>
      <c r="D51" s="870" t="s">
        <v>872</v>
      </c>
      <c r="E51" s="938">
        <v>168.61</v>
      </c>
      <c r="F51" s="741"/>
    </row>
    <row r="52" spans="2:6" ht="15.6" x14ac:dyDescent="0.3">
      <c r="B52" s="891" t="s">
        <v>944</v>
      </c>
      <c r="C52" s="892" t="s">
        <v>945</v>
      </c>
      <c r="D52" s="893" t="s">
        <v>864</v>
      </c>
      <c r="E52" s="894">
        <v>0</v>
      </c>
      <c r="F52" s="867"/>
    </row>
    <row r="53" spans="2:6" ht="15.6" x14ac:dyDescent="0.3">
      <c r="B53" s="859" t="s">
        <v>946</v>
      </c>
      <c r="C53" s="876" t="s">
        <v>947</v>
      </c>
      <c r="D53" s="897" t="s">
        <v>864</v>
      </c>
      <c r="E53" s="878">
        <f>E34-E41</f>
        <v>876.25611000000004</v>
      </c>
      <c r="F53" s="888"/>
    </row>
    <row r="54" spans="2:6" ht="15.6" x14ac:dyDescent="0.3">
      <c r="B54" s="863" t="s">
        <v>948</v>
      </c>
      <c r="C54" s="864" t="s">
        <v>949</v>
      </c>
      <c r="D54" s="865" t="s">
        <v>869</v>
      </c>
      <c r="E54" s="939">
        <f>E53-E55</f>
        <v>876.25611000000004</v>
      </c>
      <c r="F54" s="867"/>
    </row>
    <row r="55" spans="2:6" ht="15.6" x14ac:dyDescent="0.3">
      <c r="B55" s="863" t="s">
        <v>950</v>
      </c>
      <c r="C55" s="864" t="s">
        <v>951</v>
      </c>
      <c r="D55" s="865" t="s">
        <v>869</v>
      </c>
      <c r="E55" s="939">
        <f>(E44/(100-E71)*100)-E44</f>
        <v>0</v>
      </c>
      <c r="F55" s="867"/>
    </row>
    <row r="56" spans="2:6" ht="15.6" x14ac:dyDescent="0.3">
      <c r="B56" s="868" t="s">
        <v>952</v>
      </c>
      <c r="C56" s="940" t="s">
        <v>953</v>
      </c>
      <c r="D56" s="870" t="s">
        <v>872</v>
      </c>
      <c r="E56" s="941">
        <v>0</v>
      </c>
      <c r="F56" s="867"/>
    </row>
    <row r="57" spans="2:6" x14ac:dyDescent="0.3">
      <c r="B57" s="908"/>
      <c r="C57" s="847" t="s">
        <v>954</v>
      </c>
      <c r="D57" s="848"/>
      <c r="E57" s="849"/>
      <c r="F57" s="867"/>
    </row>
    <row r="58" spans="2:6" ht="15.6" x14ac:dyDescent="0.3">
      <c r="B58" s="859" t="s">
        <v>955</v>
      </c>
      <c r="C58" s="942" t="s">
        <v>956</v>
      </c>
      <c r="D58" s="861" t="s">
        <v>864</v>
      </c>
      <c r="E58" s="878">
        <f>SUM(E59:E60)</f>
        <v>169.60236999999998</v>
      </c>
    </row>
    <row r="59" spans="2:6" ht="15.6" x14ac:dyDescent="0.3">
      <c r="B59" s="943" t="s">
        <v>957</v>
      </c>
      <c r="C59" s="944" t="s">
        <v>958</v>
      </c>
      <c r="D59" s="865" t="s">
        <v>869</v>
      </c>
      <c r="E59" s="945">
        <v>0</v>
      </c>
    </row>
    <row r="60" spans="2:6" ht="15.6" x14ac:dyDescent="0.3">
      <c r="B60" s="946" t="s">
        <v>959</v>
      </c>
      <c r="C60" s="947" t="s">
        <v>960</v>
      </c>
      <c r="D60" s="932" t="s">
        <v>869</v>
      </c>
      <c r="E60" s="948">
        <v>169.60236999999998</v>
      </c>
      <c r="F60" s="923"/>
    </row>
    <row r="61" spans="2:6" ht="15.6" x14ac:dyDescent="0.3">
      <c r="B61" s="891" t="s">
        <v>961</v>
      </c>
      <c r="C61" s="892" t="s">
        <v>962</v>
      </c>
      <c r="D61" s="893" t="s">
        <v>864</v>
      </c>
      <c r="E61" s="894">
        <v>0</v>
      </c>
    </row>
    <row r="62" spans="2:6" ht="15.6" x14ac:dyDescent="0.3">
      <c r="B62" s="859" t="s">
        <v>963</v>
      </c>
      <c r="C62" s="876" t="s">
        <v>964</v>
      </c>
      <c r="D62" s="861" t="s">
        <v>864</v>
      </c>
      <c r="E62" s="862">
        <v>169.60236999999998</v>
      </c>
    </row>
    <row r="63" spans="2:6" ht="15.6" x14ac:dyDescent="0.3">
      <c r="B63" s="936" t="s">
        <v>965</v>
      </c>
      <c r="C63" s="944" t="s">
        <v>958</v>
      </c>
      <c r="D63" s="865" t="s">
        <v>869</v>
      </c>
      <c r="E63" s="858">
        <v>0</v>
      </c>
    </row>
    <row r="64" spans="2:6" ht="15.6" x14ac:dyDescent="0.3">
      <c r="B64" s="936" t="s">
        <v>966</v>
      </c>
      <c r="C64" s="947" t="s">
        <v>960</v>
      </c>
      <c r="D64" s="932" t="s">
        <v>869</v>
      </c>
      <c r="E64" s="938">
        <v>169.60236999999998</v>
      </c>
    </row>
    <row r="65" spans="1:5" ht="15.6" x14ac:dyDescent="0.3">
      <c r="B65" s="949" t="s">
        <v>967</v>
      </c>
      <c r="C65" s="950" t="s">
        <v>968</v>
      </c>
      <c r="D65" s="951" t="s">
        <v>864</v>
      </c>
      <c r="E65" s="952">
        <f>E58-E62</f>
        <v>0</v>
      </c>
    </row>
    <row r="66" spans="1:5" x14ac:dyDescent="0.3">
      <c r="B66" s="953"/>
      <c r="C66" s="847" t="s">
        <v>969</v>
      </c>
      <c r="D66" s="848"/>
      <c r="E66" s="849"/>
    </row>
    <row r="67" spans="1:5" x14ac:dyDescent="0.3">
      <c r="A67" s="954"/>
      <c r="B67" s="955" t="s">
        <v>970</v>
      </c>
      <c r="C67" s="956" t="s">
        <v>971</v>
      </c>
      <c r="D67" s="956" t="s">
        <v>972</v>
      </c>
      <c r="E67" s="957">
        <f>IF(E11=0,0,E27/E11*100)</f>
        <v>13.013123118189307</v>
      </c>
    </row>
    <row r="68" spans="1:5" x14ac:dyDescent="0.3">
      <c r="A68" s="954"/>
      <c r="B68" s="958" t="s">
        <v>973</v>
      </c>
      <c r="C68" s="959" t="s">
        <v>974</v>
      </c>
      <c r="D68" s="960" t="s">
        <v>972</v>
      </c>
      <c r="E68" s="961">
        <f>IF(E11=0,0,E28/E11*100)</f>
        <v>1.7583210409203223</v>
      </c>
    </row>
    <row r="69" spans="1:5" x14ac:dyDescent="0.3">
      <c r="A69" s="954"/>
      <c r="B69" s="958" t="s">
        <v>975</v>
      </c>
      <c r="C69" s="959" t="s">
        <v>899</v>
      </c>
      <c r="D69" s="960" t="s">
        <v>972</v>
      </c>
      <c r="E69" s="961">
        <f>IF(E11=0,0,E29/E11*100)</f>
        <v>44.167514634817124</v>
      </c>
    </row>
    <row r="70" spans="1:5" x14ac:dyDescent="0.3">
      <c r="A70" s="954"/>
      <c r="B70" s="958" t="s">
        <v>976</v>
      </c>
      <c r="C70" s="959" t="s">
        <v>901</v>
      </c>
      <c r="D70" s="960" t="s">
        <v>972</v>
      </c>
      <c r="E70" s="961">
        <f>IF(E11=0,0,E30/E11*100)</f>
        <v>-32.91271255754814</v>
      </c>
    </row>
    <row r="71" spans="1:5" x14ac:dyDescent="0.3">
      <c r="A71" s="954"/>
      <c r="B71" s="962" t="s">
        <v>977</v>
      </c>
      <c r="C71" s="963" t="s">
        <v>903</v>
      </c>
      <c r="D71" s="960" t="s">
        <v>972</v>
      </c>
      <c r="E71" s="961">
        <f>IF(E14=0,0,E31/E14*100)</f>
        <v>0</v>
      </c>
    </row>
    <row r="72" spans="1:5" x14ac:dyDescent="0.3">
      <c r="A72" s="954"/>
      <c r="B72" s="964" t="s">
        <v>978</v>
      </c>
      <c r="C72" s="965" t="s">
        <v>979</v>
      </c>
      <c r="D72" s="960" t="s">
        <v>972</v>
      </c>
      <c r="E72" s="966">
        <f>IF($E$13=0,0,($E$30-E31)/($E$13-E14)*100)</f>
        <v>0</v>
      </c>
    </row>
    <row r="73" spans="1:5" x14ac:dyDescent="0.3">
      <c r="A73" s="954"/>
      <c r="B73" s="967" t="s">
        <v>980</v>
      </c>
      <c r="C73" s="968" t="s">
        <v>905</v>
      </c>
      <c r="D73" s="969" t="s">
        <v>972</v>
      </c>
      <c r="E73" s="970">
        <f>IF(E15=0,0,E32/E15*100)</f>
        <v>0</v>
      </c>
    </row>
    <row r="74" spans="1:5" x14ac:dyDescent="0.3">
      <c r="A74" s="954"/>
      <c r="B74" s="971" t="s">
        <v>981</v>
      </c>
      <c r="C74" s="972" t="s">
        <v>982</v>
      </c>
      <c r="D74" s="973" t="s">
        <v>972</v>
      </c>
      <c r="E74" s="957">
        <f>IF(E34=0,0,E53/E34*100)</f>
        <v>63.676266667441794</v>
      </c>
    </row>
    <row r="75" spans="1:5" x14ac:dyDescent="0.3">
      <c r="A75" s="954"/>
      <c r="B75" s="958" t="s">
        <v>983</v>
      </c>
      <c r="C75" s="959" t="s">
        <v>949</v>
      </c>
      <c r="D75" s="960" t="s">
        <v>972</v>
      </c>
      <c r="E75" s="974">
        <f>IF(E34=0,0,E54/E34*100)</f>
        <v>63.676266667441794</v>
      </c>
    </row>
    <row r="76" spans="1:5" x14ac:dyDescent="0.3">
      <c r="A76" s="954"/>
      <c r="B76" s="958" t="s">
        <v>984</v>
      </c>
      <c r="C76" s="959" t="s">
        <v>951</v>
      </c>
      <c r="D76" s="960" t="s">
        <v>972</v>
      </c>
      <c r="E76" s="974">
        <f>IF(E34=0,0,E55/E34*100)</f>
        <v>0</v>
      </c>
    </row>
    <row r="77" spans="1:5" x14ac:dyDescent="0.3">
      <c r="A77" s="954"/>
      <c r="B77" s="975" t="s">
        <v>985</v>
      </c>
      <c r="C77" s="968" t="s">
        <v>953</v>
      </c>
      <c r="D77" s="969" t="s">
        <v>972</v>
      </c>
      <c r="E77" s="976">
        <f>IF(E15=0,0,E56/E15*100)</f>
        <v>0</v>
      </c>
    </row>
    <row r="78" spans="1:5" x14ac:dyDescent="0.3">
      <c r="B78" s="977" t="s">
        <v>986</v>
      </c>
      <c r="C78" s="978" t="s">
        <v>987</v>
      </c>
      <c r="D78" s="978" t="s">
        <v>972</v>
      </c>
      <c r="E78" s="979">
        <f>IF(E58=0,0,E65/E58*100)</f>
        <v>0</v>
      </c>
    </row>
    <row r="79" spans="1:5" x14ac:dyDescent="0.3">
      <c r="B79" s="908"/>
      <c r="C79" s="847" t="s">
        <v>988</v>
      </c>
      <c r="D79" s="848"/>
      <c r="E79" s="849"/>
    </row>
    <row r="80" spans="1:5" x14ac:dyDescent="0.3">
      <c r="B80" s="855" t="s">
        <v>989</v>
      </c>
      <c r="C80" s="857" t="s">
        <v>990</v>
      </c>
      <c r="D80" s="932" t="s">
        <v>856</v>
      </c>
      <c r="E80" s="980">
        <v>17440</v>
      </c>
    </row>
    <row r="81" spans="2:6" x14ac:dyDescent="0.3">
      <c r="B81" s="891" t="s">
        <v>991</v>
      </c>
      <c r="C81" s="893" t="s">
        <v>992</v>
      </c>
      <c r="D81" s="981" t="s">
        <v>993</v>
      </c>
      <c r="E81" s="982">
        <v>9556</v>
      </c>
    </row>
    <row r="82" spans="2:6" x14ac:dyDescent="0.3">
      <c r="B82" s="859" t="s">
        <v>994</v>
      </c>
      <c r="C82" s="861" t="s">
        <v>995</v>
      </c>
      <c r="D82" s="877" t="s">
        <v>993</v>
      </c>
      <c r="E82" s="983">
        <f>E83+E86+E87+E88+E89</f>
        <v>9476</v>
      </c>
    </row>
    <row r="83" spans="2:6" x14ac:dyDescent="0.3">
      <c r="B83" s="936" t="s">
        <v>996</v>
      </c>
      <c r="C83" s="865" t="s">
        <v>997</v>
      </c>
      <c r="D83" s="865" t="s">
        <v>993</v>
      </c>
      <c r="E83" s="984">
        <f>SUM(E84:E85)</f>
        <v>8792</v>
      </c>
    </row>
    <row r="84" spans="2:6" x14ac:dyDescent="0.3">
      <c r="B84" s="903" t="s">
        <v>998</v>
      </c>
      <c r="C84" s="985" t="s">
        <v>999</v>
      </c>
      <c r="D84" s="887" t="s">
        <v>993</v>
      </c>
      <c r="E84" s="986">
        <v>6111</v>
      </c>
    </row>
    <row r="85" spans="2:6" x14ac:dyDescent="0.3">
      <c r="B85" s="903" t="s">
        <v>1000</v>
      </c>
      <c r="C85" s="985" t="s">
        <v>1001</v>
      </c>
      <c r="D85" s="887" t="s">
        <v>993</v>
      </c>
      <c r="E85" s="986">
        <v>2681</v>
      </c>
    </row>
    <row r="86" spans="2:6" x14ac:dyDescent="0.3">
      <c r="B86" s="863" t="s">
        <v>1002</v>
      </c>
      <c r="C86" s="865" t="s">
        <v>1003</v>
      </c>
      <c r="D86" s="865" t="s">
        <v>993</v>
      </c>
      <c r="E86" s="987">
        <v>425</v>
      </c>
      <c r="F86" s="988"/>
    </row>
    <row r="87" spans="2:6" x14ac:dyDescent="0.3">
      <c r="B87" s="863" t="s">
        <v>1004</v>
      </c>
      <c r="C87" s="865" t="s">
        <v>1005</v>
      </c>
      <c r="D87" s="865" t="s">
        <v>993</v>
      </c>
      <c r="E87" s="987">
        <v>139</v>
      </c>
      <c r="F87" s="988"/>
    </row>
    <row r="88" spans="2:6" x14ac:dyDescent="0.3">
      <c r="B88" s="946" t="s">
        <v>1006</v>
      </c>
      <c r="C88" s="973" t="s">
        <v>1007</v>
      </c>
      <c r="D88" s="989" t="s">
        <v>993</v>
      </c>
      <c r="E88" s="990">
        <v>120</v>
      </c>
      <c r="F88" s="988"/>
    </row>
    <row r="89" spans="2:6" x14ac:dyDescent="0.3">
      <c r="B89" s="991" t="s">
        <v>1008</v>
      </c>
      <c r="C89" s="969" t="s">
        <v>1009</v>
      </c>
      <c r="D89" s="992" t="s">
        <v>993</v>
      </c>
      <c r="E89" s="993">
        <v>0</v>
      </c>
      <c r="F89" s="988"/>
    </row>
    <row r="90" spans="2:6" x14ac:dyDescent="0.3">
      <c r="B90" s="859" t="s">
        <v>1010</v>
      </c>
      <c r="C90" s="861" t="s">
        <v>1011</v>
      </c>
      <c r="D90" s="877" t="s">
        <v>993</v>
      </c>
      <c r="E90" s="994">
        <f>SUM(E91:E93)</f>
        <v>261</v>
      </c>
    </row>
    <row r="91" spans="2:6" x14ac:dyDescent="0.3">
      <c r="B91" s="863" t="s">
        <v>1012</v>
      </c>
      <c r="C91" s="865" t="s">
        <v>1013</v>
      </c>
      <c r="D91" s="865" t="s">
        <v>993</v>
      </c>
      <c r="E91" s="987">
        <v>240</v>
      </c>
    </row>
    <row r="92" spans="2:6" x14ac:dyDescent="0.3">
      <c r="B92" s="936" t="s">
        <v>1014</v>
      </c>
      <c r="C92" s="932" t="s">
        <v>1015</v>
      </c>
      <c r="D92" s="932" t="s">
        <v>993</v>
      </c>
      <c r="E92" s="980">
        <v>16</v>
      </c>
    </row>
    <row r="93" spans="2:6" x14ac:dyDescent="0.3">
      <c r="B93" s="863" t="s">
        <v>1016</v>
      </c>
      <c r="C93" s="865" t="s">
        <v>1017</v>
      </c>
      <c r="D93" s="865" t="s">
        <v>993</v>
      </c>
      <c r="E93" s="987">
        <v>5</v>
      </c>
    </row>
    <row r="94" spans="2:6" x14ac:dyDescent="0.3">
      <c r="B94" s="859" t="s">
        <v>1018</v>
      </c>
      <c r="C94" s="861" t="s">
        <v>1019</v>
      </c>
      <c r="D94" s="995" t="s">
        <v>993</v>
      </c>
      <c r="E94" s="996">
        <f>SUM(E95:E97)</f>
        <v>9737</v>
      </c>
    </row>
    <row r="95" spans="2:6" x14ac:dyDescent="0.3">
      <c r="B95" s="943" t="s">
        <v>1020</v>
      </c>
      <c r="C95" s="997" t="s">
        <v>1021</v>
      </c>
      <c r="D95" s="997" t="s">
        <v>993</v>
      </c>
      <c r="E95" s="998">
        <v>9032</v>
      </c>
    </row>
    <row r="96" spans="2:6" x14ac:dyDescent="0.3">
      <c r="B96" s="936" t="s">
        <v>1022</v>
      </c>
      <c r="C96" s="932" t="s">
        <v>1023</v>
      </c>
      <c r="D96" s="932" t="s">
        <v>993</v>
      </c>
      <c r="E96" s="980">
        <v>561</v>
      </c>
    </row>
    <row r="97" spans="2:7" x14ac:dyDescent="0.3">
      <c r="B97" s="991" t="s">
        <v>1024</v>
      </c>
      <c r="C97" s="992" t="s">
        <v>1025</v>
      </c>
      <c r="D97" s="992" t="s">
        <v>993</v>
      </c>
      <c r="E97" s="993">
        <v>144</v>
      </c>
    </row>
    <row r="99" spans="2:7" x14ac:dyDescent="0.3">
      <c r="B99" s="999" t="s">
        <v>1026</v>
      </c>
    </row>
    <row r="100" spans="2:7" x14ac:dyDescent="0.3">
      <c r="B100" s="999" t="s">
        <v>1027</v>
      </c>
    </row>
    <row r="103" spans="2:7" x14ac:dyDescent="0.3">
      <c r="B103" s="999" t="s">
        <v>1028</v>
      </c>
      <c r="C103" s="999" t="s">
        <v>1029</v>
      </c>
    </row>
    <row r="104" spans="2:7" x14ac:dyDescent="0.3">
      <c r="B104" s="1000"/>
      <c r="C104" s="1498" t="s">
        <v>1030</v>
      </c>
      <c r="D104" s="1498"/>
      <c r="E104" s="1498"/>
      <c r="F104" s="1001" t="s">
        <v>1031</v>
      </c>
      <c r="G104" s="1002" t="s">
        <v>1032</v>
      </c>
    </row>
    <row r="105" spans="2:7" ht="15.6" x14ac:dyDescent="0.3">
      <c r="B105" s="1003" t="s">
        <v>1033</v>
      </c>
      <c r="C105" s="1499" t="s">
        <v>1034</v>
      </c>
      <c r="D105" s="1499"/>
      <c r="E105" s="1499"/>
      <c r="F105" s="1004">
        <v>0</v>
      </c>
      <c r="G105" s="1005">
        <f>$G$106/(1-$F$107)</f>
        <v>0</v>
      </c>
    </row>
    <row r="106" spans="2:7" ht="15.6" x14ac:dyDescent="0.3">
      <c r="B106" s="928" t="s">
        <v>1035</v>
      </c>
      <c r="C106" s="1500" t="s">
        <v>1036</v>
      </c>
      <c r="D106" s="1500"/>
      <c r="E106" s="1500"/>
      <c r="F106" s="1006">
        <v>0</v>
      </c>
      <c r="G106" s="1007">
        <v>0</v>
      </c>
    </row>
    <row r="107" spans="2:7" x14ac:dyDescent="0.3">
      <c r="B107" s="1008" t="s">
        <v>1037</v>
      </c>
      <c r="C107" s="1495" t="s">
        <v>1038</v>
      </c>
      <c r="D107" s="1495"/>
      <c r="E107" s="1495"/>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RITA</cp:lastModifiedBy>
  <dcterms:created xsi:type="dcterms:W3CDTF">2026-03-26T22:22:53Z</dcterms:created>
  <dcterms:modified xsi:type="dcterms:W3CDTF">2026-06-09T05:59:56Z</dcterms:modified>
</cp:coreProperties>
</file>