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apafinancial-my.sharepoint.com/personal/johann_atlantikosgroup_com/Documents/Desktop/Eustis Medical Brochure - rev by JP/"/>
    </mc:Choice>
  </mc:AlternateContent>
  <xr:revisionPtr revIDLastSave="0" documentId="8_{07A87D6B-0466-42DC-9F51-8587FF8CB6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sumptions" sheetId="1" r:id="rId1"/>
    <sheet name="Project Cost" sheetId="2" r:id="rId2"/>
    <sheet name="Sales Schedule" sheetId="3" r:id="rId3"/>
    <sheet name="Monthly Operations" sheetId="4" r:id="rId4"/>
    <sheet name="Financing &amp; Returns" sheetId="5" r:id="rId5"/>
    <sheet name="Scenario Analysis" sheetId="6" r:id="rId6"/>
    <sheet name="Dashboard" sheetId="7" r:id="rId7"/>
    <sheet name="PPM Equity Raise" sheetId="8" r:id="rId8"/>
    <sheet name="Entity &amp; Fee Structure" sheetId="9" r:id="rId9"/>
    <sheet name="Capital Raise Schedule" sheetId="10" r:id="rId10"/>
    <sheet name="Shovel Ready Plan" sheetId="11" r:id="rId11"/>
    <sheet name="Land Seller Financing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2" l="1"/>
  <c r="B20" i="12"/>
  <c r="B19" i="12"/>
  <c r="B18" i="12"/>
  <c r="W12" i="12"/>
  <c r="R11" i="12"/>
  <c r="G10" i="12"/>
  <c r="M9" i="12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B17" i="11"/>
  <c r="Y15" i="11"/>
  <c r="X15" i="11"/>
  <c r="W15" i="11"/>
  <c r="V15" i="11"/>
  <c r="U15" i="11"/>
  <c r="T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Y14" i="11"/>
  <c r="X14" i="11"/>
  <c r="W14" i="11"/>
  <c r="V14" i="11"/>
  <c r="U14" i="11"/>
  <c r="T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Y12" i="11"/>
  <c r="X12" i="1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Y10" i="11"/>
  <c r="X10" i="11"/>
  <c r="W10" i="11"/>
  <c r="V10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B10" i="11"/>
  <c r="Y9" i="11"/>
  <c r="X9" i="11"/>
  <c r="W9" i="11"/>
  <c r="V9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B9" i="11"/>
  <c r="Z9" i="11" s="1"/>
  <c r="Y8" i="11"/>
  <c r="X8" i="11"/>
  <c r="W8" i="11"/>
  <c r="V8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B8" i="11"/>
  <c r="Y5" i="11"/>
  <c r="X5" i="11"/>
  <c r="W5" i="11"/>
  <c r="V5" i="11"/>
  <c r="U5" i="11"/>
  <c r="T5" i="11"/>
  <c r="S5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B5" i="11"/>
  <c r="I14" i="10"/>
  <c r="Y9" i="10"/>
  <c r="Y10" i="10" s="1"/>
  <c r="T9" i="10"/>
  <c r="S9" i="10"/>
  <c r="Q9" i="10"/>
  <c r="P9" i="10"/>
  <c r="I9" i="10"/>
  <c r="I10" i="10" s="1"/>
  <c r="I31" i="4" s="1"/>
  <c r="H9" i="10"/>
  <c r="F9" i="10"/>
  <c r="Z8" i="10"/>
  <c r="B21" i="7" s="1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G5" i="10"/>
  <c r="F5" i="10"/>
  <c r="E5" i="10"/>
  <c r="D5" i="10"/>
  <c r="C5" i="10"/>
  <c r="B5" i="10"/>
  <c r="D35" i="9"/>
  <c r="C35" i="9"/>
  <c r="D34" i="9"/>
  <c r="C34" i="9"/>
  <c r="C33" i="9"/>
  <c r="D32" i="9"/>
  <c r="C32" i="9"/>
  <c r="C31" i="9"/>
  <c r="C28" i="9"/>
  <c r="C27" i="9"/>
  <c r="B23" i="9"/>
  <c r="B17" i="9"/>
  <c r="B63" i="8"/>
  <c r="B58" i="8"/>
  <c r="B55" i="8"/>
  <c r="B54" i="8"/>
  <c r="B53" i="8"/>
  <c r="B52" i="8"/>
  <c r="B31" i="8"/>
  <c r="C25" i="8"/>
  <c r="D24" i="8"/>
  <c r="C24" i="8"/>
  <c r="B24" i="8"/>
  <c r="D23" i="8"/>
  <c r="C23" i="8"/>
  <c r="B23" i="8"/>
  <c r="B17" i="8"/>
  <c r="B15" i="8"/>
  <c r="B11" i="8"/>
  <c r="B10" i="8"/>
  <c r="B9" i="8"/>
  <c r="B8" i="8"/>
  <c r="B6" i="8"/>
  <c r="M22" i="7"/>
  <c r="B11" i="7"/>
  <c r="B10" i="7"/>
  <c r="B9" i="7"/>
  <c r="B8" i="7"/>
  <c r="E7" i="7"/>
  <c r="B7" i="7"/>
  <c r="B6" i="7"/>
  <c r="E5" i="7"/>
  <c r="B5" i="7"/>
  <c r="B23" i="5"/>
  <c r="F12" i="5"/>
  <c r="F7" i="5"/>
  <c r="D6" i="5"/>
  <c r="F5" i="5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X43" i="4"/>
  <c r="X12" i="12" s="1"/>
  <c r="W43" i="4"/>
  <c r="V43" i="4"/>
  <c r="V12" i="12" s="1"/>
  <c r="U43" i="4"/>
  <c r="U12" i="12" s="1"/>
  <c r="T43" i="4"/>
  <c r="T12" i="12" s="1"/>
  <c r="S43" i="4"/>
  <c r="S12" i="12" s="1"/>
  <c r="R43" i="4"/>
  <c r="R12" i="12" s="1"/>
  <c r="Q43" i="4"/>
  <c r="Q12" i="12" s="1"/>
  <c r="P43" i="4"/>
  <c r="P12" i="12" s="1"/>
  <c r="O43" i="4"/>
  <c r="O12" i="12" s="1"/>
  <c r="N43" i="4"/>
  <c r="N12" i="12" s="1"/>
  <c r="M43" i="4"/>
  <c r="M12" i="12" s="1"/>
  <c r="L43" i="4"/>
  <c r="L12" i="12" s="1"/>
  <c r="K43" i="4"/>
  <c r="K12" i="12" s="1"/>
  <c r="J43" i="4"/>
  <c r="J12" i="12" s="1"/>
  <c r="I43" i="4"/>
  <c r="I12" i="12" s="1"/>
  <c r="H43" i="4"/>
  <c r="H12" i="12" s="1"/>
  <c r="G43" i="4"/>
  <c r="G12" i="12" s="1"/>
  <c r="F43" i="4"/>
  <c r="F12" i="12" s="1"/>
  <c r="E43" i="4"/>
  <c r="E12" i="12" s="1"/>
  <c r="D43" i="4"/>
  <c r="D12" i="12" s="1"/>
  <c r="C43" i="4"/>
  <c r="C12" i="12" s="1"/>
  <c r="B43" i="4"/>
  <c r="B12" i="12" s="1"/>
  <c r="Y40" i="4"/>
  <c r="Y11" i="12" s="1"/>
  <c r="X40" i="4"/>
  <c r="X11" i="12" s="1"/>
  <c r="W40" i="4"/>
  <c r="W11" i="12" s="1"/>
  <c r="V40" i="4"/>
  <c r="V11" i="12" s="1"/>
  <c r="U40" i="4"/>
  <c r="U11" i="12" s="1"/>
  <c r="T40" i="4"/>
  <c r="T11" i="12" s="1"/>
  <c r="S40" i="4"/>
  <c r="S11" i="12" s="1"/>
  <c r="R40" i="4"/>
  <c r="Q40" i="4"/>
  <c r="Q11" i="12" s="1"/>
  <c r="P40" i="4"/>
  <c r="P11" i="12" s="1"/>
  <c r="O40" i="4"/>
  <c r="O11" i="12" s="1"/>
  <c r="M40" i="4"/>
  <c r="M11" i="12" s="1"/>
  <c r="L40" i="4"/>
  <c r="L11" i="12" s="1"/>
  <c r="K40" i="4"/>
  <c r="K11" i="12" s="1"/>
  <c r="J40" i="4"/>
  <c r="J11" i="12" s="1"/>
  <c r="I40" i="4"/>
  <c r="I11" i="12" s="1"/>
  <c r="H40" i="4"/>
  <c r="H11" i="12" s="1"/>
  <c r="G40" i="4"/>
  <c r="F40" i="4"/>
  <c r="F11" i="12" s="1"/>
  <c r="E40" i="4"/>
  <c r="E11" i="12" s="1"/>
  <c r="D40" i="4"/>
  <c r="D11" i="12" s="1"/>
  <c r="C40" i="4"/>
  <c r="C11" i="12" s="1"/>
  <c r="B40" i="4"/>
  <c r="B11" i="12" s="1"/>
  <c r="Y39" i="4"/>
  <c r="X39" i="4"/>
  <c r="W39" i="4"/>
  <c r="W10" i="12" s="1"/>
  <c r="V39" i="4"/>
  <c r="U39" i="4"/>
  <c r="T39" i="4"/>
  <c r="S39" i="4"/>
  <c r="R39" i="4"/>
  <c r="R10" i="12" s="1"/>
  <c r="Q39" i="4"/>
  <c r="P39" i="4"/>
  <c r="O39" i="4"/>
  <c r="O10" i="12" s="1"/>
  <c r="N39" i="4"/>
  <c r="M39" i="4"/>
  <c r="L39" i="4"/>
  <c r="K39" i="4"/>
  <c r="K10" i="12" s="1"/>
  <c r="J39" i="4"/>
  <c r="I39" i="4"/>
  <c r="H39" i="4"/>
  <c r="G39" i="4"/>
  <c r="F39" i="4"/>
  <c r="F10" i="12" s="1"/>
  <c r="D39" i="4"/>
  <c r="C39" i="4"/>
  <c r="C10" i="12" s="1"/>
  <c r="B39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B37" i="4"/>
  <c r="B35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Z32" i="4" s="1"/>
  <c r="B8" i="5" s="1"/>
  <c r="Y31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Y26" i="4"/>
  <c r="X26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B26" i="4"/>
  <c r="Y23" i="4"/>
  <c r="Y9" i="12" s="1"/>
  <c r="X23" i="4"/>
  <c r="X9" i="12" s="1"/>
  <c r="W23" i="4"/>
  <c r="W9" i="12" s="1"/>
  <c r="V23" i="4"/>
  <c r="V9" i="12" s="1"/>
  <c r="U23" i="4"/>
  <c r="U9" i="12" s="1"/>
  <c r="T23" i="4"/>
  <c r="T9" i="12" s="1"/>
  <c r="S23" i="4"/>
  <c r="S9" i="12" s="1"/>
  <c r="R23" i="4"/>
  <c r="R9" i="12" s="1"/>
  <c r="Q23" i="4"/>
  <c r="Q9" i="12" s="1"/>
  <c r="P23" i="4"/>
  <c r="P9" i="12" s="1"/>
  <c r="O23" i="4"/>
  <c r="O9" i="12" s="1"/>
  <c r="N23" i="4"/>
  <c r="N9" i="12" s="1"/>
  <c r="M23" i="4"/>
  <c r="L23" i="4"/>
  <c r="L9" i="12" s="1"/>
  <c r="K23" i="4"/>
  <c r="K9" i="12" s="1"/>
  <c r="J23" i="4"/>
  <c r="J9" i="12" s="1"/>
  <c r="I23" i="4"/>
  <c r="I9" i="12" s="1"/>
  <c r="H23" i="4"/>
  <c r="H9" i="12" s="1"/>
  <c r="G23" i="4"/>
  <c r="G9" i="12" s="1"/>
  <c r="F23" i="4"/>
  <c r="F9" i="12" s="1"/>
  <c r="E23" i="4"/>
  <c r="E9" i="12" s="1"/>
  <c r="D23" i="4"/>
  <c r="D9" i="12" s="1"/>
  <c r="C23" i="4"/>
  <c r="C9" i="12" s="1"/>
  <c r="B23" i="4"/>
  <c r="B9" i="12" s="1"/>
  <c r="B22" i="4"/>
  <c r="B21" i="4"/>
  <c r="M20" i="4"/>
  <c r="L20" i="4"/>
  <c r="K20" i="4"/>
  <c r="J20" i="4"/>
  <c r="I20" i="4"/>
  <c r="H20" i="4"/>
  <c r="G20" i="4"/>
  <c r="F20" i="4"/>
  <c r="E20" i="4"/>
  <c r="D20" i="4"/>
  <c r="C20" i="4"/>
  <c r="B20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Y14" i="4"/>
  <c r="K27" i="7" s="1"/>
  <c r="T14" i="4"/>
  <c r="K22" i="7" s="1"/>
  <c r="Q14" i="4"/>
  <c r="K19" i="7" s="1"/>
  <c r="P14" i="4"/>
  <c r="K18" i="7" s="1"/>
  <c r="I14" i="4"/>
  <c r="K11" i="7" s="1"/>
  <c r="H14" i="4"/>
  <c r="K10" i="7" s="1"/>
  <c r="F14" i="4"/>
  <c r="K8" i="7" s="1"/>
  <c r="B13" i="4"/>
  <c r="Z9" i="4"/>
  <c r="Z8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D35" i="4" s="1"/>
  <c r="D14" i="12" s="1"/>
  <c r="C5" i="4"/>
  <c r="J5" i="7" s="1"/>
  <c r="B5" i="4"/>
  <c r="B39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L16" i="3"/>
  <c r="L18" i="3" s="1"/>
  <c r="K16" i="3"/>
  <c r="K18" i="3" s="1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Z12" i="3" s="1"/>
  <c r="P9" i="3"/>
  <c r="P11" i="3" s="1"/>
  <c r="O9" i="3"/>
  <c r="O11" i="3" s="1"/>
  <c r="C9" i="3"/>
  <c r="C11" i="3" s="1"/>
  <c r="B9" i="3"/>
  <c r="Z8" i="3"/>
  <c r="B36" i="3" s="1"/>
  <c r="B23" i="7" s="1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D42" i="2"/>
  <c r="C42" i="2"/>
  <c r="C40" i="2"/>
  <c r="D39" i="2"/>
  <c r="C39" i="2"/>
  <c r="C38" i="2"/>
  <c r="D37" i="2"/>
  <c r="C37" i="2"/>
  <c r="C36" i="2"/>
  <c r="C35" i="2"/>
  <c r="D34" i="2"/>
  <c r="C34" i="2"/>
  <c r="C33" i="2"/>
  <c r="B31" i="2"/>
  <c r="C30" i="2"/>
  <c r="C29" i="2"/>
  <c r="D28" i="2"/>
  <c r="C28" i="2"/>
  <c r="C27" i="2"/>
  <c r="C26" i="2"/>
  <c r="D25" i="2"/>
  <c r="C25" i="2"/>
  <c r="C24" i="2"/>
  <c r="D23" i="2"/>
  <c r="C23" i="2"/>
  <c r="C22" i="2"/>
  <c r="C21" i="2"/>
  <c r="D20" i="2"/>
  <c r="C20" i="2"/>
  <c r="C19" i="2"/>
  <c r="C18" i="2"/>
  <c r="C13" i="2"/>
  <c r="D12" i="2"/>
  <c r="C12" i="2"/>
  <c r="C11" i="2"/>
  <c r="B10" i="2"/>
  <c r="D10" i="2" s="1"/>
  <c r="B8" i="2"/>
  <c r="C8" i="2" s="1"/>
  <c r="C7" i="2"/>
  <c r="D6" i="2"/>
  <c r="C6" i="2"/>
  <c r="B24" i="1"/>
  <c r="B11" i="1"/>
  <c r="P26" i="3" s="1"/>
  <c r="P28" i="3" s="1"/>
  <c r="K21" i="3" l="1"/>
  <c r="K20" i="3"/>
  <c r="K16" i="4" s="1"/>
  <c r="K19" i="3"/>
  <c r="P31" i="3"/>
  <c r="P34" i="4" s="1"/>
  <c r="P30" i="3"/>
  <c r="P18" i="4" s="1"/>
  <c r="P32" i="3"/>
  <c r="P29" i="3"/>
  <c r="C10" i="2"/>
  <c r="M9" i="3"/>
  <c r="M11" i="3" s="1"/>
  <c r="Y9" i="3"/>
  <c r="Y11" i="3" s="1"/>
  <c r="H16" i="3"/>
  <c r="H18" i="3" s="1"/>
  <c r="X16" i="3"/>
  <c r="X18" i="3" s="1"/>
  <c r="J10" i="7"/>
  <c r="H5" i="12"/>
  <c r="J18" i="7"/>
  <c r="P5" i="12"/>
  <c r="J26" i="7"/>
  <c r="X5" i="12"/>
  <c r="T28" i="4"/>
  <c r="L28" i="4"/>
  <c r="D28" i="4"/>
  <c r="S28" i="4"/>
  <c r="K28" i="4"/>
  <c r="C28" i="4"/>
  <c r="R28" i="4"/>
  <c r="J28" i="4"/>
  <c r="B28" i="4"/>
  <c r="W28" i="4"/>
  <c r="O28" i="4"/>
  <c r="G28" i="4"/>
  <c r="M28" i="4"/>
  <c r="Y28" i="4"/>
  <c r="I28" i="4"/>
  <c r="X28" i="4"/>
  <c r="H28" i="4"/>
  <c r="V28" i="4"/>
  <c r="F28" i="4"/>
  <c r="U28" i="4"/>
  <c r="E28" i="4"/>
  <c r="N28" i="4"/>
  <c r="C31" i="2"/>
  <c r="L21" i="3"/>
  <c r="L20" i="3"/>
  <c r="L16" i="4" s="1"/>
  <c r="L19" i="3"/>
  <c r="D18" i="2"/>
  <c r="D40" i="2"/>
  <c r="E9" i="3"/>
  <c r="E11" i="3" s="1"/>
  <c r="Q9" i="3"/>
  <c r="Q11" i="3" s="1"/>
  <c r="M16" i="3"/>
  <c r="M18" i="3" s="1"/>
  <c r="B11" i="3"/>
  <c r="B10" i="3"/>
  <c r="C10" i="3" s="1"/>
  <c r="D21" i="2"/>
  <c r="D29" i="2"/>
  <c r="D35" i="2"/>
  <c r="G9" i="3"/>
  <c r="G11" i="3" s="1"/>
  <c r="R9" i="3"/>
  <c r="R11" i="3" s="1"/>
  <c r="P16" i="3"/>
  <c r="P18" i="3" s="1"/>
  <c r="F26" i="3"/>
  <c r="F28" i="3" s="1"/>
  <c r="D7" i="2"/>
  <c r="D26" i="2"/>
  <c r="B14" i="1"/>
  <c r="D13" i="2"/>
  <c r="D38" i="2"/>
  <c r="H9" i="3"/>
  <c r="H11" i="3" s="1"/>
  <c r="U9" i="3"/>
  <c r="U11" i="3" s="1"/>
  <c r="Z15" i="3"/>
  <c r="B37" i="3" s="1"/>
  <c r="B24" i="7" s="1"/>
  <c r="C16" i="3"/>
  <c r="C18" i="3" s="1"/>
  <c r="S16" i="3"/>
  <c r="S18" i="3" s="1"/>
  <c r="G26" i="3"/>
  <c r="G28" i="3" s="1"/>
  <c r="Z26" i="4"/>
  <c r="S11" i="10"/>
  <c r="S10" i="10"/>
  <c r="S31" i="4" s="1"/>
  <c r="S14" i="10"/>
  <c r="S14" i="4"/>
  <c r="K21" i="7" s="1"/>
  <c r="B19" i="1"/>
  <c r="D24" i="2"/>
  <c r="D11" i="2"/>
  <c r="B14" i="2"/>
  <c r="D19" i="2"/>
  <c r="D27" i="2"/>
  <c r="D33" i="2"/>
  <c r="I9" i="3"/>
  <c r="I11" i="3" s="1"/>
  <c r="W9" i="3"/>
  <c r="W11" i="3" s="1"/>
  <c r="D16" i="3"/>
  <c r="D18" i="3" s="1"/>
  <c r="T16" i="3"/>
  <c r="T18" i="3" s="1"/>
  <c r="P28" i="4"/>
  <c r="Q28" i="4"/>
  <c r="C8" i="6"/>
  <c r="D8" i="6" s="1"/>
  <c r="C7" i="6"/>
  <c r="D7" i="6" s="1"/>
  <c r="C6" i="6"/>
  <c r="D6" i="6" s="1"/>
  <c r="C5" i="6"/>
  <c r="D5" i="6" s="1"/>
  <c r="Y26" i="3"/>
  <c r="Y28" i="3" s="1"/>
  <c r="Q26" i="3"/>
  <c r="Q28" i="3" s="1"/>
  <c r="I26" i="3"/>
  <c r="I28" i="3" s="1"/>
  <c r="U26" i="3"/>
  <c r="U28" i="3" s="1"/>
  <c r="M26" i="3"/>
  <c r="M28" i="3" s="1"/>
  <c r="E26" i="3"/>
  <c r="E28" i="3" s="1"/>
  <c r="B22" i="5"/>
  <c r="X26" i="3"/>
  <c r="X28" i="3" s="1"/>
  <c r="N26" i="3"/>
  <c r="N28" i="3" s="1"/>
  <c r="C26" i="3"/>
  <c r="C28" i="3" s="1"/>
  <c r="R16" i="3"/>
  <c r="R18" i="3" s="1"/>
  <c r="J16" i="3"/>
  <c r="J18" i="3" s="1"/>
  <c r="B16" i="3"/>
  <c r="W26" i="3"/>
  <c r="W28" i="3" s="1"/>
  <c r="L26" i="3"/>
  <c r="L28" i="3" s="1"/>
  <c r="B26" i="3"/>
  <c r="Y16" i="3"/>
  <c r="Y18" i="3" s="1"/>
  <c r="Q16" i="3"/>
  <c r="Q18" i="3" s="1"/>
  <c r="I16" i="3"/>
  <c r="I18" i="3" s="1"/>
  <c r="V9" i="3"/>
  <c r="V11" i="3" s="1"/>
  <c r="N9" i="3"/>
  <c r="N11" i="3" s="1"/>
  <c r="F9" i="3"/>
  <c r="F11" i="3" s="1"/>
  <c r="V26" i="3"/>
  <c r="V28" i="3" s="1"/>
  <c r="K26" i="3"/>
  <c r="K28" i="3" s="1"/>
  <c r="T26" i="3"/>
  <c r="T28" i="3" s="1"/>
  <c r="J26" i="3"/>
  <c r="J28" i="3" s="1"/>
  <c r="W16" i="3"/>
  <c r="W18" i="3" s="1"/>
  <c r="O16" i="3"/>
  <c r="O18" i="3" s="1"/>
  <c r="G16" i="3"/>
  <c r="G18" i="3" s="1"/>
  <c r="T9" i="3"/>
  <c r="T11" i="3" s="1"/>
  <c r="L9" i="3"/>
  <c r="L11" i="3" s="1"/>
  <c r="D9" i="3"/>
  <c r="D11" i="3" s="1"/>
  <c r="S26" i="3"/>
  <c r="S28" i="3" s="1"/>
  <c r="H26" i="3"/>
  <c r="H28" i="3" s="1"/>
  <c r="V16" i="3"/>
  <c r="V18" i="3" s="1"/>
  <c r="N16" i="3"/>
  <c r="N18" i="3" s="1"/>
  <c r="F16" i="3"/>
  <c r="F18" i="3" s="1"/>
  <c r="S9" i="3"/>
  <c r="S11" i="3" s="1"/>
  <c r="K9" i="3"/>
  <c r="K11" i="3" s="1"/>
  <c r="O26" i="3"/>
  <c r="O28" i="3" s="1"/>
  <c r="D26" i="3"/>
  <c r="D28" i="3" s="1"/>
  <c r="D31" i="2"/>
  <c r="D8" i="2"/>
  <c r="D22" i="2"/>
  <c r="D30" i="2"/>
  <c r="D36" i="2"/>
  <c r="J9" i="3"/>
  <c r="J11" i="3" s="1"/>
  <c r="X9" i="3"/>
  <c r="X11" i="3" s="1"/>
  <c r="E16" i="3"/>
  <c r="E18" i="3" s="1"/>
  <c r="U16" i="3"/>
  <c r="U18" i="3" s="1"/>
  <c r="R26" i="3"/>
  <c r="R28" i="3" s="1"/>
  <c r="J8" i="7"/>
  <c r="F5" i="12"/>
  <c r="N5" i="12"/>
  <c r="J16" i="7"/>
  <c r="V5" i="12"/>
  <c r="J24" i="7"/>
  <c r="B8" i="12"/>
  <c r="B50" i="4"/>
  <c r="M11" i="7"/>
  <c r="I10" i="12"/>
  <c r="M19" i="7"/>
  <c r="Q10" i="12"/>
  <c r="Y10" i="12"/>
  <c r="J11" i="7"/>
  <c r="I5" i="12"/>
  <c r="J19" i="7"/>
  <c r="Q5" i="12"/>
  <c r="J27" i="7"/>
  <c r="Y5" i="12"/>
  <c r="B36" i="4"/>
  <c r="Z30" i="4"/>
  <c r="B6" i="5" s="1"/>
  <c r="B14" i="12"/>
  <c r="Z25" i="3"/>
  <c r="B38" i="3" s="1"/>
  <c r="B25" i="7" s="1"/>
  <c r="J7" i="7"/>
  <c r="E5" i="12"/>
  <c r="E35" i="4"/>
  <c r="E14" i="12" s="1"/>
  <c r="M5" i="12"/>
  <c r="J15" i="7"/>
  <c r="U5" i="12"/>
  <c r="J23" i="7"/>
  <c r="Z15" i="4"/>
  <c r="H10" i="12"/>
  <c r="M10" i="7"/>
  <c r="P10" i="12"/>
  <c r="M18" i="7"/>
  <c r="X10" i="12"/>
  <c r="M26" i="7"/>
  <c r="M20" i="7"/>
  <c r="J9" i="7"/>
  <c r="G5" i="12"/>
  <c r="O5" i="12"/>
  <c r="J17" i="7"/>
  <c r="W5" i="12"/>
  <c r="Z9" i="12"/>
  <c r="Z23" i="4"/>
  <c r="D7" i="5" s="1"/>
  <c r="B12" i="8"/>
  <c r="Z33" i="4"/>
  <c r="B10" i="5" s="1"/>
  <c r="G11" i="12"/>
  <c r="M9" i="7"/>
  <c r="Z11" i="11"/>
  <c r="Z12" i="11"/>
  <c r="Z13" i="11"/>
  <c r="B5" i="12"/>
  <c r="J4" i="7"/>
  <c r="J5" i="12"/>
  <c r="J12" i="7"/>
  <c r="R5" i="12"/>
  <c r="J20" i="7"/>
  <c r="C35" i="4"/>
  <c r="C14" i="12" s="1"/>
  <c r="M8" i="7"/>
  <c r="T10" i="10"/>
  <c r="T31" i="4" s="1"/>
  <c r="T14" i="10"/>
  <c r="C5" i="12"/>
  <c r="K5" i="12"/>
  <c r="J13" i="7"/>
  <c r="J21" i="7"/>
  <c r="M5" i="7"/>
  <c r="Z17" i="11"/>
  <c r="J6" i="7"/>
  <c r="D5" i="12"/>
  <c r="J14" i="7"/>
  <c r="L5" i="12"/>
  <c r="J22" i="7"/>
  <c r="T5" i="12"/>
  <c r="D10" i="12"/>
  <c r="M6" i="7"/>
  <c r="L10" i="12"/>
  <c r="M14" i="7"/>
  <c r="T10" i="12"/>
  <c r="J25" i="7"/>
  <c r="F10" i="10"/>
  <c r="F31" i="4" s="1"/>
  <c r="F14" i="10"/>
  <c r="S5" i="12"/>
  <c r="M15" i="7"/>
  <c r="M10" i="12"/>
  <c r="U10" i="12"/>
  <c r="M23" i="7"/>
  <c r="H11" i="10"/>
  <c r="H14" i="10"/>
  <c r="H10" i="10"/>
  <c r="H31" i="4" s="1"/>
  <c r="Z8" i="11"/>
  <c r="N10" i="12"/>
  <c r="V10" i="12"/>
  <c r="M24" i="7"/>
  <c r="Z10" i="11"/>
  <c r="M13" i="7"/>
  <c r="M17" i="7"/>
  <c r="W9" i="10"/>
  <c r="O9" i="10"/>
  <c r="G9" i="10"/>
  <c r="B18" i="8"/>
  <c r="V9" i="10"/>
  <c r="M9" i="10"/>
  <c r="D9" i="10"/>
  <c r="B29" i="8"/>
  <c r="U9" i="10"/>
  <c r="L9" i="10"/>
  <c r="C9" i="10"/>
  <c r="B19" i="8"/>
  <c r="X9" i="10"/>
  <c r="N9" i="10"/>
  <c r="E9" i="10"/>
  <c r="B9" i="10"/>
  <c r="R9" i="10"/>
  <c r="Y11" i="10"/>
  <c r="M4" i="7"/>
  <c r="B10" i="12"/>
  <c r="M12" i="7"/>
  <c r="J10" i="12"/>
  <c r="D25" i="8"/>
  <c r="I11" i="10"/>
  <c r="M21" i="7"/>
  <c r="S10" i="12"/>
  <c r="J9" i="10"/>
  <c r="M25" i="7"/>
  <c r="K9" i="10"/>
  <c r="P14" i="10"/>
  <c r="P10" i="10"/>
  <c r="P31" i="4" s="1"/>
  <c r="Z14" i="11"/>
  <c r="Q11" i="10"/>
  <c r="Q14" i="10"/>
  <c r="Q10" i="10"/>
  <c r="Q31" i="4" s="1"/>
  <c r="B25" i="8"/>
  <c r="Z15" i="11"/>
  <c r="F20" i="3" l="1"/>
  <c r="F16" i="4" s="1"/>
  <c r="F19" i="3"/>
  <c r="F21" i="3"/>
  <c r="M30" i="3"/>
  <c r="M18" i="4" s="1"/>
  <c r="M32" i="3"/>
  <c r="M29" i="3"/>
  <c r="M31" i="3"/>
  <c r="M34" i="4" s="1"/>
  <c r="F29" i="3"/>
  <c r="F31" i="3"/>
  <c r="F34" i="4" s="1"/>
  <c r="F30" i="3"/>
  <c r="F18" i="4" s="1"/>
  <c r="F32" i="3"/>
  <c r="B57" i="8"/>
  <c r="E6" i="7"/>
  <c r="F6" i="5"/>
  <c r="D33" i="9"/>
  <c r="B56" i="8"/>
  <c r="T11" i="10"/>
  <c r="N20" i="3"/>
  <c r="N16" i="4" s="1"/>
  <c r="N19" i="3"/>
  <c r="N21" i="3"/>
  <c r="O19" i="3"/>
  <c r="O20" i="3"/>
  <c r="O16" i="4" s="1"/>
  <c r="O21" i="3"/>
  <c r="J21" i="3"/>
  <c r="J20" i="3"/>
  <c r="J16" i="4" s="1"/>
  <c r="J19" i="3"/>
  <c r="U30" i="3"/>
  <c r="U18" i="4" s="1"/>
  <c r="U32" i="3"/>
  <c r="U29" i="3"/>
  <c r="U31" i="3"/>
  <c r="U34" i="4" s="1"/>
  <c r="P21" i="3"/>
  <c r="P19" i="3"/>
  <c r="P20" i="3"/>
  <c r="P16" i="4" s="1"/>
  <c r="P17" i="4"/>
  <c r="P42" i="4" s="1"/>
  <c r="P33" i="3"/>
  <c r="G19" i="3"/>
  <c r="G21" i="3"/>
  <c r="G20" i="3"/>
  <c r="G16" i="4" s="1"/>
  <c r="C10" i="10"/>
  <c r="C31" i="4" s="1"/>
  <c r="C14" i="10"/>
  <c r="C11" i="10"/>
  <c r="C14" i="4"/>
  <c r="K5" i="7" s="1"/>
  <c r="G14" i="10"/>
  <c r="G10" i="10"/>
  <c r="G31" i="4" s="1"/>
  <c r="G11" i="10"/>
  <c r="G14" i="4"/>
  <c r="K9" i="7" s="1"/>
  <c r="P11" i="10"/>
  <c r="R29" i="3"/>
  <c r="R30" i="3"/>
  <c r="R18" i="4" s="1"/>
  <c r="R32" i="3"/>
  <c r="R31" i="3"/>
  <c r="R34" i="4" s="1"/>
  <c r="V20" i="3"/>
  <c r="V16" i="4" s="1"/>
  <c r="V19" i="3"/>
  <c r="V21" i="3"/>
  <c r="W19" i="3"/>
  <c r="W20" i="3"/>
  <c r="W16" i="4" s="1"/>
  <c r="W21" i="3"/>
  <c r="I21" i="3"/>
  <c r="I20" i="3"/>
  <c r="I16" i="4" s="1"/>
  <c r="I19" i="3"/>
  <c r="R21" i="3"/>
  <c r="R20" i="3"/>
  <c r="R16" i="4" s="1"/>
  <c r="R19" i="3"/>
  <c r="I30" i="3"/>
  <c r="I18" i="4" s="1"/>
  <c r="I32" i="3"/>
  <c r="I29" i="3"/>
  <c r="I31" i="3"/>
  <c r="I34" i="4" s="1"/>
  <c r="D10" i="3"/>
  <c r="E10" i="3" s="1"/>
  <c r="F10" i="3" s="1"/>
  <c r="G10" i="3" s="1"/>
  <c r="H10" i="3" s="1"/>
  <c r="I10" i="3" s="1"/>
  <c r="J10" i="3" s="1"/>
  <c r="K10" i="3" s="1"/>
  <c r="L10" i="3" s="1"/>
  <c r="M10" i="3" s="1"/>
  <c r="N10" i="3" s="1"/>
  <c r="O10" i="3" s="1"/>
  <c r="P10" i="3" s="1"/>
  <c r="Q10" i="3" s="1"/>
  <c r="R10" i="3" s="1"/>
  <c r="S10" i="3" s="1"/>
  <c r="T10" i="3" s="1"/>
  <c r="U10" i="3" s="1"/>
  <c r="V10" i="3" s="1"/>
  <c r="W10" i="3" s="1"/>
  <c r="X10" i="3" s="1"/>
  <c r="Y10" i="3" s="1"/>
  <c r="Z10" i="3" s="1"/>
  <c r="Z28" i="4"/>
  <c r="Z16" i="3"/>
  <c r="B40" i="3" s="1"/>
  <c r="B18" i="3"/>
  <c r="B17" i="3"/>
  <c r="C17" i="3" s="1"/>
  <c r="D17" i="3" s="1"/>
  <c r="E17" i="3" s="1"/>
  <c r="F17" i="3" s="1"/>
  <c r="G17" i="3" s="1"/>
  <c r="H17" i="3" s="1"/>
  <c r="I17" i="3" s="1"/>
  <c r="J17" i="3" s="1"/>
  <c r="K17" i="3" s="1"/>
  <c r="L17" i="3" s="1"/>
  <c r="M17" i="3" s="1"/>
  <c r="N17" i="3" s="1"/>
  <c r="O17" i="3" s="1"/>
  <c r="P17" i="3" s="1"/>
  <c r="Q17" i="3" s="1"/>
  <c r="R17" i="3" s="1"/>
  <c r="S17" i="3" s="1"/>
  <c r="T17" i="3" s="1"/>
  <c r="U17" i="3" s="1"/>
  <c r="V17" i="3" s="1"/>
  <c r="W17" i="3" s="1"/>
  <c r="X17" i="3" s="1"/>
  <c r="Y17" i="3" s="1"/>
  <c r="Z17" i="3" s="1"/>
  <c r="L10" i="10"/>
  <c r="L31" i="4" s="1"/>
  <c r="L14" i="10"/>
  <c r="L14" i="4"/>
  <c r="K14" i="7" s="1"/>
  <c r="O14" i="10"/>
  <c r="O10" i="10"/>
  <c r="O31" i="4" s="1"/>
  <c r="O14" i="4"/>
  <c r="K17" i="7" s="1"/>
  <c r="O11" i="10"/>
  <c r="U21" i="3"/>
  <c r="U20" i="3"/>
  <c r="U16" i="4" s="1"/>
  <c r="U19" i="3"/>
  <c r="H31" i="3"/>
  <c r="H34" i="4" s="1"/>
  <c r="H30" i="3"/>
  <c r="H18" i="4" s="1"/>
  <c r="H32" i="3"/>
  <c r="H29" i="3"/>
  <c r="J29" i="3"/>
  <c r="J30" i="3"/>
  <c r="J18" i="4" s="1"/>
  <c r="J32" i="3"/>
  <c r="J31" i="3"/>
  <c r="J34" i="4" s="1"/>
  <c r="Q21" i="3"/>
  <c r="Q19" i="3"/>
  <c r="Q20" i="3"/>
  <c r="Q16" i="4" s="1"/>
  <c r="C32" i="3"/>
  <c r="C29" i="3"/>
  <c r="C31" i="3"/>
  <c r="C34" i="4" s="1"/>
  <c r="C30" i="3"/>
  <c r="C18" i="4" s="1"/>
  <c r="Q30" i="3"/>
  <c r="Q18" i="4" s="1"/>
  <c r="Q31" i="3"/>
  <c r="Q34" i="4" s="1"/>
  <c r="Q29" i="3"/>
  <c r="Q32" i="3"/>
  <c r="Z9" i="3"/>
  <c r="C14" i="2"/>
  <c r="B16" i="2"/>
  <c r="B15" i="2"/>
  <c r="D14" i="2"/>
  <c r="Z11" i="3"/>
  <c r="W11" i="10"/>
  <c r="W14" i="10"/>
  <c r="W10" i="10"/>
  <c r="W31" i="4" s="1"/>
  <c r="W14" i="4"/>
  <c r="K25" i="7" s="1"/>
  <c r="F11" i="10"/>
  <c r="B13" i="12"/>
  <c r="N4" i="7"/>
  <c r="C22" i="4"/>
  <c r="E21" i="3"/>
  <c r="E20" i="3"/>
  <c r="E16" i="4" s="1"/>
  <c r="E19" i="3"/>
  <c r="D31" i="3"/>
  <c r="D34" i="4" s="1"/>
  <c r="D30" i="3"/>
  <c r="D18" i="4" s="1"/>
  <c r="D32" i="3"/>
  <c r="D29" i="3"/>
  <c r="S32" i="3"/>
  <c r="S30" i="3"/>
  <c r="S18" i="4" s="1"/>
  <c r="S29" i="3"/>
  <c r="S31" i="3"/>
  <c r="S34" i="4" s="1"/>
  <c r="T31" i="3"/>
  <c r="T34" i="4" s="1"/>
  <c r="T30" i="3"/>
  <c r="T18" i="4" s="1"/>
  <c r="T32" i="3"/>
  <c r="T29" i="3"/>
  <c r="Y21" i="3"/>
  <c r="Y19" i="3"/>
  <c r="Y20" i="3"/>
  <c r="Y16" i="4" s="1"/>
  <c r="N29" i="3"/>
  <c r="N31" i="3"/>
  <c r="N34" i="4" s="1"/>
  <c r="N32" i="3"/>
  <c r="N30" i="3"/>
  <c r="N18" i="4" s="1"/>
  <c r="Y30" i="3"/>
  <c r="Y18" i="4" s="1"/>
  <c r="Y31" i="3"/>
  <c r="Y34" i="4" s="1"/>
  <c r="Y32" i="3"/>
  <c r="Y29" i="3"/>
  <c r="T21" i="3"/>
  <c r="T20" i="3"/>
  <c r="T16" i="4" s="1"/>
  <c r="T19" i="3"/>
  <c r="M21" i="3"/>
  <c r="M20" i="3"/>
  <c r="M16" i="4" s="1"/>
  <c r="M19" i="3"/>
  <c r="X21" i="3"/>
  <c r="X20" i="3"/>
  <c r="X16" i="4" s="1"/>
  <c r="X19" i="3"/>
  <c r="X14" i="10"/>
  <c r="X10" i="10"/>
  <c r="X31" i="4" s="1"/>
  <c r="X11" i="10"/>
  <c r="X14" i="4"/>
  <c r="K26" i="7" s="1"/>
  <c r="J14" i="10"/>
  <c r="J11" i="10"/>
  <c r="J10" i="10"/>
  <c r="J31" i="4" s="1"/>
  <c r="J14" i="4"/>
  <c r="K12" i="7" s="1"/>
  <c r="R14" i="10"/>
  <c r="R10" i="10"/>
  <c r="R31" i="4" s="1"/>
  <c r="R14" i="4"/>
  <c r="K20" i="7" s="1"/>
  <c r="U11" i="10"/>
  <c r="U14" i="10"/>
  <c r="U10" i="10"/>
  <c r="U31" i="4" s="1"/>
  <c r="U14" i="4"/>
  <c r="K23" i="7" s="1"/>
  <c r="B14" i="10"/>
  <c r="B12" i="10"/>
  <c r="C12" i="10" s="1"/>
  <c r="D12" i="10" s="1"/>
  <c r="E12" i="10" s="1"/>
  <c r="F12" i="10" s="1"/>
  <c r="G12" i="10" s="1"/>
  <c r="H12" i="10" s="1"/>
  <c r="I12" i="10" s="1"/>
  <c r="J12" i="10" s="1"/>
  <c r="K12" i="10" s="1"/>
  <c r="L12" i="10" s="1"/>
  <c r="M12" i="10" s="1"/>
  <c r="N12" i="10" s="1"/>
  <c r="O12" i="10" s="1"/>
  <c r="P12" i="10" s="1"/>
  <c r="Q12" i="10" s="1"/>
  <c r="R12" i="10" s="1"/>
  <c r="S12" i="10" s="1"/>
  <c r="T12" i="10" s="1"/>
  <c r="U12" i="10" s="1"/>
  <c r="V12" i="10" s="1"/>
  <c r="W12" i="10" s="1"/>
  <c r="X12" i="10" s="1"/>
  <c r="Y12" i="10" s="1"/>
  <c r="Z12" i="10" s="1"/>
  <c r="B10" i="10"/>
  <c r="Z9" i="10"/>
  <c r="D5" i="5" s="1"/>
  <c r="B11" i="10"/>
  <c r="B14" i="4"/>
  <c r="F25" i="5"/>
  <c r="O32" i="3"/>
  <c r="O31" i="3"/>
  <c r="O34" i="4" s="1"/>
  <c r="O30" i="3"/>
  <c r="O18" i="4" s="1"/>
  <c r="O29" i="3"/>
  <c r="K32" i="3"/>
  <c r="K29" i="3"/>
  <c r="K31" i="3"/>
  <c r="K34" i="4" s="1"/>
  <c r="K30" i="3"/>
  <c r="K18" i="4" s="1"/>
  <c r="B28" i="3"/>
  <c r="Z26" i="3"/>
  <c r="B41" i="3" s="1"/>
  <c r="B27" i="3"/>
  <c r="C27" i="3" s="1"/>
  <c r="D27" i="3" s="1"/>
  <c r="E27" i="3" s="1"/>
  <c r="F27" i="3" s="1"/>
  <c r="G27" i="3" s="1"/>
  <c r="H27" i="3" s="1"/>
  <c r="I27" i="3" s="1"/>
  <c r="J27" i="3" s="1"/>
  <c r="K27" i="3" s="1"/>
  <c r="L27" i="3" s="1"/>
  <c r="M27" i="3" s="1"/>
  <c r="N27" i="3" s="1"/>
  <c r="O27" i="3" s="1"/>
  <c r="P27" i="3" s="1"/>
  <c r="Q27" i="3" s="1"/>
  <c r="R27" i="3" s="1"/>
  <c r="S27" i="3" s="1"/>
  <c r="T27" i="3" s="1"/>
  <c r="U27" i="3" s="1"/>
  <c r="V27" i="3" s="1"/>
  <c r="W27" i="3" s="1"/>
  <c r="X27" i="3" s="1"/>
  <c r="Y27" i="3" s="1"/>
  <c r="Z27" i="3" s="1"/>
  <c r="X31" i="3"/>
  <c r="X34" i="4" s="1"/>
  <c r="X32" i="3"/>
  <c r="X29" i="3"/>
  <c r="X30" i="3"/>
  <c r="X18" i="4" s="1"/>
  <c r="D21" i="3"/>
  <c r="D20" i="3"/>
  <c r="D16" i="4" s="1"/>
  <c r="D19" i="3"/>
  <c r="G32" i="3"/>
  <c r="G30" i="3"/>
  <c r="G18" i="4" s="1"/>
  <c r="G31" i="3"/>
  <c r="G34" i="4" s="1"/>
  <c r="G29" i="3"/>
  <c r="H21" i="3"/>
  <c r="H20" i="3"/>
  <c r="H16" i="4" s="1"/>
  <c r="H19" i="3"/>
  <c r="K14" i="10"/>
  <c r="K10" i="10"/>
  <c r="K31" i="4" s="1"/>
  <c r="K14" i="4"/>
  <c r="K13" i="7" s="1"/>
  <c r="E10" i="10"/>
  <c r="E31" i="4" s="1"/>
  <c r="E14" i="10"/>
  <c r="E14" i="4"/>
  <c r="K7" i="7" s="1"/>
  <c r="D10" i="10"/>
  <c r="D31" i="4" s="1"/>
  <c r="D14" i="10"/>
  <c r="D11" i="10"/>
  <c r="D14" i="4"/>
  <c r="K6" i="7" s="1"/>
  <c r="V29" i="3"/>
  <c r="V32" i="3"/>
  <c r="V31" i="3"/>
  <c r="V34" i="4" s="1"/>
  <c r="V30" i="3"/>
  <c r="V18" i="4" s="1"/>
  <c r="L31" i="3"/>
  <c r="L34" i="4" s="1"/>
  <c r="L32" i="3"/>
  <c r="L29" i="3"/>
  <c r="L30" i="3"/>
  <c r="L18" i="4" s="1"/>
  <c r="F22" i="5"/>
  <c r="D31" i="9"/>
  <c r="B24" i="5"/>
  <c r="B12" i="7"/>
  <c r="S21" i="3"/>
  <c r="S20" i="3"/>
  <c r="S16" i="4" s="1"/>
  <c r="S19" i="3"/>
  <c r="V10" i="10"/>
  <c r="V31" i="4" s="1"/>
  <c r="V14" i="10"/>
  <c r="V11" i="10"/>
  <c r="V14" i="4"/>
  <c r="K24" i="7" s="1"/>
  <c r="N10" i="10"/>
  <c r="N31" i="4" s="1"/>
  <c r="N14" i="10"/>
  <c r="N14" i="4"/>
  <c r="K16" i="7" s="1"/>
  <c r="N11" i="10"/>
  <c r="M10" i="10"/>
  <c r="M31" i="4" s="1"/>
  <c r="M14" i="10"/>
  <c r="M14" i="4"/>
  <c r="K15" i="7" s="1"/>
  <c r="W32" i="3"/>
  <c r="W29" i="3"/>
  <c r="W31" i="3"/>
  <c r="W34" i="4" s="1"/>
  <c r="W30" i="3"/>
  <c r="W18" i="4" s="1"/>
  <c r="E30" i="3"/>
  <c r="E18" i="4" s="1"/>
  <c r="E31" i="3"/>
  <c r="E34" i="4" s="1"/>
  <c r="E29" i="3"/>
  <c r="E32" i="3"/>
  <c r="C21" i="3"/>
  <c r="C20" i="3"/>
  <c r="C16" i="4" s="1"/>
  <c r="C19" i="3"/>
  <c r="M17" i="4" l="1"/>
  <c r="M42" i="4" s="1"/>
  <c r="M33" i="3"/>
  <c r="Q33" i="3"/>
  <c r="Q17" i="4"/>
  <c r="Q42" i="4" s="1"/>
  <c r="B21" i="3"/>
  <c r="Z21" i="3" s="1"/>
  <c r="B20" i="3"/>
  <c r="Z18" i="3"/>
  <c r="B19" i="3"/>
  <c r="Z10" i="10"/>
  <c r="B31" i="4"/>
  <c r="Z31" i="4" s="1"/>
  <c r="B7" i="5" s="1"/>
  <c r="B29" i="3"/>
  <c r="B32" i="3"/>
  <c r="Z32" i="3" s="1"/>
  <c r="Z28" i="3"/>
  <c r="B31" i="3"/>
  <c r="B30" i="3"/>
  <c r="R11" i="10"/>
  <c r="U17" i="4"/>
  <c r="U42" i="4" s="1"/>
  <c r="U33" i="3"/>
  <c r="B13" i="10"/>
  <c r="C13" i="10" s="1"/>
  <c r="D13" i="10" s="1"/>
  <c r="T17" i="4"/>
  <c r="T42" i="4" s="1"/>
  <c r="T33" i="3"/>
  <c r="C15" i="2"/>
  <c r="D15" i="2"/>
  <c r="K4" i="7"/>
  <c r="Z14" i="4"/>
  <c r="R33" i="3"/>
  <c r="R17" i="4"/>
  <c r="R42" i="4" s="1"/>
  <c r="W17" i="4"/>
  <c r="W42" i="4" s="1"/>
  <c r="W33" i="3"/>
  <c r="D17" i="4"/>
  <c r="D42" i="4" s="1"/>
  <c r="D33" i="3"/>
  <c r="K11" i="10"/>
  <c r="V33" i="3"/>
  <c r="V17" i="4"/>
  <c r="V42" i="4" s="1"/>
  <c r="N33" i="3"/>
  <c r="N17" i="4"/>
  <c r="N42" i="4" s="1"/>
  <c r="U27" i="4"/>
  <c r="M27" i="4"/>
  <c r="E27" i="4"/>
  <c r="T27" i="4"/>
  <c r="L27" i="4"/>
  <c r="D27" i="4"/>
  <c r="S27" i="4"/>
  <c r="K27" i="4"/>
  <c r="C27" i="4"/>
  <c r="X27" i="4"/>
  <c r="P27" i="4"/>
  <c r="H27" i="4"/>
  <c r="V27" i="4"/>
  <c r="F27" i="4"/>
  <c r="R27" i="4"/>
  <c r="B27" i="4"/>
  <c r="Q27" i="4"/>
  <c r="O27" i="4"/>
  <c r="N27" i="4"/>
  <c r="W27" i="4"/>
  <c r="G27" i="4"/>
  <c r="Y27" i="4"/>
  <c r="C16" i="2"/>
  <c r="J27" i="4"/>
  <c r="I27" i="4"/>
  <c r="B41" i="2"/>
  <c r="B43" i="2"/>
  <c r="D16" i="2"/>
  <c r="L17" i="4"/>
  <c r="L42" i="4" s="1"/>
  <c r="L33" i="3"/>
  <c r="H17" i="4"/>
  <c r="H42" i="4" s="1"/>
  <c r="H33" i="3"/>
  <c r="O33" i="3"/>
  <c r="O17" i="4"/>
  <c r="O42" i="4" s="1"/>
  <c r="C8" i="12"/>
  <c r="C50" i="4"/>
  <c r="E17" i="4"/>
  <c r="E42" i="4" s="1"/>
  <c r="E33" i="3"/>
  <c r="M11" i="10"/>
  <c r="E11" i="10"/>
  <c r="Z11" i="10" s="1"/>
  <c r="G17" i="4"/>
  <c r="G42" i="4" s="1"/>
  <c r="G33" i="3"/>
  <c r="X17" i="4"/>
  <c r="X42" i="4" s="1"/>
  <c r="X33" i="3"/>
  <c r="K33" i="3"/>
  <c r="K17" i="4"/>
  <c r="K42" i="4" s="1"/>
  <c r="Y33" i="3"/>
  <c r="Y17" i="4"/>
  <c r="S33" i="3"/>
  <c r="S17" i="4"/>
  <c r="S42" i="4" s="1"/>
  <c r="C17" i="4"/>
  <c r="C42" i="4" s="1"/>
  <c r="C33" i="3"/>
  <c r="J33" i="3"/>
  <c r="J17" i="4"/>
  <c r="J42" i="4" s="1"/>
  <c r="L11" i="10"/>
  <c r="I33" i="3"/>
  <c r="I17" i="4"/>
  <c r="I42" i="4" s="1"/>
  <c r="F33" i="3"/>
  <c r="F17" i="4"/>
  <c r="F42" i="4" s="1"/>
  <c r="B22" i="3" l="1"/>
  <c r="C22" i="3" s="1"/>
  <c r="D22" i="3" s="1"/>
  <c r="E22" i="3" s="1"/>
  <c r="F22" i="3" s="1"/>
  <c r="G22" i="3" s="1"/>
  <c r="H22" i="3" s="1"/>
  <c r="I22" i="3" s="1"/>
  <c r="J22" i="3" s="1"/>
  <c r="K22" i="3" s="1"/>
  <c r="L22" i="3" s="1"/>
  <c r="M22" i="3" s="1"/>
  <c r="N22" i="3" s="1"/>
  <c r="O22" i="3" s="1"/>
  <c r="P22" i="3" s="1"/>
  <c r="Q22" i="3" s="1"/>
  <c r="R22" i="3" s="1"/>
  <c r="S22" i="3" s="1"/>
  <c r="T22" i="3" s="1"/>
  <c r="U22" i="3" s="1"/>
  <c r="V22" i="3" s="1"/>
  <c r="W22" i="3" s="1"/>
  <c r="X22" i="3" s="1"/>
  <c r="Y22" i="3" s="1"/>
  <c r="Z22" i="3" s="1"/>
  <c r="Z19" i="3"/>
  <c r="B25" i="5" s="1"/>
  <c r="N5" i="7"/>
  <c r="C13" i="12"/>
  <c r="D22" i="4"/>
  <c r="W18" i="11"/>
  <c r="O18" i="11"/>
  <c r="G18" i="11"/>
  <c r="U18" i="11"/>
  <c r="L18" i="11"/>
  <c r="C18" i="11"/>
  <c r="T18" i="11"/>
  <c r="K18" i="11"/>
  <c r="B18" i="11"/>
  <c r="V18" i="11"/>
  <c r="M18" i="11"/>
  <c r="D18" i="11"/>
  <c r="X18" i="11"/>
  <c r="H18" i="11"/>
  <c r="S18" i="11"/>
  <c r="F18" i="11"/>
  <c r="R18" i="11"/>
  <c r="E18" i="11"/>
  <c r="Q18" i="11"/>
  <c r="D28" i="9"/>
  <c r="P18" i="11"/>
  <c r="Y18" i="11"/>
  <c r="I18" i="11"/>
  <c r="N18" i="11"/>
  <c r="J18" i="11"/>
  <c r="D43" i="2"/>
  <c r="C43" i="2"/>
  <c r="Z31" i="3"/>
  <c r="B29" i="5" s="1"/>
  <c r="B34" i="4"/>
  <c r="Z34" i="4" s="1"/>
  <c r="B11" i="5" s="1"/>
  <c r="B16" i="4"/>
  <c r="Z20" i="3"/>
  <c r="B18" i="4"/>
  <c r="Z18" i="4" s="1"/>
  <c r="Z30" i="3"/>
  <c r="B28" i="5" s="1"/>
  <c r="E13" i="10"/>
  <c r="F13" i="10" s="1"/>
  <c r="G13" i="10" s="1"/>
  <c r="H13" i="10" s="1"/>
  <c r="I13" i="10" s="1"/>
  <c r="J13" i="10" s="1"/>
  <c r="K13" i="10" s="1"/>
  <c r="L13" i="10" s="1"/>
  <c r="M13" i="10" s="1"/>
  <c r="N13" i="10" s="1"/>
  <c r="O13" i="10" s="1"/>
  <c r="P13" i="10" s="1"/>
  <c r="Q13" i="10" s="1"/>
  <c r="R13" i="10" s="1"/>
  <c r="S13" i="10" s="1"/>
  <c r="T13" i="10" s="1"/>
  <c r="U13" i="10" s="1"/>
  <c r="V13" i="10" s="1"/>
  <c r="W13" i="10" s="1"/>
  <c r="X13" i="10" s="1"/>
  <c r="Y13" i="10" s="1"/>
  <c r="Z13" i="10" s="1"/>
  <c r="B33" i="3"/>
  <c r="Z33" i="3" s="1"/>
  <c r="Z29" i="3"/>
  <c r="B17" i="4"/>
  <c r="Y16" i="11"/>
  <c r="Q16" i="11"/>
  <c r="Q20" i="11" s="1"/>
  <c r="I16" i="11"/>
  <c r="T16" i="11"/>
  <c r="K16" i="11"/>
  <c r="K20" i="11" s="1"/>
  <c r="B16" i="11"/>
  <c r="S16" i="11"/>
  <c r="S20" i="11" s="1"/>
  <c r="J16" i="11"/>
  <c r="J20" i="11" s="1"/>
  <c r="U16" i="11"/>
  <c r="L16" i="11"/>
  <c r="C16" i="11"/>
  <c r="R16" i="11"/>
  <c r="R20" i="11" s="1"/>
  <c r="E16" i="11"/>
  <c r="E20" i="11" s="1"/>
  <c r="P16" i="11"/>
  <c r="P20" i="11" s="1"/>
  <c r="D16" i="11"/>
  <c r="D20" i="11" s="1"/>
  <c r="O16" i="11"/>
  <c r="O20" i="11" s="1"/>
  <c r="N16" i="11"/>
  <c r="N20" i="11" s="1"/>
  <c r="M16" i="11"/>
  <c r="M20" i="11" s="1"/>
  <c r="V16" i="11"/>
  <c r="V20" i="11" s="1"/>
  <c r="F16" i="11"/>
  <c r="F20" i="11" s="1"/>
  <c r="X16" i="11"/>
  <c r="X20" i="11" s="1"/>
  <c r="G16" i="11"/>
  <c r="G20" i="11" s="1"/>
  <c r="D41" i="2"/>
  <c r="W16" i="11"/>
  <c r="W20" i="11" s="1"/>
  <c r="C41" i="2"/>
  <c r="H16" i="11"/>
  <c r="B44" i="2"/>
  <c r="D27" i="9"/>
  <c r="Z27" i="4"/>
  <c r="S29" i="4" l="1"/>
  <c r="S10" i="4"/>
  <c r="D29" i="4"/>
  <c r="D10" i="4"/>
  <c r="K29" i="4"/>
  <c r="K10" i="4"/>
  <c r="B42" i="4"/>
  <c r="Z17" i="4"/>
  <c r="F29" i="4"/>
  <c r="F10" i="4"/>
  <c r="B27" i="5"/>
  <c r="D9" i="5"/>
  <c r="D8" i="12"/>
  <c r="D50" i="4"/>
  <c r="G10" i="4"/>
  <c r="G29" i="4"/>
  <c r="E10" i="4"/>
  <c r="E29" i="4"/>
  <c r="L7" i="7" s="1"/>
  <c r="I20" i="11"/>
  <c r="Z16" i="11"/>
  <c r="B20" i="11"/>
  <c r="X10" i="4"/>
  <c r="X29" i="4"/>
  <c r="R10" i="4"/>
  <c r="R29" i="4"/>
  <c r="V29" i="4"/>
  <c r="V10" i="4"/>
  <c r="Q10" i="4"/>
  <c r="Q29" i="4"/>
  <c r="Z16" i="4"/>
  <c r="T20" i="11"/>
  <c r="C23" i="11"/>
  <c r="C44" i="2"/>
  <c r="D44" i="2"/>
  <c r="B45" i="2"/>
  <c r="C20" i="11"/>
  <c r="H20" i="11"/>
  <c r="M10" i="4"/>
  <c r="M29" i="4"/>
  <c r="L20" i="11"/>
  <c r="N29" i="4"/>
  <c r="L16" i="7" s="1"/>
  <c r="N10" i="4"/>
  <c r="U20" i="11"/>
  <c r="Y20" i="11"/>
  <c r="Z18" i="11"/>
  <c r="P10" i="4"/>
  <c r="P29" i="4"/>
  <c r="W10" i="4"/>
  <c r="W29" i="4"/>
  <c r="O29" i="4"/>
  <c r="O10" i="4"/>
  <c r="J10" i="4"/>
  <c r="J29" i="4"/>
  <c r="D8" i="5"/>
  <c r="B26" i="5"/>
  <c r="B30" i="5" s="1"/>
  <c r="T29" i="4" l="1"/>
  <c r="T10" i="4"/>
  <c r="L9" i="7"/>
  <c r="N6" i="7"/>
  <c r="E22" i="4"/>
  <c r="D13" i="12"/>
  <c r="Y10" i="4"/>
  <c r="Y29" i="4"/>
  <c r="L27" i="7" s="1"/>
  <c r="U10" i="4"/>
  <c r="U29" i="4"/>
  <c r="L19" i="7"/>
  <c r="B7" i="8"/>
  <c r="B10" i="4"/>
  <c r="Z10" i="4" s="1"/>
  <c r="B29" i="4"/>
  <c r="L13" i="7"/>
  <c r="H10" i="4"/>
  <c r="H29" i="4"/>
  <c r="C29" i="4"/>
  <c r="C10" i="4"/>
  <c r="B5" i="5"/>
  <c r="E45" i="2"/>
  <c r="E33" i="2"/>
  <c r="E27" i="2"/>
  <c r="E19" i="2"/>
  <c r="E11" i="2"/>
  <c r="E42" i="2"/>
  <c r="E37" i="2"/>
  <c r="E23" i="2"/>
  <c r="E12" i="2"/>
  <c r="E25" i="2"/>
  <c r="D45" i="2"/>
  <c r="E38" i="2"/>
  <c r="E24" i="2"/>
  <c r="E35" i="2"/>
  <c r="E29" i="2"/>
  <c r="E7" i="2"/>
  <c r="C45" i="2"/>
  <c r="E21" i="2"/>
  <c r="E13" i="2"/>
  <c r="E28" i="2"/>
  <c r="E6" i="2"/>
  <c r="E40" i="2"/>
  <c r="E26" i="2"/>
  <c r="E18" i="2"/>
  <c r="E34" i="2"/>
  <c r="E20" i="2"/>
  <c r="E39" i="2"/>
  <c r="E36" i="2"/>
  <c r="E30" i="2"/>
  <c r="E22" i="2"/>
  <c r="E8" i="2"/>
  <c r="E31" i="2"/>
  <c r="E10" i="2"/>
  <c r="E14" i="2"/>
  <c r="E15" i="2"/>
  <c r="E16" i="2"/>
  <c r="E43" i="2"/>
  <c r="E41" i="2"/>
  <c r="L17" i="7"/>
  <c r="E44" i="2"/>
  <c r="Z20" i="11"/>
  <c r="B23" i="11" s="1"/>
  <c r="B24" i="11" s="1"/>
  <c r="B22" i="7" s="1"/>
  <c r="L12" i="7"/>
  <c r="L26" i="7"/>
  <c r="L25" i="7"/>
  <c r="I10" i="4"/>
  <c r="I29" i="4"/>
  <c r="L6" i="7"/>
  <c r="B46" i="4"/>
  <c r="B49" i="4"/>
  <c r="L29" i="4"/>
  <c r="L10" i="4"/>
  <c r="L24" i="7"/>
  <c r="L18" i="7"/>
  <c r="L15" i="7"/>
  <c r="L20" i="7"/>
  <c r="L8" i="7"/>
  <c r="L21" i="7"/>
  <c r="L14" i="7" l="1"/>
  <c r="O4" i="7"/>
  <c r="B51" i="4"/>
  <c r="C21" i="4"/>
  <c r="L5" i="7"/>
  <c r="E8" i="12"/>
  <c r="L10" i="7"/>
  <c r="L23" i="7"/>
  <c r="B47" i="4"/>
  <c r="L11" i="7"/>
  <c r="L4" i="7"/>
  <c r="Z29" i="4"/>
  <c r="B19" i="4"/>
  <c r="B38" i="4" s="1"/>
  <c r="L22" i="7"/>
  <c r="C36" i="4" l="1"/>
  <c r="C49" i="4"/>
  <c r="B52" i="4"/>
  <c r="C13" i="4"/>
  <c r="B41" i="4"/>
  <c r="O5" i="7" l="1"/>
  <c r="C51" i="4"/>
  <c r="D21" i="4"/>
  <c r="C46" i="4"/>
  <c r="C47" i="4" s="1"/>
  <c r="B44" i="4"/>
  <c r="C19" i="4"/>
  <c r="C38" i="4" s="1"/>
  <c r="C52" i="4" l="1"/>
  <c r="D13" i="4"/>
  <c r="C41" i="4"/>
  <c r="D49" i="4"/>
  <c r="D36" i="4"/>
  <c r="O6" i="7" l="1"/>
  <c r="D51" i="4"/>
  <c r="E21" i="4"/>
  <c r="D46" i="4"/>
  <c r="C44" i="4"/>
  <c r="D19" i="4"/>
  <c r="D38" i="4" s="1"/>
  <c r="D47" i="4" l="1"/>
  <c r="E49" i="4"/>
  <c r="E36" i="4"/>
  <c r="D41" i="4"/>
  <c r="O7" i="7" l="1"/>
  <c r="E51" i="4"/>
  <c r="F21" i="4"/>
  <c r="D52" i="4"/>
  <c r="E13" i="4"/>
  <c r="D44" i="4"/>
  <c r="F36" i="4" l="1"/>
  <c r="F49" i="4"/>
  <c r="E19" i="4"/>
  <c r="E38" i="4" s="1"/>
  <c r="E39" i="4" l="1"/>
  <c r="O8" i="7"/>
  <c r="G21" i="4"/>
  <c r="F51" i="4"/>
  <c r="G49" i="4" l="1"/>
  <c r="G36" i="4"/>
  <c r="E10" i="12"/>
  <c r="Z10" i="12" s="1"/>
  <c r="M7" i="7"/>
  <c r="E46" i="4"/>
  <c r="E47" i="4" s="1"/>
  <c r="Z39" i="4"/>
  <c r="E50" i="4"/>
  <c r="E41" i="4"/>
  <c r="E13" i="12" l="1"/>
  <c r="N7" i="7"/>
  <c r="F22" i="4"/>
  <c r="E8" i="7"/>
  <c r="B19" i="9"/>
  <c r="F8" i="5"/>
  <c r="B21" i="12"/>
  <c r="B13" i="8"/>
  <c r="B14" i="8" s="1"/>
  <c r="B59" i="8"/>
  <c r="E52" i="4"/>
  <c r="F13" i="4"/>
  <c r="E44" i="4"/>
  <c r="G51" i="4"/>
  <c r="O9" i="7"/>
  <c r="H21" i="4"/>
  <c r="F8" i="12" l="1"/>
  <c r="F50" i="4"/>
  <c r="F35" i="4"/>
  <c r="H49" i="4"/>
  <c r="H36" i="4"/>
  <c r="F14" i="12" l="1"/>
  <c r="F46" i="4"/>
  <c r="F47" i="4" s="1"/>
  <c r="O10" i="7"/>
  <c r="H51" i="4"/>
  <c r="I21" i="4"/>
  <c r="F13" i="12"/>
  <c r="N8" i="7"/>
  <c r="G22" i="4"/>
  <c r="F19" i="4"/>
  <c r="F38" i="4" s="1"/>
  <c r="I49" i="4" l="1"/>
  <c r="I36" i="4"/>
  <c r="F52" i="4"/>
  <c r="G13" i="4"/>
  <c r="F41" i="4"/>
  <c r="G8" i="12"/>
  <c r="G35" i="4"/>
  <c r="G50" i="4"/>
  <c r="G19" i="4" l="1"/>
  <c r="G38" i="4" s="1"/>
  <c r="G41" i="4" s="1"/>
  <c r="G44" i="4" s="1"/>
  <c r="G14" i="12"/>
  <c r="G46" i="4"/>
  <c r="G47" i="4" s="1"/>
  <c r="F44" i="4"/>
  <c r="N9" i="7"/>
  <c r="G13" i="12"/>
  <c r="H22" i="4"/>
  <c r="I51" i="4"/>
  <c r="O11" i="7"/>
  <c r="J21" i="4"/>
  <c r="G52" i="4" l="1"/>
  <c r="H13" i="4"/>
  <c r="J49" i="4"/>
  <c r="J36" i="4"/>
  <c r="H8" i="12"/>
  <c r="H50" i="4"/>
  <c r="H35" i="4"/>
  <c r="H14" i="12" l="1"/>
  <c r="H46" i="4"/>
  <c r="H47" i="4" s="1"/>
  <c r="H13" i="12"/>
  <c r="N10" i="7"/>
  <c r="I22" i="4"/>
  <c r="O12" i="7"/>
  <c r="J51" i="4"/>
  <c r="K21" i="4"/>
  <c r="H19" i="4"/>
  <c r="H38" i="4" s="1"/>
  <c r="H41" i="4" s="1"/>
  <c r="H44" i="4" s="1"/>
  <c r="H52" i="4" l="1"/>
  <c r="I13" i="4"/>
  <c r="I8" i="12"/>
  <c r="I50" i="4"/>
  <c r="I35" i="4"/>
  <c r="K49" i="4"/>
  <c r="K36" i="4"/>
  <c r="O13" i="7" l="1"/>
  <c r="L21" i="4"/>
  <c r="K51" i="4"/>
  <c r="I14" i="12"/>
  <c r="I46" i="4"/>
  <c r="I13" i="12"/>
  <c r="N11" i="7"/>
  <c r="J22" i="4"/>
  <c r="I47" i="4"/>
  <c r="I19" i="4"/>
  <c r="I38" i="4" s="1"/>
  <c r="I41" i="4" s="1"/>
  <c r="I44" i="4" s="1"/>
  <c r="J8" i="12" l="1"/>
  <c r="J50" i="4"/>
  <c r="J35" i="4"/>
  <c r="L49" i="4"/>
  <c r="L36" i="4"/>
  <c r="I52" i="4"/>
  <c r="J13" i="4"/>
  <c r="J19" i="4" l="1"/>
  <c r="J38" i="4" s="1"/>
  <c r="J41" i="4" s="1"/>
  <c r="J44" i="4" s="1"/>
  <c r="O14" i="7"/>
  <c r="L51" i="4"/>
  <c r="M21" i="4"/>
  <c r="J14" i="12"/>
  <c r="J46" i="4"/>
  <c r="J47" i="4" s="1"/>
  <c r="N12" i="7"/>
  <c r="J13" i="12"/>
  <c r="K22" i="4"/>
  <c r="J52" i="4" l="1"/>
  <c r="K13" i="4"/>
  <c r="M49" i="4"/>
  <c r="M36" i="4"/>
  <c r="K8" i="12"/>
  <c r="K50" i="4"/>
  <c r="K35" i="4"/>
  <c r="K13" i="12" l="1"/>
  <c r="N13" i="7"/>
  <c r="L22" i="4"/>
  <c r="O15" i="7"/>
  <c r="M51" i="4"/>
  <c r="N21" i="4"/>
  <c r="K14" i="12"/>
  <c r="K46" i="4"/>
  <c r="K47" i="4" s="1"/>
  <c r="K19" i="4"/>
  <c r="K38" i="4" s="1"/>
  <c r="K41" i="4" s="1"/>
  <c r="K44" i="4" s="1"/>
  <c r="K52" i="4" l="1"/>
  <c r="L13" i="4"/>
  <c r="N36" i="4"/>
  <c r="L8" i="12"/>
  <c r="L50" i="4"/>
  <c r="L35" i="4"/>
  <c r="L14" i="12" l="1"/>
  <c r="L46" i="4"/>
  <c r="L47" i="4" s="1"/>
  <c r="L19" i="4"/>
  <c r="L38" i="4" s="1"/>
  <c r="L41" i="4" s="1"/>
  <c r="L44" i="4" s="1"/>
  <c r="L13" i="12"/>
  <c r="N14" i="7"/>
  <c r="M22" i="4"/>
  <c r="L52" i="4" l="1"/>
  <c r="M13" i="4"/>
  <c r="M8" i="12"/>
  <c r="M50" i="4"/>
  <c r="M35" i="4"/>
  <c r="M14" i="12" l="1"/>
  <c r="M46" i="4"/>
  <c r="M47" i="4" s="1"/>
  <c r="M19" i="4"/>
  <c r="M38" i="4" s="1"/>
  <c r="M41" i="4" s="1"/>
  <c r="M44" i="4" s="1"/>
  <c r="M13" i="12"/>
  <c r="N15" i="7"/>
  <c r="N22" i="4"/>
  <c r="M52" i="4" l="1"/>
  <c r="N13" i="4"/>
  <c r="N8" i="12"/>
  <c r="N35" i="4"/>
  <c r="N14" i="12" s="1"/>
  <c r="N19" i="4" l="1"/>
  <c r="N20" i="4" l="1"/>
  <c r="N49" i="4" l="1"/>
  <c r="N38" i="4"/>
  <c r="O16" i="7" l="1"/>
  <c r="N51" i="4"/>
  <c r="O21" i="4"/>
  <c r="N40" i="4"/>
  <c r="N11" i="12" l="1"/>
  <c r="Z11" i="12" s="1"/>
  <c r="N46" i="4"/>
  <c r="N47" i="4" s="1"/>
  <c r="M16" i="7"/>
  <c r="Z40" i="4"/>
  <c r="N50" i="4"/>
  <c r="O36" i="4"/>
  <c r="N41" i="4"/>
  <c r="N44" i="4" s="1"/>
  <c r="N16" i="7" l="1"/>
  <c r="B22" i="12"/>
  <c r="N13" i="12"/>
  <c r="O22" i="4"/>
  <c r="O13" i="4"/>
  <c r="N52" i="4"/>
  <c r="O8" i="12" l="1"/>
  <c r="O35" i="4"/>
  <c r="O19" i="4" s="1"/>
  <c r="O50" i="4"/>
  <c r="B20" i="9"/>
  <c r="E9" i="7"/>
  <c r="B60" i="8"/>
  <c r="F9" i="5"/>
  <c r="O20" i="4" l="1"/>
  <c r="N17" i="7"/>
  <c r="O13" i="12"/>
  <c r="P22" i="4"/>
  <c r="O14" i="12"/>
  <c r="O46" i="4"/>
  <c r="P8" i="12" l="1"/>
  <c r="P50" i="4"/>
  <c r="P35" i="4"/>
  <c r="O49" i="4"/>
  <c r="O47" i="4"/>
  <c r="O38" i="4"/>
  <c r="O41" i="4" s="1"/>
  <c r="O44" i="4" s="1"/>
  <c r="O52" i="4" l="1"/>
  <c r="P13" i="4"/>
  <c r="O17" i="7"/>
  <c r="O51" i="4"/>
  <c r="P21" i="4"/>
  <c r="P14" i="12"/>
  <c r="P13" i="12"/>
  <c r="N18" i="7"/>
  <c r="Q22" i="4"/>
  <c r="P36" i="4" l="1"/>
  <c r="P46" i="4" s="1"/>
  <c r="Q8" i="12"/>
  <c r="Q50" i="4"/>
  <c r="Q35" i="4"/>
  <c r="P19" i="4"/>
  <c r="Q14" i="12" l="1"/>
  <c r="P20" i="4"/>
  <c r="Q13" i="12"/>
  <c r="N19" i="7"/>
  <c r="R22" i="4"/>
  <c r="R8" i="12" l="1"/>
  <c r="R50" i="4"/>
  <c r="R35" i="4"/>
  <c r="P49" i="4"/>
  <c r="P47" i="4"/>
  <c r="P38" i="4"/>
  <c r="P41" i="4" s="1"/>
  <c r="P44" i="4" s="1"/>
  <c r="O18" i="7" l="1"/>
  <c r="P51" i="4"/>
  <c r="Q21" i="4"/>
  <c r="P52" i="4"/>
  <c r="Q13" i="4"/>
  <c r="N20" i="7"/>
  <c r="R13" i="12"/>
  <c r="S22" i="4"/>
  <c r="R14" i="12"/>
  <c r="S8" i="12" l="1"/>
  <c r="S50" i="4"/>
  <c r="S35" i="4"/>
  <c r="S14" i="12" s="1"/>
  <c r="Q36" i="4"/>
  <c r="Q46" i="4" s="1"/>
  <c r="Q19" i="4" l="1"/>
  <c r="S13" i="12"/>
  <c r="N21" i="7"/>
  <c r="T22" i="4"/>
  <c r="T8" i="12" l="1"/>
  <c r="T35" i="4"/>
  <c r="T50" i="4"/>
  <c r="Q20" i="4"/>
  <c r="Q47" i="4" l="1"/>
  <c r="Q49" i="4"/>
  <c r="Q38" i="4"/>
  <c r="Q41" i="4" s="1"/>
  <c r="Q44" i="4" s="1"/>
  <c r="N22" i="7"/>
  <c r="T13" i="12"/>
  <c r="U22" i="4"/>
  <c r="T14" i="12"/>
  <c r="U8" i="12" l="1"/>
  <c r="U50" i="4"/>
  <c r="U35" i="4"/>
  <c r="U14" i="12" s="1"/>
  <c r="O19" i="7"/>
  <c r="Q51" i="4"/>
  <c r="R21" i="4"/>
  <c r="Q52" i="4"/>
  <c r="R13" i="4"/>
  <c r="R36" i="4" l="1"/>
  <c r="R46" i="4" s="1"/>
  <c r="R19" i="4"/>
  <c r="U13" i="12"/>
  <c r="N23" i="7"/>
  <c r="V22" i="4"/>
  <c r="V50" i="4" l="1"/>
  <c r="V8" i="12"/>
  <c r="V35" i="4"/>
  <c r="V14" i="12" s="1"/>
  <c r="R20" i="4"/>
  <c r="R49" i="4" l="1"/>
  <c r="R47" i="4"/>
  <c r="R38" i="4"/>
  <c r="R41" i="4" s="1"/>
  <c r="R44" i="4" s="1"/>
  <c r="V13" i="12"/>
  <c r="N24" i="7"/>
  <c r="W22" i="4"/>
  <c r="W50" i="4" l="1"/>
  <c r="W8" i="12"/>
  <c r="W35" i="4"/>
  <c r="R52" i="4"/>
  <c r="S13" i="4"/>
  <c r="O20" i="7"/>
  <c r="R51" i="4"/>
  <c r="S21" i="4"/>
  <c r="S36" i="4" l="1"/>
  <c r="S46" i="4" s="1"/>
  <c r="W14" i="12"/>
  <c r="W13" i="12"/>
  <c r="N25" i="7"/>
  <c r="X22" i="4"/>
  <c r="S19" i="4" l="1"/>
  <c r="X8" i="12"/>
  <c r="X50" i="4"/>
  <c r="X35" i="4"/>
  <c r="X13" i="12" l="1"/>
  <c r="N26" i="7"/>
  <c r="Y22" i="4"/>
  <c r="X14" i="12"/>
  <c r="S20" i="4"/>
  <c r="S47" i="4" l="1"/>
  <c r="S49" i="4"/>
  <c r="S38" i="4"/>
  <c r="S41" i="4" s="1"/>
  <c r="S44" i="4" s="1"/>
  <c r="Y8" i="12"/>
  <c r="Z8" i="12" s="1"/>
  <c r="Z22" i="4"/>
  <c r="Y35" i="4"/>
  <c r="Y14" i="12" l="1"/>
  <c r="Z14" i="12" s="1"/>
  <c r="B26" i="12" s="1"/>
  <c r="Z35" i="4"/>
  <c r="B12" i="5" s="1"/>
  <c r="O21" i="7"/>
  <c r="S51" i="4"/>
  <c r="T21" i="4"/>
  <c r="T13" i="4"/>
  <c r="S52" i="4"/>
  <c r="T36" i="4" l="1"/>
  <c r="T46" i="4" s="1"/>
  <c r="T19" i="4"/>
  <c r="T20" i="4" l="1"/>
  <c r="T47" i="4" l="1"/>
  <c r="T49" i="4"/>
  <c r="T38" i="4"/>
  <c r="T41" i="4" s="1"/>
  <c r="T44" i="4" s="1"/>
  <c r="T51" i="4" l="1"/>
  <c r="O22" i="7"/>
  <c r="U21" i="4"/>
  <c r="U13" i="4"/>
  <c r="T52" i="4"/>
  <c r="U36" i="4" l="1"/>
  <c r="U46" i="4" s="1"/>
  <c r="U19" i="4" l="1"/>
  <c r="U20" i="4" l="1"/>
  <c r="U47" i="4" l="1"/>
  <c r="U49" i="4"/>
  <c r="U38" i="4"/>
  <c r="U41" i="4" s="1"/>
  <c r="U44" i="4" s="1"/>
  <c r="O23" i="7" l="1"/>
  <c r="U51" i="4"/>
  <c r="V21" i="4"/>
  <c r="U52" i="4"/>
  <c r="V13" i="4"/>
  <c r="V36" i="4" l="1"/>
  <c r="V46" i="4" s="1"/>
  <c r="V19" i="4" l="1"/>
  <c r="V20" i="4" l="1"/>
  <c r="V47" i="4" l="1"/>
  <c r="V49" i="4"/>
  <c r="V38" i="4"/>
  <c r="V41" i="4" s="1"/>
  <c r="V44" i="4" s="1"/>
  <c r="O24" i="7" l="1"/>
  <c r="W21" i="4"/>
  <c r="V51" i="4"/>
  <c r="V52" i="4"/>
  <c r="W13" i="4"/>
  <c r="W36" i="4" l="1"/>
  <c r="W46" i="4" s="1"/>
  <c r="W19" i="4" l="1"/>
  <c r="W20" i="4" l="1"/>
  <c r="W47" i="4" l="1"/>
  <c r="W49" i="4"/>
  <c r="W38" i="4"/>
  <c r="W41" i="4" s="1"/>
  <c r="W44" i="4" s="1"/>
  <c r="W52" i="4" l="1"/>
  <c r="X13" i="4"/>
  <c r="O25" i="7"/>
  <c r="W51" i="4"/>
  <c r="X21" i="4"/>
  <c r="X36" i="4" l="1"/>
  <c r="X46" i="4" s="1"/>
  <c r="X19" i="4"/>
  <c r="X20" i="4" l="1"/>
  <c r="X47" i="4" l="1"/>
  <c r="X49" i="4"/>
  <c r="X38" i="4"/>
  <c r="X41" i="4" s="1"/>
  <c r="X44" i="4" s="1"/>
  <c r="Y13" i="4" l="1"/>
  <c r="X52" i="4"/>
  <c r="X51" i="4"/>
  <c r="O26" i="7"/>
  <c r="Y21" i="4"/>
  <c r="Z21" i="4" l="1"/>
  <c r="Y36" i="4"/>
  <c r="Z36" i="4" s="1"/>
  <c r="B9" i="5" s="1"/>
  <c r="B13" i="5" s="1"/>
  <c r="Y19" i="4"/>
  <c r="Z13" i="4"/>
  <c r="Y20" i="4" l="1"/>
  <c r="Z19" i="4"/>
  <c r="Y38" i="4"/>
  <c r="F23" i="5"/>
  <c r="F24" i="5" s="1"/>
  <c r="E11" i="7"/>
  <c r="F32" i="5" l="1"/>
  <c r="E18" i="7" s="1"/>
  <c r="E12" i="7"/>
  <c r="Y41" i="4"/>
  <c r="Z38" i="4"/>
  <c r="Z20" i="4"/>
  <c r="D10" i="5" s="1"/>
  <c r="D11" i="5" s="1"/>
  <c r="Y42" i="4"/>
  <c r="Z42" i="4" l="1"/>
  <c r="B14" i="5" s="1"/>
  <c r="Y49" i="4"/>
  <c r="D13" i="5"/>
  <c r="Z41" i="4"/>
  <c r="Y43" i="4"/>
  <c r="Y12" i="12" l="1"/>
  <c r="Z12" i="12" s="1"/>
  <c r="M27" i="7"/>
  <c r="Z43" i="4"/>
  <c r="Y50" i="4"/>
  <c r="Y44" i="4"/>
  <c r="O27" i="7"/>
  <c r="Y51" i="4"/>
  <c r="Z51" i="4" s="1"/>
  <c r="Z49" i="4"/>
  <c r="F13" i="5"/>
  <c r="E10" i="7"/>
  <c r="B61" i="8" l="1"/>
  <c r="B23" i="12"/>
  <c r="B21" i="9"/>
  <c r="F10" i="5"/>
  <c r="B15" i="5"/>
  <c r="F14" i="5"/>
  <c r="F15" i="5"/>
  <c r="Y45" i="4"/>
  <c r="Z44" i="4"/>
  <c r="Y13" i="12"/>
  <c r="Z13" i="12" s="1"/>
  <c r="Z50" i="4"/>
  <c r="N27" i="7"/>
  <c r="Z45" i="4" l="1"/>
  <c r="Y46" i="4"/>
  <c r="F11" i="5"/>
  <c r="B24" i="12"/>
  <c r="B62" i="8"/>
  <c r="E7" i="6" l="1"/>
  <c r="F7" i="6" s="1"/>
  <c r="E8" i="6"/>
  <c r="F8" i="6" s="1"/>
  <c r="F26" i="5"/>
  <c r="B30" i="8"/>
  <c r="B32" i="8" s="1"/>
  <c r="E6" i="6"/>
  <c r="F6" i="6" s="1"/>
  <c r="B16" i="5"/>
  <c r="B17" i="5" s="1"/>
  <c r="D12" i="5" s="1"/>
  <c r="B27" i="7" s="1"/>
  <c r="E5" i="6"/>
  <c r="F5" i="6" s="1"/>
  <c r="Z46" i="4"/>
  <c r="Y47" i="4"/>
  <c r="B33" i="8" l="1"/>
  <c r="J5" i="6"/>
  <c r="G5" i="6"/>
  <c r="J6" i="6"/>
  <c r="G6" i="6"/>
  <c r="G8" i="6"/>
  <c r="J8" i="6"/>
  <c r="Z47" i="4"/>
  <c r="Y52" i="4"/>
  <c r="J7" i="6"/>
  <c r="G7" i="6"/>
  <c r="H8" i="6" l="1"/>
  <c r="I8" i="6"/>
  <c r="H7" i="6"/>
  <c r="I7" i="6"/>
  <c r="I6" i="6"/>
  <c r="H6" i="6"/>
  <c r="H5" i="6"/>
  <c r="I5" i="6"/>
  <c r="Z52" i="4"/>
  <c r="F16" i="5"/>
  <c r="B26" i="7" s="1"/>
  <c r="C29" i="9"/>
  <c r="B34" i="8"/>
  <c r="C30" i="9" l="1"/>
  <c r="B35" i="8"/>
  <c r="D29" i="9" l="1"/>
  <c r="B37" i="8"/>
  <c r="B36" i="8"/>
  <c r="F31" i="5" l="1"/>
  <c r="D30" i="9"/>
  <c r="E17" i="7"/>
  <c r="Y14" i="10"/>
  <c r="B38" i="8"/>
  <c r="B39" i="8"/>
  <c r="F27" i="5"/>
  <c r="E13" i="7"/>
  <c r="Z14" i="10" l="1"/>
  <c r="B40" i="8"/>
  <c r="E15" i="7"/>
  <c r="F29" i="5"/>
  <c r="E14" i="7"/>
  <c r="F28" i="5"/>
  <c r="E16" i="7" l="1"/>
  <c r="F30" i="5"/>
</calcChain>
</file>

<file path=xl/sharedStrings.xml><?xml version="1.0" encoding="utf-8"?>
<sst xmlns="http://schemas.openxmlformats.org/spreadsheetml/2006/main" count="903" uniqueCount="698">
  <si>
    <t>NORTH EUSTIS MEDICAL PLAZA — MODEL ASSUMPTIONS</t>
  </si>
  <si>
    <t>Blue-font cells are editable inputs. The base case assumes separately platted fee-simple bays, refundable reservations before final plat recordation, binding purchase contracts in Month 13, and a private equity raise to acquire the land and fund pre-loan development costs.</t>
  </si>
  <si>
    <t>PROJECT DATA</t>
  </si>
  <si>
    <t>Assumption</t>
  </si>
  <si>
    <t>Value</t>
  </si>
  <si>
    <t>Units</t>
  </si>
  <si>
    <t>Source / Comment</t>
  </si>
  <si>
    <t>Project Name</t>
  </si>
  <si>
    <t>North Eustis Medical Plaza</t>
  </si>
  <si>
    <t>User-provided</t>
  </si>
  <si>
    <t>Model Start Date</t>
  </si>
  <si>
    <t>date</t>
  </si>
  <si>
    <t>PPM launch / model start — October 2026</t>
  </si>
  <si>
    <t>Construction / Hold Period</t>
  </si>
  <si>
    <t>months</t>
  </si>
  <si>
    <t>Two-year development period</t>
  </si>
  <si>
    <t>Gross Building Area</t>
  </si>
  <si>
    <t>GSF</t>
  </si>
  <si>
    <t>Current project plan; 37,708 gross SF</t>
  </si>
  <si>
    <t>Rentable / Sellable Efficiency</t>
  </si>
  <si>
    <t>%</t>
  </si>
  <si>
    <t>Calculated to preserve 37,125 sellable SF</t>
  </si>
  <si>
    <t>Rentable / Sellable Area</t>
  </si>
  <si>
    <t>SF</t>
  </si>
  <si>
    <t>Gross SF × efficiency</t>
  </si>
  <si>
    <t>Building Type</t>
  </si>
  <si>
    <t>Class A Medical Office — 16 separately platted fee-simple medical bays</t>
  </si>
  <si>
    <t>Confirmed structure</t>
  </si>
  <si>
    <t>Parking Spaces</t>
  </si>
  <si>
    <t>spaces</t>
  </si>
  <si>
    <t>Current project plan — 174 parking spaces</t>
  </si>
  <si>
    <t>Parking Ratio</t>
  </si>
  <si>
    <t>spaces / 1,000 SF</t>
  </si>
  <si>
    <t>Parking spaces ÷ sellable SF × 1,000</t>
  </si>
  <si>
    <t>SALES, PLATTING &amp; DEPOSIT ASSUMPTIONS</t>
  </si>
  <si>
    <t>Sale Price</t>
  </si>
  <si>
    <t>$ / sellable SF</t>
  </si>
  <si>
    <t>Supported by September 2026 appraisal retail value conclusion of $560/SF</t>
  </si>
  <si>
    <t>Gross Sellout</t>
  </si>
  <si>
    <t>$</t>
  </si>
  <si>
    <t>Sellable SF × sale price</t>
  </si>
  <si>
    <t>Refundable Reservation Target</t>
  </si>
  <si>
    <t>% of sellable SF</t>
  </si>
  <si>
    <t>Months 1–12; no project cash assumed</t>
  </si>
  <si>
    <t>Binding Contract Deposit</t>
  </si>
  <si>
    <t>% of purchase price</t>
  </si>
  <si>
    <t>Collected after final plat recordation</t>
  </si>
  <si>
    <t>Restricted Deposit Portion</t>
  </si>
  <si>
    <t>Held restricted until closing</t>
  </si>
  <si>
    <t>Usable Deposit Portion</t>
  </si>
  <si>
    <t>Potentially available for qualifying project costs; counsel/lender to confirm</t>
  </si>
  <si>
    <t>Balance Due at Closing</t>
  </si>
  <si>
    <t>1 − binding contract deposit</t>
  </si>
  <si>
    <t>Broker Commission</t>
  </si>
  <si>
    <t>% of gross sales</t>
  </si>
  <si>
    <t>Paid at unit closings</t>
  </si>
  <si>
    <t>Other Sales Closing Costs</t>
  </si>
  <si>
    <t>Editable placeholder</t>
  </si>
  <si>
    <t>PROJECT COST &amp; CONSTRUCTION LOAN ASSUMPTIONS</t>
  </si>
  <si>
    <t>Shell Construction Cost</t>
  </si>
  <si>
    <t>$ / GSF</t>
  </si>
  <si>
    <t>Construction budget basis</t>
  </si>
  <si>
    <t>Hard Cost Contingency</t>
  </si>
  <si>
    <t>% of hard-cost subtotal</t>
  </si>
  <si>
    <t>Original budget assumption</t>
  </si>
  <si>
    <t>Development Fee</t>
  </si>
  <si>
    <t>% of hard costs total</t>
  </si>
  <si>
    <t>Sponsor/developer fee for entitlement, design, financing, sales coordination and overall development</t>
  </si>
  <si>
    <t>Sponsor Co-Invest</t>
  </si>
  <si>
    <t>Editable; PPM investors fund base-case equity requirement</t>
  </si>
  <si>
    <t>Construction Loan Commitment</t>
  </si>
  <si>
    <t>Preliminary; model calculates maximum required balance</t>
  </si>
  <si>
    <t>Construction Loan Interest Rate</t>
  </si>
  <si>
    <t>% annually</t>
  </si>
  <si>
    <t>User assumption</t>
  </si>
  <si>
    <t>Loan Origination Fee</t>
  </si>
  <si>
    <t>% of commitment</t>
  </si>
  <si>
    <t>Preliminary</t>
  </si>
  <si>
    <t>Construction Loan Closing Month</t>
  </si>
  <si>
    <t>month number</t>
  </si>
  <si>
    <t>Construction financing closes after the shovel-ready milestone</t>
  </si>
  <si>
    <t>Annual Property Tax Carry</t>
  </si>
  <si>
    <t>$ / year</t>
  </si>
  <si>
    <t>User analysis; confirm assessed value and timing</t>
  </si>
  <si>
    <t>Construction Management Fee</t>
  </si>
  <si>
    <t>Owner-side construction administration; separate from GC overhead and profit</t>
  </si>
  <si>
    <t>PPM, PLATTING &amp; INVESTOR RETURN ASSUMPTIONS</t>
  </si>
  <si>
    <t>PPM Launch Month</t>
  </si>
  <si>
    <t>October 2026; offering launches in Model Month 1</t>
  </si>
  <si>
    <t>Final Plat Recordation Month</t>
  </si>
  <si>
    <t>Final plat recordation included in the 12-month shovel-ready target</t>
  </si>
  <si>
    <t>Binding Contract / Deposit Month</t>
  </si>
  <si>
    <t>Binding contracts and deposits begin after recordation</t>
  </si>
  <si>
    <t>Scheduled Unit Closing Month</t>
  </si>
  <si>
    <t>Assumes CO and deed closings at project completion</t>
  </si>
  <si>
    <t>Offering Legal, Deck, Brochures &amp; Administration</t>
  </si>
  <si>
    <t>Securities counsel $12,660 + pitch deck $4,800 + brochures $2,500</t>
  </si>
  <si>
    <t>PPM Working Capital Buffer</t>
  </si>
  <si>
    <t>Removed per current model instruction</t>
  </si>
  <si>
    <t>Placement Agent / Capital-Raising Fee</t>
  </si>
  <si>
    <t>% of gross PPM raise</t>
  </si>
  <si>
    <t>Updated base case: 5.0% of gross PPM raise</t>
  </si>
  <si>
    <t>Preferred Return</t>
  </si>
  <si>
    <t>Removed in revised model; investors receive capital back first, then performance-based profit split</t>
  </si>
  <si>
    <t>Base GP Promote Reference</t>
  </si>
  <si>
    <t>Reference only; actual GP promote is performance-based using the waterfall table below</t>
  </si>
  <si>
    <t>Proposed Securities Exemption</t>
  </si>
  <si>
    <t>Rule 506(c) — counsel to confirm</t>
  </si>
  <si>
    <t>General solicitation only if all purchasers are accredited and status is verified</t>
  </si>
  <si>
    <t>Investor Portal — 24 Months</t>
  </si>
  <si>
    <t>$795/month × 24 months; portal remains active through project exit</t>
  </si>
  <si>
    <t>Investor Presentations — 2 Events</t>
  </si>
  <si>
    <t>Two investor presentations at approximately $15,000 each</t>
  </si>
  <si>
    <t>Portal CC Fee / Travel / Contingency</t>
  </si>
  <si>
    <t>Includes $2,323.77 portal/credit-card fee plus modest travel/marketing contingency; total offering budget rounded to $75,000</t>
  </si>
  <si>
    <t>Base Investor Residual Share Reference</t>
  </si>
  <si>
    <t>Reference only; actual LP share is calculated in the PPM Equity Raise waterfall</t>
  </si>
  <si>
    <t>Placement Fee — Low Case</t>
  </si>
  <si>
    <t>% of gross raise</t>
  </si>
  <si>
    <t>Sensitivity only</t>
  </si>
  <si>
    <t>Placement Fee — High Case</t>
  </si>
  <si>
    <t>Fundraising Period</t>
  </si>
  <si>
    <t>October 2026 through January 2027</t>
  </si>
  <si>
    <t>After the 12-month shovel-ready period</t>
  </si>
  <si>
    <t>Minimum Offering Amount</t>
  </si>
  <si>
    <t>Best-efforts rolling closes; counsel to confirm</t>
  </si>
  <si>
    <t>Use of Offering Proceeds</t>
  </si>
  <si>
    <t>Immediately after each rolling closing</t>
  </si>
  <si>
    <t>Entitlements, design, permitting, legal, marketing, land closing and disclosed development expenses</t>
  </si>
  <si>
    <t>Minimum Fixed Cash Buffer</t>
  </si>
  <si>
    <t>No fixed reserve modeled</t>
  </si>
  <si>
    <t>Fundraising Structure</t>
  </si>
  <si>
    <t>Best efforts; rolling closings — counsel to confirm</t>
  </si>
  <si>
    <t>Accepted subscriptions are released periodically rather than waiting for the full raise</t>
  </si>
  <si>
    <t>Gross PPM Maximum Offering</t>
  </si>
  <si>
    <t>Editable base-case maximum offering</t>
  </si>
  <si>
    <t>Land Seller Entity</t>
  </si>
  <si>
    <t>Related-Party Land Seller LLC</t>
  </si>
  <si>
    <t>Company owned by Johann Puruncajas and partner; replace with exact legal name</t>
  </si>
  <si>
    <t>Title Transfer / Seller Note Month</t>
  </si>
  <si>
    <t>Title transfers early to provide the project and investors direct ownership security</t>
  </si>
  <si>
    <t>Land Seller Note Principal</t>
  </si>
  <si>
    <t>$3.0M seller mortgage; $1.0M of $4.0M land value exchanged for seller equity units</t>
  </si>
  <si>
    <t>Seller Note Monthly Rate After Jan. 2027</t>
  </si>
  <si>
    <t>% monthly</t>
  </si>
  <si>
    <t>1% per month on unpaid principal beginning February 2027</t>
  </si>
  <si>
    <t>Land Closing / Acquisition Costs</t>
  </si>
  <si>
    <t>No land purchase closing cost modeled; land consideration is $3.0M seller mortgage + $1.0M seller equity units</t>
  </si>
  <si>
    <t>Entitlement Liquidity Buffer</t>
  </si>
  <si>
    <t>Entitlement liquidity reserve removed per current model instruction</t>
  </si>
  <si>
    <t>Seller Note Payoff Required at Construction Loan Closing</t>
  </si>
  <si>
    <t>% of outstanding balance</t>
  </si>
  <si>
    <t>Base case assumes subordination rather than mandatory payoff</t>
  </si>
  <si>
    <t>Seller Note Payoff from Final Unit Closings</t>
  </si>
  <si>
    <t>% of remaining balance</t>
  </si>
  <si>
    <t>Paid after construction-loan repayment and before equity distributions</t>
  </si>
  <si>
    <t>Construction-Lender Collateral</t>
  </si>
  <si>
    <t>Seller note subordinated; designated unsold units may be pledged if required</t>
  </si>
  <si>
    <t>Informational assumption; lender and counsel to finalize</t>
  </si>
  <si>
    <t>Development Fee Earned During Shovel-Ready Period</t>
  </si>
  <si>
    <t>% of total development fee</t>
  </si>
  <si>
    <t>Remaining 50% paid during construction</t>
  </si>
  <si>
    <t>Sales Marketing Spent During Shovel-Ready Period</t>
  </si>
  <si>
    <t>% of project marketing budget</t>
  </si>
  <si>
    <t>Remaining 50% spent during construction and unit sales</t>
  </si>
  <si>
    <t>Performance Waterfall — Tier</t>
  </si>
  <si>
    <t>LP Share</t>
  </si>
  <si>
    <t>GP Promote</t>
  </si>
  <si>
    <t>LP Net Equity Multiple Hurdle</t>
  </si>
  <si>
    <t>Downside Tier</t>
  </si>
  <si>
    <t>Below 1.70x</t>
  </si>
  <si>
    <t>Base Tier</t>
  </si>
  <si>
    <t>1.70x – 1.99x</t>
  </si>
  <si>
    <t>Outperformance Tier</t>
  </si>
  <si>
    <t>2.00x – 2.24x</t>
  </si>
  <si>
    <t>Home-Run Tier</t>
  </si>
  <si>
    <t>2.25x+</t>
  </si>
  <si>
    <t>Waterfall Note</t>
  </si>
  <si>
    <t>No preferred return</t>
  </si>
  <si>
    <t>Capital returned first; residual profit split by performance tier</t>
  </si>
  <si>
    <t>PROJECT COST BUDGET — NORTH EUSTIS MEDICAL PLAZA</t>
  </si>
  <si>
    <t>Development cost excludes financing interest, loan fees, property-tax carry and sales commissions. Those costs are calculated separately from the monthly cash-flow model.</t>
  </si>
  <si>
    <t>Line Item</t>
  </si>
  <si>
    <t>Amount ($)</t>
  </si>
  <si>
    <t>$ / Sellable SF</t>
  </si>
  <si>
    <t>% of Development Cost</t>
  </si>
  <si>
    <t>Notes / Source</t>
  </si>
  <si>
    <t>Category</t>
  </si>
  <si>
    <t>LAND CONSIDERATION</t>
  </si>
  <si>
    <t>HEADER</t>
  </si>
  <si>
    <t>Seller Mortgage + Seller Equity Units</t>
  </si>
  <si>
    <t>$4.0M land consideration: $3.0M seller mortgage + $1.0M seller equity rollover / units</t>
  </si>
  <si>
    <t>Land</t>
  </si>
  <si>
    <t>No purchase closing cost modeled; title transfer with seller mortgage and seller equity units</t>
  </si>
  <si>
    <t>LAND CONSIDERATION TOTAL</t>
  </si>
  <si>
    <t>TOTAL</t>
  </si>
  <si>
    <t>HARD COSTS — CONSTRUCTION</t>
  </si>
  <si>
    <t>Shell Construction — Gray Shell</t>
  </si>
  <si>
    <t>Gross SF × shell cost / GSF; end-user build-outs excluded</t>
  </si>
  <si>
    <t>Hard</t>
  </si>
  <si>
    <t>Structural Premium — Zone AE Portion</t>
  </si>
  <si>
    <t>Flood-resistant work for Zone AE footprint</t>
  </si>
  <si>
    <t>FF&amp;E — Common Areas</t>
  </si>
  <si>
    <t>Common signage/directories and limited common-area FF&amp;E</t>
  </si>
  <si>
    <t>Owner-Furnished Equipment</t>
  </si>
  <si>
    <t>Editable; generator/security currently excluded</t>
  </si>
  <si>
    <t>BASE HARD COSTS — BEFORE CONTINGENCY</t>
  </si>
  <si>
    <t>HARD COST CONTINGENCY — 10%</t>
  </si>
  <si>
    <t>10% of base hard-cost subtotal; retained as construction-cost protection</t>
  </si>
  <si>
    <t>TOTAL HARD COSTS — INCLUDING CONTINGENCY</t>
  </si>
  <si>
    <t>SITE DEVELOPMENT</t>
  </si>
  <si>
    <t>Land Clearing &amp; Tree Removal</t>
  </si>
  <si>
    <t>6.054 upland acres</t>
  </si>
  <si>
    <t>Site</t>
  </si>
  <si>
    <t>Grading &amp; Fill — Zone Split</t>
  </si>
  <si>
    <t>Zone X basic grading + Zone AE fill</t>
  </si>
  <si>
    <t>Parking Lot — 174 Spaces</t>
  </si>
  <si>
    <t>Current budget retained; 174-space count per current project plan — cost to be reconfirmed</t>
  </si>
  <si>
    <t>Sidewalks &amp; ADA Ramps</t>
  </si>
  <si>
    <t>Per Site Plan C1</t>
  </si>
  <si>
    <t>Wet Detention Pond</t>
  </si>
  <si>
    <t>SJRWMD permit required</t>
  </si>
  <si>
    <t>Stormwater Piping &amp; Structures</t>
  </si>
  <si>
    <t>Structures S1–S11</t>
  </si>
  <si>
    <t>Sanitary Sewer Lift Station</t>
  </si>
  <si>
    <t>Per engineering plan</t>
  </si>
  <si>
    <t>Sanitary Sewer Lines</t>
  </si>
  <si>
    <t>On-site PVC lines</t>
  </si>
  <si>
    <t>Water Service, Fire Line &amp; Hydrants</t>
  </si>
  <si>
    <t>8-inch water main and two hydrants</t>
  </si>
  <si>
    <t>Site Electrical &amp; Parking Lighting</t>
  </si>
  <si>
    <t>Transformer pad and LED pole lights</t>
  </si>
  <si>
    <t>SR-19 Access / Deceleration Lane</t>
  </si>
  <si>
    <t>FDOT driveway scope</t>
  </si>
  <si>
    <t>Landscaping &amp; Irrigation</t>
  </si>
  <si>
    <t>$4.50 per GSF</t>
  </si>
  <si>
    <t>Wetland Mitigation Bank Credits</t>
  </si>
  <si>
    <t>2.289 acres × $40,000</t>
  </si>
  <si>
    <t>SITE DEVELOPMENT TOTAL</t>
  </si>
  <si>
    <t>SOFT COSTS</t>
  </si>
  <si>
    <t>Architecture &amp; Engineering</t>
  </si>
  <si>
    <t>Rounded budget based on TF Design $112,300 + Mitch Collins civil $77,500 + $7,000 optional FDEP items</t>
  </si>
  <si>
    <t>Soft</t>
  </si>
  <si>
    <t>Permitting &amp; Impact Fees</t>
  </si>
  <si>
    <t>Updated City + Lake County permit / impact fee schedule; includes Lake County Road Impact Fee of $443,812.50</t>
  </si>
  <si>
    <t>Environmental Study &amp; Wetlands</t>
  </si>
  <si>
    <t>Phase I and wetland delineation</t>
  </si>
  <si>
    <t>Geotechnical Investigation</t>
  </si>
  <si>
    <t>Soil borings and analysis</t>
  </si>
  <si>
    <t>Flood Zone Elevation Certificate</t>
  </si>
  <si>
    <t>Zone AE portion only</t>
  </si>
  <si>
    <t>Legal, Title &amp; Plat / Sale Documents</t>
  </si>
  <si>
    <t>Project legal, title, final plat and bay sale-document budget</t>
  </si>
  <si>
    <t>Survey</t>
  </si>
  <si>
    <t>Topo and boundary survey</t>
  </si>
  <si>
    <t>Builder's Risk Insurance</t>
  </si>
  <si>
    <t>Budget estimate</t>
  </si>
  <si>
    <t>Development Fee — 5% of Hard Costs</t>
  </si>
  <si>
    <t>Paid to sponsor/developer; hard costs total × development-fee percentage</t>
  </si>
  <si>
    <t>Sales &amp; Project Marketing</t>
  </si>
  <si>
    <t>Removed from project budget; buyer-facing sales team / broker handles sales marketing costs separately</t>
  </si>
  <si>
    <t>Construction Management Fee — 2% of Hard Costs</t>
  </si>
  <si>
    <t>Owner-side construction-management fee paid to sponsor/affiliate; separate from GC overhead and profit</t>
  </si>
  <si>
    <t>SOFT COSTS TOTAL</t>
  </si>
  <si>
    <t>TOTAL DEVELOPMENT COST</t>
  </si>
  <si>
    <t>GRAND TOTAL</t>
  </si>
  <si>
    <t>CONSERVATIVE SALES, PLATTING, DEPOSITS &amp; CLOSINGS — 24 MONTHS</t>
  </si>
  <si>
    <t>Months 1–12 model refundable reservations only. Binding contracts and the 30% deposit are modeled after final plat recordation in Month 13. The first 10% of purchase price remains restricted; the additional 20% is modeled as usable project cash.</t>
  </si>
  <si>
    <t>Month Number</t>
  </si>
  <si>
    <t>Total / Ending</t>
  </si>
  <si>
    <t>Period</t>
  </si>
  <si>
    <t>PHASE 1 — REFUNDABLE RESERVATIONS (NO PROJECT CASH)</t>
  </si>
  <si>
    <t>New Reservation % of Total SF</t>
  </si>
  <si>
    <t>New Reserved SF</t>
  </si>
  <si>
    <t>Cumulative Reserved SF</t>
  </si>
  <si>
    <t>Indicative Reserved Value</t>
  </si>
  <si>
    <t>Reservation Cash Available to Project</t>
  </si>
  <si>
    <t>PHASE 2 — BINDING CONTRACTS AFTER FINAL PLAT RECORDATION</t>
  </si>
  <si>
    <t>New Binding Contract % of Total SF</t>
  </si>
  <si>
    <t>New Contracted SF</t>
  </si>
  <si>
    <t>Cumulative Contracted SF</t>
  </si>
  <si>
    <t>Gross Contract Value</t>
  </si>
  <si>
    <t>Total 30% Deposit Collected</t>
  </si>
  <si>
    <t>Usable Deposit — 20% of Purchase Price</t>
  </si>
  <si>
    <t>Restricted Deposit — 10% of Purchase Price</t>
  </si>
  <si>
    <t>Cumulative Total Deposits</t>
  </si>
  <si>
    <t>PHASE 3 — UNIT CLOSINGS AFTER CERTIFICATE OF OCCUPANCY</t>
  </si>
  <si>
    <t>Closing % of Total SF</t>
  </si>
  <si>
    <t>Closing SF</t>
  </si>
  <si>
    <t>Cumulative Closed SF</t>
  </si>
  <si>
    <t>Gross Closing Value</t>
  </si>
  <si>
    <t>Release of Restricted 10% Deposit</t>
  </si>
  <si>
    <t>Remaining 70% Due at Closing</t>
  </si>
  <si>
    <t>Net Closing Cash Before Debt Repayment</t>
  </si>
  <si>
    <t>MODEL CHECKS</t>
  </si>
  <si>
    <t>Reservation Schedule Total</t>
  </si>
  <si>
    <t>Should equal 100.0%</t>
  </si>
  <si>
    <t>Binding Contract Schedule Total</t>
  </si>
  <si>
    <t>Closing Schedule Total</t>
  </si>
  <si>
    <t>Final Plat Month</t>
  </si>
  <si>
    <t>Binding deposits cannot precede this modeled milestone</t>
  </si>
  <si>
    <t>Total Contracted SF</t>
  </si>
  <si>
    <t>Should equal sellable SF</t>
  </si>
  <si>
    <t>Total Closed SF</t>
  </si>
  <si>
    <t>Should not exceed contracted SF</t>
  </si>
  <si>
    <t>MONTHLY DEVELOPMENT OPERATIONS — ROLLING PPM PROCEEDS &amp; LAND SELLER NOTE</t>
  </si>
  <si>
    <t>Title transfers to the Project Owner LLC in Month 1 at a $4.0 million land value: $1.0 million is contributed for project units and a $3.0 million related-party seller mortgage is issued. The PPM raises from October 2026 through January 2027. Any unpaid seller-mortgage principal after January 2027 bears 1% interest per month until paid. No reserve is modeled.</t>
  </si>
  <si>
    <t>CONSTRUCTION SPENDING WEIGHTS — EDITABLE</t>
  </si>
  <si>
    <t>Hard Costs Spending %</t>
  </si>
  <si>
    <t>Site Development Spending %</t>
  </si>
  <si>
    <t>Soft Costs from Shovel Ready Plan</t>
  </si>
  <si>
    <t>CASH SOURCES, DEBT AND OPENING BALANCES</t>
  </si>
  <si>
    <t>Beginning Cash Balance</t>
  </si>
  <si>
    <t>Gross PPM Investor Subscriptions</t>
  </si>
  <si>
    <t>Cash Sponsor Co-Invest</t>
  </si>
  <si>
    <t>Usable Buyer Deposits — 20% of Price</t>
  </si>
  <si>
    <t>Restricted Deposit Release at Closings</t>
  </si>
  <si>
    <t>Balance Due from Buyers at Closings</t>
  </si>
  <si>
    <t>Cash Before Construction Loan Draw</t>
  </si>
  <si>
    <t>Construction Loan Draw</t>
  </si>
  <si>
    <t>Beginning Construction Loan Balance</t>
  </si>
  <si>
    <t>Beginning Seller Note Balance</t>
  </si>
  <si>
    <t>New Seller Note Issued — Noncash</t>
  </si>
  <si>
    <t>PROJECT CASH USES, SELLER PAYMENTS AND ENDING BALANCES</t>
  </si>
  <si>
    <t>Hard Costs</t>
  </si>
  <si>
    <t>Site Development</t>
  </si>
  <si>
    <t>Soft Costs — Entitlement / Construction Schedule</t>
  </si>
  <si>
    <t>Offering Legal, Investor Portal, Marketing &amp; Presentations</t>
  </si>
  <si>
    <t>Placement Agent Fee</t>
  </si>
  <si>
    <t>Construction Loan Origination Fee</t>
  </si>
  <si>
    <t>Property Tax Carry</t>
  </si>
  <si>
    <t>Real Estate Broker Commission</t>
  </si>
  <si>
    <t>Seller Mortgage Interest — 1% Monthly After Jan. 2027</t>
  </si>
  <si>
    <t>Construction Loan Interest</t>
  </si>
  <si>
    <t>Reserve / Liquidity Buffer</t>
  </si>
  <si>
    <t>Cash Before Seller-Note Payments</t>
  </si>
  <si>
    <t>Seller Note Payment from Excess PPM Proceeds</t>
  </si>
  <si>
    <t>Seller Note Payoff at Construction-Loan Closing</t>
  </si>
  <si>
    <t>Cash After Seller-Note Payments</t>
  </si>
  <si>
    <t>Construction Loan Repayment</t>
  </si>
  <si>
    <t>Seller Note Payoff at Final Unit Closings</t>
  </si>
  <si>
    <t>Cash Before Equity Distribution</t>
  </si>
  <si>
    <t>Total Cash Available to Equity Waterfalls</t>
  </si>
  <si>
    <t>Total Cash Uses</t>
  </si>
  <si>
    <t>Ending Cash Balance</t>
  </si>
  <si>
    <t>Ending Construction Loan Balance</t>
  </si>
  <si>
    <t>Ending Seller Note Balance</t>
  </si>
  <si>
    <t>Unused Construction Loan Commitment</t>
  </si>
  <si>
    <t>Funding Shortfall Check</t>
  </si>
  <si>
    <t>FINANCING, SELLER NOTE, SALES PROCEEDS &amp; EQUITY RETURNS</t>
  </si>
  <si>
    <t>PROJECT SOURCES &amp; USES</t>
  </si>
  <si>
    <t>FINANCING AND SELLER-NOTE METRICS</t>
  </si>
  <si>
    <t>Uses / Repayments</t>
  </si>
  <si>
    <t>Sources</t>
  </si>
  <si>
    <t>Metric</t>
  </si>
  <si>
    <t>Development Cost — Includes $4.0M Land</t>
  </si>
  <si>
    <t>Seller Equity Rollover — Noncash Units</t>
  </si>
  <si>
    <t>Net PPM Project Proceeds</t>
  </si>
  <si>
    <t>Seller Financing Issued — Noncash</t>
  </si>
  <si>
    <t>Seller Note Issued</t>
  </si>
  <si>
    <t>Construction-Loan Origination Fee</t>
  </si>
  <si>
    <t>Usable Buyer Deposits — 20%</t>
  </si>
  <si>
    <t>Seller Note Paid from PPM Proceeds</t>
  </si>
  <si>
    <t>Construction Interest</t>
  </si>
  <si>
    <t>Buyer Closing Payments</t>
  </si>
  <si>
    <t>Seller Note at Construction-Loan Closing</t>
  </si>
  <si>
    <t>Property-Tax Carry</t>
  </si>
  <si>
    <t>Construction Loan Draws</t>
  </si>
  <si>
    <t>Total Sources</t>
  </si>
  <si>
    <t>Seller Mortgage Interest</t>
  </si>
  <si>
    <t>Sources / Uses Reconciliation</t>
  </si>
  <si>
    <t>Total All-In Project Cost</t>
  </si>
  <si>
    <t>Cash Sources Excluding Seller Financing</t>
  </si>
  <si>
    <t>Maximum Construction Loan Balance</t>
  </si>
  <si>
    <t>Construction Loan-to-Cost</t>
  </si>
  <si>
    <t>Seller Note Repayment</t>
  </si>
  <si>
    <t>Funding Shortfall</t>
  </si>
  <si>
    <t>Total Uses, Repayments &amp; Distributions</t>
  </si>
  <si>
    <t>SALES ECONOMICS</t>
  </si>
  <si>
    <t>PROJECT &amp; INVESTOR RETURN METRICS — NO PREFERRED RETURN</t>
  </si>
  <si>
    <t>Amount</t>
  </si>
  <si>
    <t>Sellable Area (SF)</t>
  </si>
  <si>
    <t>Gross Sellout Revenue</t>
  </si>
  <si>
    <t>Sale Price / SF</t>
  </si>
  <si>
    <t>Net Development Profit</t>
  </si>
  <si>
    <t>Total Buyer Deposits</t>
  </si>
  <si>
    <t>Gross PPM Investor Capital</t>
  </si>
  <si>
    <t>Usable Buyer Deposits</t>
  </si>
  <si>
    <t>Total Equity Distribution</t>
  </si>
  <si>
    <t>Restricted Deposits Released at Closing</t>
  </si>
  <si>
    <t>Investor Distribution</t>
  </si>
  <si>
    <t>Remaining 70% Collected at Closing</t>
  </si>
  <si>
    <t>Investor Profit ROI</t>
  </si>
  <si>
    <t>Investor Equity Multiple</t>
  </si>
  <si>
    <t>Net Sales Cash Before Debt Payoff</t>
  </si>
  <si>
    <t>Investor Annualized IRR</t>
  </si>
  <si>
    <t>Profit Margin on Gross Sales</t>
  </si>
  <si>
    <t>SALE-PRICE SENSITIVITY — NO PREFERRED RETURN, PERFORMANCE-BASED PROMOTE</t>
  </si>
  <si>
    <t>Sensitivity holds base project costs, seller-financing structure, construction financing and timing constant. Investors receive capital back first; residual profit is split using the performance-based promote table.</t>
  </si>
  <si>
    <t>Scenario</t>
  </si>
  <si>
    <t>Gross Revenue</t>
  </si>
  <si>
    <t>Total Cash to Equity</t>
  </si>
  <si>
    <t>Cash Available to PPM</t>
  </si>
  <si>
    <t>Investor EM</t>
  </si>
  <si>
    <t>Investor ROI</t>
  </si>
  <si>
    <t>Conservative</t>
  </si>
  <si>
    <t>Base</t>
  </si>
  <si>
    <t>Target</t>
  </si>
  <si>
    <t>Upside</t>
  </si>
  <si>
    <t>NORTH EUSTIS MEDICAL PLAZA — SELLER-FINANCED LAND &amp; PERFORMANCE WATERFALL</t>
  </si>
  <si>
    <t>$4.0M land consideration | $1.0M seller equity rollover / units + $3.0M seller mortgage | No preferred return | Investors receive capital back first, then residual profit is split by performance tier</t>
  </si>
  <si>
    <t>Gross PPM Subscriptions</t>
  </si>
  <si>
    <t>Shovel-Ready / Soft Costs</t>
  </si>
  <si>
    <t>Seller Note Payments</t>
  </si>
  <si>
    <t>Seller Note Balance</t>
  </si>
  <si>
    <t>Construction Loan Balance</t>
  </si>
  <si>
    <t>PROJECT &amp; TIMELINE</t>
  </si>
  <si>
    <t>CAPITAL, SELLER NOTE &amp; RETURNS</t>
  </si>
  <si>
    <t>PPM Launch</t>
  </si>
  <si>
    <t>Title Transfer Month</t>
  </si>
  <si>
    <t>Net PPM Proceeds</t>
  </si>
  <si>
    <t>Shovel-Ready / Final Plat Month</t>
  </si>
  <si>
    <t>PPM-Funded Seller Note Payments</t>
  </si>
  <si>
    <t>Seller Note at Loan Closing</t>
  </si>
  <si>
    <t>Binding Deposit Month</t>
  </si>
  <si>
    <t>Unit Closing Month</t>
  </si>
  <si>
    <t>Raise Schedule Total</t>
  </si>
  <si>
    <t>Shovel-Ready Soft-Cost Reconciliation</t>
  </si>
  <si>
    <t>Reservation Schedule</t>
  </si>
  <si>
    <t>Binding Contract Schedule</t>
  </si>
  <si>
    <t>Closing Schedule</t>
  </si>
  <si>
    <t>PPM EQUITY RAISE, INVESTOR ACQUISITION BUDGET &amp; ILLUSTRATIVE WATERFALL</t>
  </si>
  <si>
    <t>The PPM is the offering disclosure document—not the project owner. Investors purchase interests in the issuer/holding LLC; a project-owner/borrower LLC owns the land and development.</t>
  </si>
  <si>
    <t>PPM SOURCES &amp; USES — ROLLING PROCEEDS AND SELLER-FINANCED LAND</t>
  </si>
  <si>
    <t>SECURITIES / MARKETING COMPLIANCE — COUNSEL TO CONFIRM</t>
  </si>
  <si>
    <t>Use of Proceeds</t>
  </si>
  <si>
    <t>Basis</t>
  </si>
  <si>
    <t>Comment</t>
  </si>
  <si>
    <t>Item</t>
  </si>
  <si>
    <t>Model Status</t>
  </si>
  <si>
    <t>Official Source</t>
  </si>
  <si>
    <t>Land Closing Costs at Early Title Transfer</t>
  </si>
  <si>
    <t>Land price is financed by a related-party seller note</t>
  </si>
  <si>
    <t>Issuer and project owner</t>
  </si>
  <si>
    <t>PPM is a disclosure document; issuer/project LLCs hold ownership and obligations</t>
  </si>
  <si>
    <t>To be finalized by corporate and securities counsel</t>
  </si>
  <si>
    <t>Shovel-Ready Soft Costs — Months 1–12</t>
  </si>
  <si>
    <t>Shovel Ready Plan</t>
  </si>
  <si>
    <t>Entitlements, platting, utility, permit and design work</t>
  </si>
  <si>
    <t>Rule 506(c) marketing</t>
  </si>
  <si>
    <t>Broad solicitation permitted only if all purchasers are accredited and verified</t>
  </si>
  <si>
    <t>https://www.sec.gov/resources-small-businesses/exempt-offerings/general-solicitation-rule-506c</t>
  </si>
  <si>
    <t>PPM Legal / Offering / Administration</t>
  </si>
  <si>
    <t>Securities counsel, offering documents and administration</t>
  </si>
  <si>
    <t>Accredited verification</t>
  </si>
  <si>
    <t>Issuer must take reasonable verification steps</t>
  </si>
  <si>
    <t>https://www.sec.gov/resources-small-businesses/capital-raising-building-blocks/assessing-accredited-investors-under-regulation-d</t>
  </si>
  <si>
    <t>Investor Marketing / Digital Lead Generation</t>
  </si>
  <si>
    <t>Compliant investor outreach and materials</t>
  </si>
  <si>
    <t>Placement-agent compensation</t>
  </si>
  <si>
    <t>Use a registered broker-dealer / placement agent for transaction-based fees</t>
  </si>
  <si>
    <t>https://www.finra.org/rules-guidance/rulebooks/finra-rules/2040</t>
  </si>
  <si>
    <t>Hotel Presentations / Investor Roadshows</t>
  </si>
  <si>
    <t>Venue, audiovisual and presentation expenses</t>
  </si>
  <si>
    <t>Private-placement broker obligations</t>
  </si>
  <si>
    <t>Placement agent performs its own compliance, diligence and filing analysis</t>
  </si>
  <si>
    <t>https://www.finra.org/rules-guidance/key-topics/private-placements</t>
  </si>
  <si>
    <t>Domestic &amp; Foreign Investor Travel</t>
  </si>
  <si>
    <t>Investor meetings and travel</t>
  </si>
  <si>
    <t>Foreign investor outreach</t>
  </si>
  <si>
    <t>Counsel must assess Regulation S and each investor's local offering laws</t>
  </si>
  <si>
    <t>https://www.sec.gov/rules-regulations/1998/02/offshore-offers-sales-regulation-s-effective-date-60-days-after-publication-federal-register</t>
  </si>
  <si>
    <t>Property Tax Carry — Months 1–12</t>
  </si>
  <si>
    <t>Monthly Operations</t>
  </si>
  <si>
    <t>Tax carry after early title transfer and before construction financing</t>
  </si>
  <si>
    <t>Form D</t>
  </si>
  <si>
    <t>Federal filing generally due after first sale; counsel to calendar</t>
  </si>
  <si>
    <t>https://www.sec.gov/resources-small-businesses/exempt-offerings/filing-form-d-notice</t>
  </si>
  <si>
    <t>Planned Seller-Note Paydown from Net PPM Proceeds</t>
  </si>
  <si>
    <t>Excess proceeds after current invoices and forecast entitlement liquidity</t>
  </si>
  <si>
    <t>Florida Rule 506 notice</t>
  </si>
  <si>
    <t>Florida currently states no separate state notice or fee</t>
  </si>
  <si>
    <t>https://flofr.gov/divisions-offices/division-of-securities</t>
  </si>
  <si>
    <t>Total Net Uses</t>
  </si>
  <si>
    <t>Sum of uses</t>
  </si>
  <si>
    <t>Maximum subscriptions accepted</t>
  </si>
  <si>
    <t>Net PPM Proceeds Available to Project</t>
  </si>
  <si>
    <t>PLACEMENT FEE SENSITIVITY — FIXED $4.5 MILLION MAXIMUM OFFERING</t>
  </si>
  <si>
    <t>5.0% Low</t>
  </si>
  <si>
    <t>7.5% Base</t>
  </si>
  <si>
    <t>10.0% High</t>
  </si>
  <si>
    <t>Gross Offering</t>
  </si>
  <si>
    <t>Placement Fee</t>
  </si>
  <si>
    <t>Net Project Proceeds</t>
  </si>
  <si>
    <t>ILLUSTRATIVE INVESTOR WATERFALL — CAPITAL BACK FIRST, PERFORMANCE-BASED PROMOTE</t>
  </si>
  <si>
    <t>Amount / Return</t>
  </si>
  <si>
    <t>PPM Investor Capital</t>
  </si>
  <si>
    <t>Total Cash Available to Equity</t>
  </si>
  <si>
    <t>Return of $1.0M Land Equity Contribution</t>
  </si>
  <si>
    <t>Cash Available to PPM Waterfall</t>
  </si>
  <si>
    <t>Return of PPM Investor Capital</t>
  </si>
  <si>
    <t>Residual Profit After Capital Return</t>
  </si>
  <si>
    <t>Investor Share of Residual Profit</t>
  </si>
  <si>
    <t>Total Investor Distribution</t>
  </si>
  <si>
    <t>PERFORMANCE-BASED PROFIT SPLIT TABLE</t>
  </si>
  <si>
    <t>LP Net Equity Multiple</t>
  </si>
  <si>
    <t>LP / Investor Share</t>
  </si>
  <si>
    <t>Application</t>
  </si>
  <si>
    <t>Up to 1.70x</t>
  </si>
  <si>
    <t>First residual-profit tier after PPM investor capital is returned.</t>
  </si>
  <si>
    <t>1.70x to 2.00x</t>
  </si>
  <si>
    <t>Next incremental residual-profit tier.</t>
  </si>
  <si>
    <t>2.00x to 2.25x</t>
  </si>
  <si>
    <t>Above 2.25x</t>
  </si>
  <si>
    <t>All remaining upside.</t>
  </si>
  <si>
    <t>ROLLING OFFERING AND SELLER-FINANCING SUMMARY</t>
  </si>
  <si>
    <t>Offering Minimum</t>
  </si>
  <si>
    <t>First Subscription Closing</t>
  </si>
  <si>
    <t>Gross Maximum Offering</t>
  </si>
  <si>
    <t>Total Placement Fees</t>
  </si>
  <si>
    <t>Land Seller Mortgage Issued</t>
  </si>
  <si>
    <t>PPM-Funded Land Payments</t>
  </si>
  <si>
    <t>Seller Note Paid at Final Unit Closings</t>
  </si>
  <si>
    <t>PROPOSED ENTITY, OWNERSHIP, LAND TRANSFER &amp; FEE STRUCTURE</t>
  </si>
  <si>
    <t>Illustrative business structure based on the current model. Final entities, seller-note documents, lender collateral, tax treatment and offering disclosures are controlled by counsel and the executed agreements.</t>
  </si>
  <si>
    <t>OWNERSHIP AND CONTROL</t>
  </si>
  <si>
    <t>Party / Document</t>
  </si>
  <si>
    <t>Role</t>
  </si>
  <si>
    <t>Owns / Controls</t>
  </si>
  <si>
    <t>Key Obligations</t>
  </si>
  <si>
    <t>PPM</t>
  </si>
  <si>
    <t>Offering disclosure document</t>
  </si>
  <si>
    <t>Nothing directly</t>
  </si>
  <si>
    <t>Discloses offering, risks, seller financing, fees and investor rights</t>
  </si>
  <si>
    <t>Issuer / Holding LLC</t>
  </si>
  <si>
    <t>Sells membership interests</t>
  </si>
  <si>
    <t>Project Owner LLC</t>
  </si>
  <si>
    <t>Accepts subscriptions and makes investor distributions</t>
  </si>
  <si>
    <t>Project Owner / Borrower LLC</t>
  </si>
  <si>
    <t>Single-purpose project entity</t>
  </si>
  <si>
    <t>Land, approvals, improvements and sales proceeds</t>
  </si>
  <si>
    <t>Receives title in Month 1 and signs seller note and construction loan</t>
  </si>
  <si>
    <t>Company owned by Johann and partner</t>
  </si>
  <si>
    <t>$1.0M project units + $3.0M seller mortgage until paid</t>
  </si>
  <si>
    <t>Transfers land at $4.0M modeled value; $1.0M contributed for units and $3.0M financed by seller mortgage</t>
  </si>
  <si>
    <t>Managing Member / GP</t>
  </si>
  <si>
    <t>Sponsor-controlled manager</t>
  </si>
  <si>
    <t>Project governance and management rights</t>
  </si>
  <si>
    <t>Runs entitlements, financing, construction and sales</t>
  </si>
  <si>
    <t>Registered Placement Agent</t>
  </si>
  <si>
    <t>Raises investor equity</t>
  </si>
  <si>
    <t>No project ownership unless separately invested</t>
  </si>
  <si>
    <t>Receives disclosed placement fee</t>
  </si>
  <si>
    <t>Real Estate Sales Broker</t>
  </si>
  <si>
    <t>Markets and sells fee-simple bays</t>
  </si>
  <si>
    <t>No project ownership</t>
  </si>
  <si>
    <t>Receives 5% commission on completed bay sales</t>
  </si>
  <si>
    <t>RELATED-PARTY LAND SALE AND SELLER NOTE</t>
  </si>
  <si>
    <t>Term</t>
  </si>
  <si>
    <t>Current Assumption</t>
  </si>
  <si>
    <t>Timing</t>
  </si>
  <si>
    <t>Economic Effect</t>
  </si>
  <si>
    <t>Documentation / Lender Point</t>
  </si>
  <si>
    <t>Land Purchase Price</t>
  </si>
  <si>
    <t>Fixed</t>
  </si>
  <si>
    <t>Included in development cost; $1.0M noncash equity contribution + $3.0M seller mortgage</t>
  </si>
  <si>
    <t>Related-party price and conflict disclosed</t>
  </si>
  <si>
    <t>Title Transfer</t>
  </si>
  <si>
    <t>Month 1</t>
  </si>
  <si>
    <t>Project owns the site during entitlements</t>
  </si>
  <si>
    <t>Deed and seller-note closing documents</t>
  </si>
  <si>
    <t>Seller Mortgage Rate After Jan. 2027</t>
  </si>
  <si>
    <t>Monthly on unpaid principal</t>
  </si>
  <si>
    <t>1% per month beginning February 2027 until seller mortgage is paid</t>
  </si>
  <si>
    <t>Tax and accounting treatment to be confirmed</t>
  </si>
  <si>
    <t>PPM-Funded Principal Payments</t>
  </si>
  <si>
    <t>October 2026–January 2027</t>
  </si>
  <si>
    <t>PPM proceeds pay seller principal after current project costs and pre-loan cash coverage</t>
  </si>
  <si>
    <t>Current invoices and entitlement liquidity paid first</t>
  </si>
  <si>
    <t>Balance at Construction Loan Closing</t>
  </si>
  <si>
    <t>Month 13</t>
  </si>
  <si>
    <t>May remain subordinated</t>
  </si>
  <si>
    <t>Construction lender must approve</t>
  </si>
  <si>
    <t>Final Payoff</t>
  </si>
  <si>
    <t>Unit closings</t>
  </si>
  <si>
    <t>Paid after construction lender</t>
  </si>
  <si>
    <t>Closing waterfall documented</t>
  </si>
  <si>
    <t>Potential Unit Collateral</t>
  </si>
  <si>
    <t>Designated unsold units if required</t>
  </si>
  <si>
    <t>Construction financing</t>
  </si>
  <si>
    <t>No modeled cash cost</t>
  </si>
  <si>
    <t>Only if accepted by lender and counsel</t>
  </si>
  <si>
    <t>Estimated Land Closing Costs</t>
  </si>
  <si>
    <t>Cash project cost</t>
  </si>
  <si>
    <t>Estimated; final title statement controls</t>
  </si>
  <si>
    <t>SPONSOR, SALES AND CAPITAL-RAISING COMPENSATION</t>
  </si>
  <si>
    <t>Compensation Item</t>
  </si>
  <si>
    <t>Rate / Budget</t>
  </si>
  <si>
    <t>Current Amount</t>
  </si>
  <si>
    <t>Recipient / Purpose</t>
  </si>
  <si>
    <t>Hard costs total</t>
  </si>
  <si>
    <t>Sponsor / developer</t>
  </si>
  <si>
    <t>Sponsor / construction-management affiliate</t>
  </si>
  <si>
    <t>Residual Profit Split — Investors</t>
  </si>
  <si>
    <t>Residual after capital and pref</t>
  </si>
  <si>
    <t>PPM investors</t>
  </si>
  <si>
    <t>Residual Profit Split — GP</t>
  </si>
  <si>
    <t>Gross bay sales</t>
  </si>
  <si>
    <t>Real estate brokerage</t>
  </si>
  <si>
    <t>Fixed project budget</t>
  </si>
  <si>
    <t>Project-level buyer marketing</t>
  </si>
  <si>
    <t>Gross PPM raise</t>
  </si>
  <si>
    <t>Registered broker-dealer / placement agent</t>
  </si>
  <si>
    <t>Investor Marketing / Digital</t>
  </si>
  <si>
    <t>Fixed PPM budget</t>
  </si>
  <si>
    <t>Accredited-investor marketing</t>
  </si>
  <si>
    <t>Roadshows &amp; Foreign Travel</t>
  </si>
  <si>
    <t>Hotel events, meetings and travel</t>
  </si>
  <si>
    <t>Priority of funds in the revised model: (1) current entitlement and development invoices; (2) forecast liquidity needed to keep shovel-ready work moving; (3) partial payments on the related-party seller note; (4) construction lender repayment at unit closings; (5) remaining seller note payoff; (6) investor capital is returned first; and (7) remaining profits are split through the performance-based GP promote table. The prior 8% preferred return has been removed for simplicity.</t>
  </si>
  <si>
    <t>PPM CAPITAL RAISE SCHEDULE — ROLLING INVESTOR CLOSINGS</t>
  </si>
  <si>
    <t>Base case: PPM launches in October 2026. Investor subscriptions close over four months through January 2027, and accepted closings are available for disclosed project expenses and seller-mortgage paydown.</t>
  </si>
  <si>
    <t>INVESTOR SUBSCRIPTIONS AND NET PROJECT PROCEEDS</t>
  </si>
  <si>
    <t>Monthly % of Gross Raise</t>
  </si>
  <si>
    <t>Gross Investor Subscriptions</t>
  </si>
  <si>
    <t>Net Offering Proceeds</t>
  </si>
  <si>
    <t>Cumulative Gross Subscriptions</t>
  </si>
  <si>
    <t>Cumulative Net Proceeds</t>
  </si>
  <si>
    <t>Investor Cash Flow</t>
  </si>
  <si>
    <t>SHOVEL-READY PLAN — ENTITLEMENTS, PLATTING, PERMITS &amp; SOFT-COST SCHEDULE</t>
  </si>
  <si>
    <t>Target: complete the entitlement, final-plat, utility, access, construction-document, permit and financing-readiness work within 12 months. Construction-period soft costs are shown in Months 13–24 so the total schedule reconciles to the Project Cost worksheet.</t>
  </si>
  <si>
    <t>Total</t>
  </si>
  <si>
    <t>SOFT-COST CASH SCHEDULE</t>
  </si>
  <si>
    <t>Flood-Zone Elevation Certificate</t>
  </si>
  <si>
    <t>Legal, Title, Plat &amp; Sale Documents</t>
  </si>
  <si>
    <t>TOTAL SOFT COSTS</t>
  </si>
  <si>
    <t>Reconciliation Check</t>
  </si>
  <si>
    <t>Expected</t>
  </si>
  <si>
    <t>Scheduled Soft Costs</t>
  </si>
  <si>
    <t>Difference</t>
  </si>
  <si>
    <t>Should equal zero</t>
  </si>
  <si>
    <t>SHOVEL-READY MILESTONES</t>
  </si>
  <si>
    <t>Milestone</t>
  </si>
  <si>
    <t>Target Month</t>
  </si>
  <si>
    <t>Status</t>
  </si>
  <si>
    <t>Responsible Party</t>
  </si>
  <si>
    <t>Dependency</t>
  </si>
  <si>
    <t>Notes</t>
  </si>
  <si>
    <t>Title transferred to Project Owner LLC with seller note</t>
  </si>
  <si>
    <t>Planned</t>
  </si>
  <si>
    <t>Seller / Project Owner</t>
  </si>
  <si>
    <t>Closing documents</t>
  </si>
  <si>
    <t>Related-party land transaction</t>
  </si>
  <si>
    <t>Boundary, topographic and ALTA survey complete</t>
  </si>
  <si>
    <t>Surveyor</t>
  </si>
  <si>
    <t>Property access</t>
  </si>
  <si>
    <t>Environmental and geotechnical investigations complete</t>
  </si>
  <si>
    <t>Consultants</t>
  </si>
  <si>
    <t>Site access</t>
  </si>
  <si>
    <t>Site plan and preliminary plat submitted</t>
  </si>
  <si>
    <t>Civil engineer</t>
  </si>
  <si>
    <t>Survey and concept plan</t>
  </si>
  <si>
    <t>Utility capacity and concurrency confirmations</t>
  </si>
  <si>
    <t>Civil engineer / utilities</t>
  </si>
  <si>
    <t>Preliminary design</t>
  </si>
  <si>
    <t>Stormwater and access comments substantially resolved</t>
  </si>
  <si>
    <t>Agency review</t>
  </si>
  <si>
    <t>Building plans substantially complete</t>
  </si>
  <si>
    <t>Architect / engineers</t>
  </si>
  <si>
    <t>Site-plan coordination</t>
  </si>
  <si>
    <t>Final plat approved and recorded</t>
  </si>
  <si>
    <t>Civil engineer / counsel</t>
  </si>
  <si>
    <t>Infrastructure security if required</t>
  </si>
  <si>
    <t>Building permit ready to issue</t>
  </si>
  <si>
    <t>Architect / contractor</t>
  </si>
  <si>
    <t>Final plans and fees</t>
  </si>
  <si>
    <t>Final construction pricing / GMP complete</t>
  </si>
  <si>
    <t>Contractor / GP</t>
  </si>
  <si>
    <t>Permit-ready documents</t>
  </si>
  <si>
    <t>Construction-loan conditions satisfied</t>
  </si>
  <si>
    <t>GP / lender</t>
  </si>
  <si>
    <t>Shovel-ready approvals and budget</t>
  </si>
  <si>
    <t>Construction loan closes and vertical work begins</t>
  </si>
  <si>
    <t>Project Owner / lender</t>
  </si>
  <si>
    <t>Shovel-ready milestone</t>
  </si>
  <si>
    <t>RELATED-PARTY LAND SELLER FINANCING SCHEDULE</t>
  </si>
  <si>
    <t>The land transfers to the Project Owner LLC in Month 1 at a $4.0 million value: $1.0 million is contributed for project units and a $3.0 million seller mortgage is issued. The PPM has through January 2027 to pay the mortgage; beginning February 2027, unpaid principal bears 1% interest per month until paid.</t>
  </si>
  <si>
    <t>SELLER NOTE ACTIVITY</t>
  </si>
  <si>
    <t>New Seller Note Issued</t>
  </si>
  <si>
    <t>Payoff at Construction-Loan Closing</t>
  </si>
  <si>
    <t>Payoff at Final Unit Closings</t>
  </si>
  <si>
    <t>Seller Mortgage Interest Expense</t>
  </si>
  <si>
    <t>SELLER FINANCING METRICS</t>
  </si>
  <si>
    <t>Seller Note Principal</t>
  </si>
  <si>
    <t>Interest Rate</t>
  </si>
  <si>
    <t>Payments from PPM Proceeds</t>
  </si>
  <si>
    <t>Outstanding at Construction-Loan Closing</t>
  </si>
  <si>
    <t>Land Closing Costs</t>
  </si>
  <si>
    <t>Total Seller Mortgage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</si>
</sst>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mm/dd/yyyy"/>
    <numFmt numFmtId="165" formatCode="#,##0;[Red]\(#,##0\);\-"/>
    <numFmt numFmtId="166" formatCode="0.0%;[Red]\(0.0%\);\-"/>
    <numFmt numFmtId="167" formatCode="\$0.00;[Red]\(\$0.00\);\-"/>
    <numFmt numFmtId="168" formatCode="\$#,##0;[Red]\(\$#,##0\);\-"/>
    <numFmt numFmtId="169" formatCode="\$#,##0.00;[Red]\(\$#,##0.00\);\-"/>
    <numFmt numFmtId="170" formatCode="0.00\x"/>
    <numFmt numFmtId="171" formatCode="\$0"/>
  </numFmts>
  <fonts count="10">
    <font>
      <sz val="11"/>
      <name val="Carlito"/>
    </font>
    <font>
      <b/>
      <sz val="15"/>
      <color rgb="FFFFFFFF"/>
      <name val="Carlito"/>
    </font>
    <font>
      <i/>
      <sz val="11"/>
      <color rgb="FF666666"/>
      <name val="Carlito"/>
    </font>
    <font>
      <b/>
      <sz val="11"/>
      <color rgb="FFFFFFFF"/>
      <name val="Carlito"/>
    </font>
    <font>
      <b/>
      <sz val="11"/>
      <color rgb="FF000000"/>
      <name val="Carlito"/>
    </font>
    <font>
      <sz val="11"/>
      <color rgb="FF0000FF"/>
      <name val="Carlito"/>
    </font>
    <font>
      <sz val="11"/>
      <color rgb="FF000000"/>
      <name val="Carlito"/>
    </font>
    <font>
      <b/>
      <sz val="11"/>
      <name val="Carlito"/>
    </font>
    <font>
      <b/>
      <sz val="11"/>
      <color rgb="FF9C0006"/>
      <name val="Carlito"/>
    </font>
    <font>
      <b/>
      <sz val="11"/>
      <color rgb="FF17365D"/>
      <name val="Carlito"/>
    </font>
  </fonts>
  <fills count="9">
    <fill>
      <patternFill patternType="none"/>
    </fill>
    <fill>
      <patternFill patternType="gray125"/>
    </fill>
    <fill>
      <patternFill patternType="solid">
        <fgColor rgb="FFFCE4D6"/>
      </patternFill>
    </fill>
    <fill>
      <patternFill patternType="solid">
        <fgColor rgb="FFE7E6E6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EAF3F8"/>
      </patternFill>
    </fill>
    <fill>
      <patternFill patternType="solid">
        <fgColor rgb="FF17365D"/>
      </patternFill>
    </fill>
    <fill>
      <patternFill patternType="solid">
        <fgColor rgb="FFE2F0D9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165" fontId="6" fillId="0" borderId="0" xfId="0" applyNumberFormat="1" applyFont="1" applyAlignment="1">
      <alignment wrapText="1"/>
    </xf>
    <xf numFmtId="2" fontId="6" fillId="0" borderId="0" xfId="0" applyNumberFormat="1" applyFont="1" applyAlignment="1">
      <alignment wrapText="1"/>
    </xf>
    <xf numFmtId="168" fontId="6" fillId="0" borderId="0" xfId="0" applyNumberFormat="1" applyFont="1" applyAlignment="1">
      <alignment wrapText="1"/>
    </xf>
    <xf numFmtId="166" fontId="6" fillId="0" borderId="0" xfId="0" applyNumberFormat="1" applyFont="1" applyAlignment="1">
      <alignment wrapText="1"/>
    </xf>
    <xf numFmtId="167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167" fontId="6" fillId="0" borderId="0" xfId="0" applyNumberFormat="1" applyFont="1" applyAlignment="1">
      <alignment wrapText="1"/>
    </xf>
    <xf numFmtId="168" fontId="0" fillId="0" borderId="0" xfId="0" applyNumberFormat="1"/>
    <xf numFmtId="165" fontId="0" fillId="0" borderId="0" xfId="0" applyNumberFormat="1" applyAlignment="1">
      <alignment wrapText="1"/>
    </xf>
    <xf numFmtId="168" fontId="0" fillId="0" borderId="0" xfId="0" applyNumberFormat="1" applyAlignment="1">
      <alignment wrapText="1"/>
    </xf>
    <xf numFmtId="170" fontId="0" fillId="0" borderId="0" xfId="0" applyNumberFormat="1" applyAlignment="1">
      <alignment wrapText="1"/>
    </xf>
    <xf numFmtId="17" fontId="0" fillId="0" borderId="0" xfId="0" applyNumberFormat="1" applyAlignment="1">
      <alignment wrapText="1"/>
    </xf>
    <xf numFmtId="0" fontId="4" fillId="3" borderId="1" xfId="0" applyFont="1" applyFill="1" applyBorder="1" applyAlignment="1">
      <alignment wrapText="1"/>
    </xf>
    <xf numFmtId="168" fontId="4" fillId="3" borderId="1" xfId="0" applyNumberFormat="1" applyFont="1" applyFill="1" applyBorder="1" applyAlignment="1">
      <alignment wrapText="1"/>
    </xf>
    <xf numFmtId="166" fontId="5" fillId="4" borderId="0" xfId="0" applyNumberFormat="1" applyFont="1" applyFill="1" applyAlignment="1">
      <alignment wrapText="1"/>
    </xf>
    <xf numFmtId="0" fontId="4" fillId="5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166" fontId="6" fillId="6" borderId="0" xfId="0" applyNumberFormat="1" applyFont="1" applyFill="1" applyAlignment="1">
      <alignment wrapText="1"/>
    </xf>
    <xf numFmtId="168" fontId="4" fillId="5" borderId="0" xfId="0" applyNumberFormat="1" applyFont="1" applyFill="1" applyAlignment="1">
      <alignment horizontal="center" vertical="center" wrapText="1"/>
    </xf>
    <xf numFmtId="0" fontId="0" fillId="8" borderId="0" xfId="0" applyFill="1" applyAlignment="1">
      <alignment wrapText="1"/>
    </xf>
    <xf numFmtId="165" fontId="4" fillId="5" borderId="0" xfId="0" applyNumberFormat="1" applyFont="1" applyFill="1" applyAlignment="1">
      <alignment horizontal="center" vertical="center" wrapText="1"/>
    </xf>
    <xf numFmtId="0" fontId="1" fillId="7" borderId="0" xfId="0" applyFont="1" applyFill="1" applyAlignment="1">
      <alignment horizontal="left" vertical="center" wrapText="1"/>
    </xf>
    <xf numFmtId="0" fontId="2" fillId="6" borderId="0" xfId="0" applyFont="1" applyFill="1" applyAlignment="1">
      <alignment wrapText="1"/>
    </xf>
    <xf numFmtId="0" fontId="1" fillId="7" borderId="0" xfId="0" applyFont="1" applyFill="1" applyAlignment="1">
      <alignment horizontal="left" vertical="center" wrapText="1"/>
    </xf>
    <xf numFmtId="0" fontId="2" fillId="6" borderId="0" xfId="0" applyFont="1" applyFill="1" applyAlignment="1">
      <alignment wrapText="1"/>
    </xf>
    <xf numFmtId="0" fontId="3" fillId="7" borderId="0" xfId="0" applyFont="1" applyFill="1" applyAlignment="1">
      <alignment horizontal="left" vertical="center" wrapText="1"/>
    </xf>
    <xf numFmtId="166" fontId="3" fillId="7" borderId="0" xfId="0" applyNumberFormat="1" applyFont="1" applyFill="1" applyAlignment="1">
      <alignment horizontal="left" vertical="center" wrapText="1"/>
    </xf>
    <xf numFmtId="168" fontId="3" fillId="7" borderId="0" xfId="0" applyNumberFormat="1" applyFont="1" applyFill="1" applyAlignment="1">
      <alignment horizontal="left" vertical="center" wrapText="1"/>
    </xf>
    <xf numFmtId="0" fontId="8" fillId="2" borderId="0" xfId="0" applyFont="1" applyFill="1" applyAlignment="1">
      <alignment wrapText="1"/>
    </xf>
    <xf numFmtId="166" fontId="8" fillId="2" borderId="0" xfId="0" applyNumberFormat="1" applyFont="1" applyFill="1" applyAlignment="1">
      <alignment wrapText="1"/>
    </xf>
    <xf numFmtId="168" fontId="8" fillId="2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5" fillId="4" borderId="0" xfId="0" applyNumberFormat="1" applyFont="1" applyFill="1" applyAlignment="1">
      <alignment wrapText="1"/>
    </xf>
    <xf numFmtId="165" fontId="5" fillId="4" borderId="0" xfId="0" applyNumberFormat="1" applyFont="1" applyFill="1" applyAlignment="1">
      <alignment wrapText="1"/>
    </xf>
    <xf numFmtId="167" fontId="5" fillId="4" borderId="0" xfId="0" applyNumberFormat="1" applyFont="1" applyFill="1" applyAlignment="1">
      <alignment wrapText="1"/>
    </xf>
    <xf numFmtId="166" fontId="6" fillId="4" borderId="0" xfId="0" applyNumberFormat="1" applyFont="1" applyFill="1" applyAlignment="1">
      <alignment wrapText="1"/>
    </xf>
    <xf numFmtId="168" fontId="5" fillId="4" borderId="0" xfId="0" applyNumberFormat="1" applyFont="1" applyFill="1" applyAlignment="1">
      <alignment wrapText="1"/>
    </xf>
    <xf numFmtId="169" fontId="5" fillId="4" borderId="0" xfId="0" applyNumberFormat="1" applyFont="1" applyFill="1" applyAlignment="1">
      <alignment wrapText="1"/>
    </xf>
    <xf numFmtId="167" fontId="3" fillId="7" borderId="0" xfId="0" applyNumberFormat="1" applyFont="1" applyFill="1" applyAlignment="1">
      <alignment horizontal="left" vertical="center" wrapText="1"/>
    </xf>
    <xf numFmtId="167" fontId="4" fillId="3" borderId="1" xfId="0" applyNumberFormat="1" applyFont="1" applyFill="1" applyBorder="1" applyAlignment="1">
      <alignment wrapText="1"/>
    </xf>
    <xf numFmtId="166" fontId="4" fillId="3" borderId="1" xfId="0" applyNumberFormat="1" applyFont="1" applyFill="1" applyBorder="1" applyAlignment="1">
      <alignment wrapText="1"/>
    </xf>
    <xf numFmtId="168" fontId="6" fillId="4" borderId="0" xfId="0" applyNumberFormat="1" applyFont="1" applyFill="1" applyAlignment="1">
      <alignment wrapText="1"/>
    </xf>
    <xf numFmtId="0" fontId="4" fillId="8" borderId="2" xfId="0" applyFont="1" applyFill="1" applyBorder="1" applyAlignment="1">
      <alignment wrapText="1"/>
    </xf>
    <xf numFmtId="168" fontId="4" fillId="8" borderId="2" xfId="0" applyNumberFormat="1" applyFont="1" applyFill="1" applyBorder="1" applyAlignment="1">
      <alignment wrapText="1"/>
    </xf>
    <xf numFmtId="167" fontId="4" fillId="8" borderId="2" xfId="0" applyNumberFormat="1" applyFont="1" applyFill="1" applyBorder="1" applyAlignment="1">
      <alignment wrapText="1"/>
    </xf>
    <xf numFmtId="166" fontId="4" fillId="8" borderId="2" xfId="0" applyNumberFormat="1" applyFont="1" applyFill="1" applyBorder="1" applyAlignment="1">
      <alignment wrapText="1"/>
    </xf>
    <xf numFmtId="17" fontId="4" fillId="5" borderId="0" xfId="0" applyNumberFormat="1" applyFont="1" applyFill="1" applyAlignment="1">
      <alignment horizontal="center" vertical="center" wrapText="1"/>
    </xf>
    <xf numFmtId="165" fontId="3" fillId="7" borderId="0" xfId="0" applyNumberFormat="1" applyFont="1" applyFill="1" applyAlignment="1">
      <alignment horizontal="left" vertical="center" wrapText="1"/>
    </xf>
    <xf numFmtId="0" fontId="7" fillId="8" borderId="2" xfId="0" applyFont="1" applyFill="1" applyBorder="1" applyAlignment="1">
      <alignment wrapText="1"/>
    </xf>
    <xf numFmtId="168" fontId="7" fillId="8" borderId="2" xfId="0" applyNumberFormat="1" applyFont="1" applyFill="1" applyBorder="1" applyAlignment="1">
      <alignment wrapText="1"/>
    </xf>
    <xf numFmtId="0" fontId="3" fillId="8" borderId="0" xfId="0" applyFont="1" applyFill="1" applyAlignment="1">
      <alignment horizontal="left" vertical="center" wrapText="1"/>
    </xf>
    <xf numFmtId="168" fontId="3" fillId="8" borderId="0" xfId="0" applyNumberFormat="1" applyFont="1" applyFill="1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168" fontId="4" fillId="8" borderId="0" xfId="0" applyNumberFormat="1" applyFont="1" applyFill="1" applyAlignment="1">
      <alignment horizontal="center" vertical="center" wrapText="1"/>
    </xf>
    <xf numFmtId="0" fontId="7" fillId="8" borderId="0" xfId="0" applyFont="1" applyFill="1" applyAlignment="1">
      <alignment wrapText="1"/>
    </xf>
    <xf numFmtId="0" fontId="4" fillId="5" borderId="0" xfId="0" applyFont="1" applyFill="1" applyAlignment="1">
      <alignment horizontal="center" vertical="center" wrapText="1"/>
    </xf>
    <xf numFmtId="168" fontId="4" fillId="5" borderId="0" xfId="0" applyNumberFormat="1" applyFont="1" applyFill="1" applyAlignment="1">
      <alignment horizontal="center" vertical="center" wrapText="1"/>
    </xf>
    <xf numFmtId="167" fontId="4" fillId="5" borderId="0" xfId="0" applyNumberFormat="1" applyFont="1" applyFill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 wrapText="1"/>
    </xf>
    <xf numFmtId="168" fontId="3" fillId="7" borderId="2" xfId="0" applyNumberFormat="1" applyFont="1" applyFill="1" applyBorder="1" applyAlignment="1">
      <alignment horizontal="left" vertical="center" wrapText="1"/>
    </xf>
    <xf numFmtId="168" fontId="0" fillId="8" borderId="0" xfId="0" applyNumberFormat="1" applyFill="1" applyAlignment="1">
      <alignment wrapText="1"/>
    </xf>
    <xf numFmtId="166" fontId="0" fillId="8" borderId="0" xfId="0" applyNumberFormat="1" applyFill="1" applyAlignment="1">
      <alignment wrapText="1"/>
    </xf>
    <xf numFmtId="170" fontId="0" fillId="8" borderId="0" xfId="0" applyNumberFormat="1" applyFill="1" applyAlignment="1">
      <alignment wrapText="1"/>
    </xf>
    <xf numFmtId="171" fontId="5" fillId="4" borderId="0" xfId="0" applyNumberFormat="1" applyFont="1" applyFill="1" applyAlignment="1">
      <alignment wrapText="1"/>
    </xf>
    <xf numFmtId="170" fontId="3" fillId="7" borderId="0" xfId="0" applyNumberFormat="1" applyFont="1" applyFill="1" applyAlignment="1">
      <alignment horizontal="left" vertical="center" wrapText="1"/>
    </xf>
    <xf numFmtId="0" fontId="4" fillId="8" borderId="0" xfId="0" applyFont="1" applyFill="1" applyAlignment="1">
      <alignment wrapText="1"/>
    </xf>
    <xf numFmtId="168" fontId="4" fillId="8" borderId="0" xfId="0" applyNumberFormat="1" applyFont="1" applyFill="1" applyAlignment="1">
      <alignment wrapText="1"/>
    </xf>
    <xf numFmtId="0" fontId="4" fillId="8" borderId="2" xfId="0" applyFont="1" applyFill="1" applyBorder="1" applyAlignment="1">
      <alignment horizontal="left" vertical="center" wrapText="1"/>
    </xf>
    <xf numFmtId="168" fontId="4" fillId="8" borderId="2" xfId="0" applyNumberFormat="1" applyFont="1" applyFill="1" applyBorder="1" applyAlignment="1">
      <alignment horizontal="left" vertical="center" wrapText="1"/>
    </xf>
    <xf numFmtId="166" fontId="4" fillId="5" borderId="0" xfId="0" applyNumberFormat="1" applyFont="1" applyFill="1" applyAlignment="1">
      <alignment horizontal="center" vertical="center" wrapText="1"/>
    </xf>
    <xf numFmtId="0" fontId="9" fillId="6" borderId="0" xfId="0" applyFont="1" applyFill="1" applyAlignment="1">
      <alignment wrapText="1"/>
    </xf>
    <xf numFmtId="168" fontId="9" fillId="6" borderId="0" xfId="0" applyNumberFormat="1" applyFont="1" applyFill="1" applyAlignment="1">
      <alignment wrapText="1"/>
    </xf>
    <xf numFmtId="0" fontId="4" fillId="8" borderId="0" xfId="0" applyFont="1" applyFill="1" applyAlignment="1">
      <alignment wrapText="1"/>
    </xf>
  </cellXfs>
  <cellStyles count="1">
    <cellStyle name="Normal" xfId="0" builtinId="0"/>
  </cellStyles>
  <dxfs count="14">
    <dxf>
      <font>
        <b/>
        <color rgb="FFC000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4D6"/>
        </patternFill>
      </fill>
    </dxf>
    <dxf>
      <font>
        <b/>
        <color rgb="FFC00000"/>
      </font>
      <fill>
        <patternFill>
          <bgColor rgb="FFFCE4D6"/>
        </patternFill>
      </fill>
    </dxf>
    <dxf>
      <fill>
        <patternFill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Gross PPM Subscriptions</c:v>
          </c:tx>
          <c:invertIfNegative val="1"/>
          <c:cat>
            <c:numRef>
              <c:f>Dashboard!$J$4:$J$27</c:f>
              <c:numCache>
                <c:formatCode>mmm\-yy</c:formatCode>
                <c:ptCount val="24"/>
                <c:pt idx="0">
                  <c:v>46296</c:v>
                </c:pt>
                <c:pt idx="1">
                  <c:v>46327</c:v>
                </c:pt>
                <c:pt idx="2">
                  <c:v>46357</c:v>
                </c:pt>
                <c:pt idx="3">
                  <c:v>46388</c:v>
                </c:pt>
                <c:pt idx="4">
                  <c:v>46419</c:v>
                </c:pt>
                <c:pt idx="5">
                  <c:v>46447</c:v>
                </c:pt>
                <c:pt idx="6">
                  <c:v>46478</c:v>
                </c:pt>
                <c:pt idx="7">
                  <c:v>46508</c:v>
                </c:pt>
                <c:pt idx="8">
                  <c:v>46539</c:v>
                </c:pt>
                <c:pt idx="9">
                  <c:v>46569</c:v>
                </c:pt>
                <c:pt idx="10">
                  <c:v>46600</c:v>
                </c:pt>
                <c:pt idx="11">
                  <c:v>46631</c:v>
                </c:pt>
                <c:pt idx="12">
                  <c:v>46661</c:v>
                </c:pt>
                <c:pt idx="13">
                  <c:v>46692</c:v>
                </c:pt>
                <c:pt idx="14">
                  <c:v>46722</c:v>
                </c:pt>
                <c:pt idx="15">
                  <c:v>46753</c:v>
                </c:pt>
                <c:pt idx="16">
                  <c:v>46784</c:v>
                </c:pt>
                <c:pt idx="17">
                  <c:v>46813</c:v>
                </c:pt>
                <c:pt idx="18">
                  <c:v>46844</c:v>
                </c:pt>
                <c:pt idx="19">
                  <c:v>46874</c:v>
                </c:pt>
                <c:pt idx="20">
                  <c:v>46905</c:v>
                </c:pt>
                <c:pt idx="21">
                  <c:v>46935</c:v>
                </c:pt>
                <c:pt idx="22">
                  <c:v>46966</c:v>
                </c:pt>
                <c:pt idx="23">
                  <c:v>46997</c:v>
                </c:pt>
              </c:numCache>
            </c:numRef>
          </c:cat>
          <c:val>
            <c:numRef>
              <c:f>Dashboard!$K$4:$K$27</c:f>
              <c:numCache>
                <c:formatCode>\$#,##0;[Red]\(\$#,##0\);\-</c:formatCode>
                <c:ptCount val="24"/>
                <c:pt idx="0">
                  <c:v>450000</c:v>
                </c:pt>
                <c:pt idx="1">
                  <c:v>900000</c:v>
                </c:pt>
                <c:pt idx="2">
                  <c:v>1350000</c:v>
                </c:pt>
                <c:pt idx="3">
                  <c:v>1800000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5D-46C5-8E6C-05F6C58E413A}"/>
            </c:ext>
          </c:extLst>
        </c:ser>
        <c:ser>
          <c:idx val="1"/>
          <c:order val="1"/>
          <c:tx>
            <c:v>Shovel-Ready / Soft Costs</c:v>
          </c:tx>
          <c:invertIfNegative val="1"/>
          <c:cat>
            <c:numRef>
              <c:f>Dashboard!$J$4:$J$27</c:f>
              <c:numCache>
                <c:formatCode>mmm\-yy</c:formatCode>
                <c:ptCount val="24"/>
                <c:pt idx="0">
                  <c:v>46296</c:v>
                </c:pt>
                <c:pt idx="1">
                  <c:v>46327</c:v>
                </c:pt>
                <c:pt idx="2">
                  <c:v>46357</c:v>
                </c:pt>
                <c:pt idx="3">
                  <c:v>46388</c:v>
                </c:pt>
                <c:pt idx="4">
                  <c:v>46419</c:v>
                </c:pt>
                <c:pt idx="5">
                  <c:v>46447</c:v>
                </c:pt>
                <c:pt idx="6">
                  <c:v>46478</c:v>
                </c:pt>
                <c:pt idx="7">
                  <c:v>46508</c:v>
                </c:pt>
                <c:pt idx="8">
                  <c:v>46539</c:v>
                </c:pt>
                <c:pt idx="9">
                  <c:v>46569</c:v>
                </c:pt>
                <c:pt idx="10">
                  <c:v>46600</c:v>
                </c:pt>
                <c:pt idx="11">
                  <c:v>46631</c:v>
                </c:pt>
                <c:pt idx="12">
                  <c:v>46661</c:v>
                </c:pt>
                <c:pt idx="13">
                  <c:v>46692</c:v>
                </c:pt>
                <c:pt idx="14">
                  <c:v>46722</c:v>
                </c:pt>
                <c:pt idx="15">
                  <c:v>46753</c:v>
                </c:pt>
                <c:pt idx="16">
                  <c:v>46784</c:v>
                </c:pt>
                <c:pt idx="17">
                  <c:v>46813</c:v>
                </c:pt>
                <c:pt idx="18">
                  <c:v>46844</c:v>
                </c:pt>
                <c:pt idx="19">
                  <c:v>46874</c:v>
                </c:pt>
                <c:pt idx="20">
                  <c:v>46905</c:v>
                </c:pt>
                <c:pt idx="21">
                  <c:v>46935</c:v>
                </c:pt>
                <c:pt idx="22">
                  <c:v>46966</c:v>
                </c:pt>
                <c:pt idx="23">
                  <c:v>46997</c:v>
                </c:pt>
              </c:numCache>
            </c:numRef>
          </c:cat>
          <c:val>
            <c:numRef>
              <c:f>Dashboard!$L$4:$L$27</c:f>
              <c:numCache>
                <c:formatCode>\$#,##0;[Red]\(\$#,##0\);\-</c:formatCode>
                <c:ptCount val="24"/>
                <c:pt idx="0">
                  <c:v>98336.994791666657</c:v>
                </c:pt>
                <c:pt idx="1">
                  <c:v>82336.994791666657</c:v>
                </c:pt>
                <c:pt idx="2">
                  <c:v>105989.45479166666</c:v>
                </c:pt>
                <c:pt idx="3">
                  <c:v>89989.454791666663</c:v>
                </c:pt>
                <c:pt idx="4">
                  <c:v>107661.91479166666</c:v>
                </c:pt>
                <c:pt idx="5">
                  <c:v>107661.91479166666</c:v>
                </c:pt>
                <c:pt idx="6">
                  <c:v>107661.91479166666</c:v>
                </c:pt>
                <c:pt idx="7">
                  <c:v>107661.91479166666</c:v>
                </c:pt>
                <c:pt idx="8">
                  <c:v>97661.914791666655</c:v>
                </c:pt>
                <c:pt idx="9">
                  <c:v>134714.37479166666</c:v>
                </c:pt>
                <c:pt idx="10">
                  <c:v>134714.37479166666</c:v>
                </c:pt>
                <c:pt idx="11">
                  <c:v>104861.91479166666</c:v>
                </c:pt>
                <c:pt idx="12">
                  <c:v>85001.273458333322</c:v>
                </c:pt>
                <c:pt idx="13">
                  <c:v>33093.176458333328</c:v>
                </c:pt>
                <c:pt idx="14">
                  <c:v>36257.079458333334</c:v>
                </c:pt>
                <c:pt idx="15">
                  <c:v>37839.030958333329</c:v>
                </c:pt>
                <c:pt idx="16">
                  <c:v>37839.030958333329</c:v>
                </c:pt>
                <c:pt idx="17">
                  <c:v>36257.079458333334</c:v>
                </c:pt>
                <c:pt idx="18">
                  <c:v>33093.176458333328</c:v>
                </c:pt>
                <c:pt idx="19">
                  <c:v>29929.273458333329</c:v>
                </c:pt>
                <c:pt idx="20">
                  <c:v>28347.321958333334</c:v>
                </c:pt>
                <c:pt idx="21">
                  <c:v>23601.467458333333</c:v>
                </c:pt>
                <c:pt idx="22">
                  <c:v>20437.564458333331</c:v>
                </c:pt>
                <c:pt idx="23">
                  <c:v>18855.612958333331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5D-46C5-8E6C-05F6C58E413A}"/>
            </c:ext>
          </c:extLst>
        </c:ser>
        <c:ser>
          <c:idx val="2"/>
          <c:order val="2"/>
          <c:tx>
            <c:v>Seller Note Payments</c:v>
          </c:tx>
          <c:invertIfNegative val="1"/>
          <c:cat>
            <c:numRef>
              <c:f>Dashboard!$J$4:$J$27</c:f>
              <c:numCache>
                <c:formatCode>mmm\-yy</c:formatCode>
                <c:ptCount val="24"/>
                <c:pt idx="0">
                  <c:v>46296</c:v>
                </c:pt>
                <c:pt idx="1">
                  <c:v>46327</c:v>
                </c:pt>
                <c:pt idx="2">
                  <c:v>46357</c:v>
                </c:pt>
                <c:pt idx="3">
                  <c:v>46388</c:v>
                </c:pt>
                <c:pt idx="4">
                  <c:v>46419</c:v>
                </c:pt>
                <c:pt idx="5">
                  <c:v>46447</c:v>
                </c:pt>
                <c:pt idx="6">
                  <c:v>46478</c:v>
                </c:pt>
                <c:pt idx="7">
                  <c:v>46508</c:v>
                </c:pt>
                <c:pt idx="8">
                  <c:v>46539</c:v>
                </c:pt>
                <c:pt idx="9">
                  <c:v>46569</c:v>
                </c:pt>
                <c:pt idx="10">
                  <c:v>46600</c:v>
                </c:pt>
                <c:pt idx="11">
                  <c:v>46631</c:v>
                </c:pt>
                <c:pt idx="12">
                  <c:v>46661</c:v>
                </c:pt>
                <c:pt idx="13">
                  <c:v>46692</c:v>
                </c:pt>
                <c:pt idx="14">
                  <c:v>46722</c:v>
                </c:pt>
                <c:pt idx="15">
                  <c:v>46753</c:v>
                </c:pt>
                <c:pt idx="16">
                  <c:v>46784</c:v>
                </c:pt>
                <c:pt idx="17">
                  <c:v>46813</c:v>
                </c:pt>
                <c:pt idx="18">
                  <c:v>46844</c:v>
                </c:pt>
                <c:pt idx="19">
                  <c:v>46874</c:v>
                </c:pt>
                <c:pt idx="20">
                  <c:v>46905</c:v>
                </c:pt>
                <c:pt idx="21">
                  <c:v>46935</c:v>
                </c:pt>
                <c:pt idx="22">
                  <c:v>46966</c:v>
                </c:pt>
                <c:pt idx="23">
                  <c:v>46997</c:v>
                </c:pt>
              </c:numCache>
            </c:numRef>
          </c:cat>
          <c:val>
            <c:numRef>
              <c:f>Dashboard!$M$4:$M$27</c:f>
              <c:numCache>
                <c:formatCode>\$#,##0;[Red]\(\$#,##0\);\-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2858319.4483695659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141680.55163043411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5D-46C5-8E6C-05F6C58E4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mm\-yy" sourceLinked="1"/>
        <c:majorTickMark val="none"/>
        <c:minorTickMark val="none"/>
        <c:tickLblPos val="nextTo"/>
        <c:crossAx val="48672768"/>
        <c:crosses val="autoZero"/>
        <c:auto val="1"/>
        <c:lblOffset val="100"/>
        <c:baseTimeUnit val="months"/>
        <c:majorUnit val="2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;[Red]\(\$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Seller Note Balance</c:v>
          </c:tx>
          <c:marker>
            <c:symbol val="none"/>
          </c:marker>
          <c:cat>
            <c:numRef>
              <c:f>Dashboard!$J$4:$J$27</c:f>
              <c:numCache>
                <c:formatCode>mmm\-yy</c:formatCode>
                <c:ptCount val="24"/>
                <c:pt idx="0">
                  <c:v>46296</c:v>
                </c:pt>
                <c:pt idx="1">
                  <c:v>46327</c:v>
                </c:pt>
                <c:pt idx="2">
                  <c:v>46357</c:v>
                </c:pt>
                <c:pt idx="3">
                  <c:v>46388</c:v>
                </c:pt>
                <c:pt idx="4">
                  <c:v>46419</c:v>
                </c:pt>
                <c:pt idx="5">
                  <c:v>46447</c:v>
                </c:pt>
                <c:pt idx="6">
                  <c:v>46478</c:v>
                </c:pt>
                <c:pt idx="7">
                  <c:v>46508</c:v>
                </c:pt>
                <c:pt idx="8">
                  <c:v>46539</c:v>
                </c:pt>
                <c:pt idx="9">
                  <c:v>46569</c:v>
                </c:pt>
                <c:pt idx="10">
                  <c:v>46600</c:v>
                </c:pt>
                <c:pt idx="11">
                  <c:v>46631</c:v>
                </c:pt>
                <c:pt idx="12">
                  <c:v>46661</c:v>
                </c:pt>
                <c:pt idx="13">
                  <c:v>46692</c:v>
                </c:pt>
                <c:pt idx="14">
                  <c:v>46722</c:v>
                </c:pt>
                <c:pt idx="15">
                  <c:v>46753</c:v>
                </c:pt>
                <c:pt idx="16">
                  <c:v>46784</c:v>
                </c:pt>
                <c:pt idx="17">
                  <c:v>46813</c:v>
                </c:pt>
                <c:pt idx="18">
                  <c:v>46844</c:v>
                </c:pt>
                <c:pt idx="19">
                  <c:v>46874</c:v>
                </c:pt>
                <c:pt idx="20">
                  <c:v>46905</c:v>
                </c:pt>
                <c:pt idx="21">
                  <c:v>46935</c:v>
                </c:pt>
                <c:pt idx="22">
                  <c:v>46966</c:v>
                </c:pt>
                <c:pt idx="23">
                  <c:v>46997</c:v>
                </c:pt>
              </c:numCache>
            </c:numRef>
          </c:cat>
          <c:val>
            <c:numRef>
              <c:f>Dashboard!$N$4:$N$27</c:f>
              <c:numCache>
                <c:formatCode>\$#,##0;[Red]\(\$#,##0\);\-</c:formatCode>
                <c:ptCount val="24"/>
                <c:pt idx="0">
                  <c:v>3000000</c:v>
                </c:pt>
                <c:pt idx="1">
                  <c:v>3000000</c:v>
                </c:pt>
                <c:pt idx="2">
                  <c:v>3000000</c:v>
                </c:pt>
                <c:pt idx="3">
                  <c:v>141680.55163043411</c:v>
                </c:pt>
                <c:pt idx="4">
                  <c:v>141680.55163043411</c:v>
                </c:pt>
                <c:pt idx="5">
                  <c:v>141680.55163043411</c:v>
                </c:pt>
                <c:pt idx="6">
                  <c:v>141680.55163043411</c:v>
                </c:pt>
                <c:pt idx="7">
                  <c:v>141680.55163043411</c:v>
                </c:pt>
                <c:pt idx="8">
                  <c:v>141680.55163043411</c:v>
                </c:pt>
                <c:pt idx="9">
                  <c:v>141680.55163043411</c:v>
                </c:pt>
                <c:pt idx="10">
                  <c:v>141680.55163043411</c:v>
                </c:pt>
                <c:pt idx="11">
                  <c:v>141680.55163043411</c:v>
                </c:pt>
                <c:pt idx="12">
                  <c:v>141680.55163043411</c:v>
                </c:pt>
                <c:pt idx="13">
                  <c:v>141680.55163043411</c:v>
                </c:pt>
                <c:pt idx="14">
                  <c:v>141680.55163043411</c:v>
                </c:pt>
                <c:pt idx="15">
                  <c:v>141680.55163043411</c:v>
                </c:pt>
                <c:pt idx="16">
                  <c:v>141680.55163043411</c:v>
                </c:pt>
                <c:pt idx="17">
                  <c:v>141680.55163043411</c:v>
                </c:pt>
                <c:pt idx="18">
                  <c:v>141680.55163043411</c:v>
                </c:pt>
                <c:pt idx="19">
                  <c:v>141680.55163043411</c:v>
                </c:pt>
                <c:pt idx="20">
                  <c:v>141680.55163043411</c:v>
                </c:pt>
                <c:pt idx="21">
                  <c:v>141680.55163043411</c:v>
                </c:pt>
                <c:pt idx="22">
                  <c:v>141680.55163043411</c:v>
                </c:pt>
                <c:pt idx="2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DD3-4CEE-A446-0124B8C590EB}"/>
            </c:ext>
          </c:extLst>
        </c:ser>
        <c:ser>
          <c:idx val="1"/>
          <c:order val="1"/>
          <c:tx>
            <c:v>Construction Loan Balance</c:v>
          </c:tx>
          <c:marker>
            <c:symbol val="none"/>
          </c:marker>
          <c:cat>
            <c:numRef>
              <c:f>Dashboard!$J$4:$J$27</c:f>
              <c:numCache>
                <c:formatCode>mmm\-yy</c:formatCode>
                <c:ptCount val="24"/>
                <c:pt idx="0">
                  <c:v>46296</c:v>
                </c:pt>
                <c:pt idx="1">
                  <c:v>46327</c:v>
                </c:pt>
                <c:pt idx="2">
                  <c:v>46357</c:v>
                </c:pt>
                <c:pt idx="3">
                  <c:v>46388</c:v>
                </c:pt>
                <c:pt idx="4">
                  <c:v>46419</c:v>
                </c:pt>
                <c:pt idx="5">
                  <c:v>46447</c:v>
                </c:pt>
                <c:pt idx="6">
                  <c:v>46478</c:v>
                </c:pt>
                <c:pt idx="7">
                  <c:v>46508</c:v>
                </c:pt>
                <c:pt idx="8">
                  <c:v>46539</c:v>
                </c:pt>
                <c:pt idx="9">
                  <c:v>46569</c:v>
                </c:pt>
                <c:pt idx="10">
                  <c:v>46600</c:v>
                </c:pt>
                <c:pt idx="11">
                  <c:v>46631</c:v>
                </c:pt>
                <c:pt idx="12">
                  <c:v>46661</c:v>
                </c:pt>
                <c:pt idx="13">
                  <c:v>46692</c:v>
                </c:pt>
                <c:pt idx="14">
                  <c:v>46722</c:v>
                </c:pt>
                <c:pt idx="15">
                  <c:v>46753</c:v>
                </c:pt>
                <c:pt idx="16">
                  <c:v>46784</c:v>
                </c:pt>
                <c:pt idx="17">
                  <c:v>46813</c:v>
                </c:pt>
                <c:pt idx="18">
                  <c:v>46844</c:v>
                </c:pt>
                <c:pt idx="19">
                  <c:v>46874</c:v>
                </c:pt>
                <c:pt idx="20">
                  <c:v>46905</c:v>
                </c:pt>
                <c:pt idx="21">
                  <c:v>46935</c:v>
                </c:pt>
                <c:pt idx="22">
                  <c:v>46966</c:v>
                </c:pt>
                <c:pt idx="23">
                  <c:v>46997</c:v>
                </c:pt>
              </c:numCache>
            </c:numRef>
          </c:cat>
          <c:val>
            <c:numRef>
              <c:f>Dashboard!$O$4:$O$27</c:f>
              <c:numCache>
                <c:formatCode>\$#,##0;[Red]\(\$#,##0\);\-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801881.04384782619</c:v>
                </c:pt>
                <c:pt idx="18">
                  <c:v>1716979.829846513</c:v>
                </c:pt>
                <c:pt idx="19">
                  <c:v>2619815.3702576915</c:v>
                </c:pt>
                <c:pt idx="20">
                  <c:v>3497074.2612964399</c:v>
                </c:pt>
                <c:pt idx="21">
                  <c:v>4360251.4559041802</c:v>
                </c:pt>
                <c:pt idx="22">
                  <c:v>5210840.8949782187</c:v>
                </c:pt>
                <c:pt idx="2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DD3-4CEE-A446-0124B8C59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mm\-yy" sourceLinked="1"/>
        <c:majorTickMark val="none"/>
        <c:minorTickMark val="none"/>
        <c:tickLblPos val="nextTo"/>
        <c:crossAx val="48672768"/>
        <c:crosses val="autoZero"/>
        <c:auto val="1"/>
        <c:lblOffset val="100"/>
        <c:baseTimeUnit val="months"/>
        <c:majorUnit val="2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;[Red]\(\$#,##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15</xdr:col>
      <xdr:colOff>0</xdr:colOff>
      <xdr:row>19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20</xdr:row>
      <xdr:rowOff>0</xdr:rowOff>
    </xdr:from>
    <xdr:to>
      <xdr:col>15</xdr:col>
      <xdr:colOff>0</xdr:colOff>
      <xdr:row>36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"/>
  <sheetViews>
    <sheetView tabSelected="1" workbookViewId="0">
      <selection sqref="A1:F1"/>
    </sheetView>
  </sheetViews>
  <sheetFormatPr defaultRowHeight="14.25"/>
  <cols>
    <col min="1" max="1" width="42" customWidth="1"/>
    <col min="2" max="2" width="25" customWidth="1"/>
    <col min="3" max="3" width="20" customWidth="1"/>
    <col min="4" max="4" width="66" customWidth="1"/>
  </cols>
  <sheetData>
    <row r="1" spans="1:6" ht="19.5">
      <c r="A1" s="25" t="s">
        <v>0</v>
      </c>
      <c r="B1" s="25"/>
      <c r="C1" s="25"/>
      <c r="D1" s="25"/>
      <c r="E1" s="25"/>
      <c r="F1" s="25"/>
    </row>
    <row r="2" spans="1:6">
      <c r="A2" s="26" t="s">
        <v>1</v>
      </c>
      <c r="B2" s="26"/>
      <c r="C2" s="26"/>
      <c r="D2" s="26"/>
      <c r="E2" s="26"/>
      <c r="F2" s="26"/>
    </row>
    <row r="3" spans="1:6">
      <c r="A3" s="1"/>
      <c r="B3" s="1"/>
      <c r="C3" s="1"/>
      <c r="D3" s="1"/>
      <c r="E3" s="1"/>
      <c r="F3" s="1"/>
    </row>
    <row r="4" spans="1:6" ht="15">
      <c r="A4" s="27" t="s">
        <v>2</v>
      </c>
      <c r="B4" s="27"/>
      <c r="C4" s="27"/>
      <c r="D4" s="27"/>
      <c r="E4" s="27"/>
      <c r="F4" s="27"/>
    </row>
    <row r="5" spans="1:6" ht="15">
      <c r="A5" s="17" t="s">
        <v>3</v>
      </c>
      <c r="B5" s="17" t="s">
        <v>4</v>
      </c>
      <c r="C5" s="17" t="s">
        <v>5</v>
      </c>
      <c r="D5" s="17" t="s">
        <v>6</v>
      </c>
      <c r="E5" s="1"/>
      <c r="F5" s="1"/>
    </row>
    <row r="6" spans="1:6">
      <c r="A6" s="1" t="s">
        <v>7</v>
      </c>
      <c r="B6" s="33" t="s">
        <v>8</v>
      </c>
      <c r="C6" s="1"/>
      <c r="D6" s="1" t="s">
        <v>9</v>
      </c>
      <c r="E6" s="1"/>
      <c r="F6" s="1"/>
    </row>
    <row r="7" spans="1:6">
      <c r="A7" s="1" t="s">
        <v>10</v>
      </c>
      <c r="B7" s="34">
        <v>46296</v>
      </c>
      <c r="C7" s="1" t="s">
        <v>11</v>
      </c>
      <c r="D7" s="1" t="s">
        <v>12</v>
      </c>
      <c r="E7" s="1"/>
      <c r="F7" s="1"/>
    </row>
    <row r="8" spans="1:6">
      <c r="A8" s="1" t="s">
        <v>13</v>
      </c>
      <c r="B8" s="35">
        <v>24</v>
      </c>
      <c r="C8" s="1" t="s">
        <v>14</v>
      </c>
      <c r="D8" s="1" t="s">
        <v>15</v>
      </c>
      <c r="E8" s="1"/>
      <c r="F8" s="1"/>
    </row>
    <row r="9" spans="1:6">
      <c r="A9" s="1" t="s">
        <v>16</v>
      </c>
      <c r="B9" s="35">
        <v>37708</v>
      </c>
      <c r="C9" s="1" t="s">
        <v>17</v>
      </c>
      <c r="D9" s="1" t="s">
        <v>18</v>
      </c>
      <c r="E9" s="1"/>
      <c r="F9" s="1"/>
    </row>
    <row r="10" spans="1:6">
      <c r="A10" s="1" t="s">
        <v>19</v>
      </c>
      <c r="B10" s="16">
        <v>0.98453908984830807</v>
      </c>
      <c r="C10" s="1" t="s">
        <v>20</v>
      </c>
      <c r="D10" s="1" t="s">
        <v>21</v>
      </c>
      <c r="E10" s="1"/>
      <c r="F10" s="1"/>
    </row>
    <row r="11" spans="1:6">
      <c r="A11" s="1" t="s">
        <v>22</v>
      </c>
      <c r="B11" s="2">
        <f>B9*B10</f>
        <v>37125</v>
      </c>
      <c r="C11" s="1" t="s">
        <v>23</v>
      </c>
      <c r="D11" s="1" t="s">
        <v>24</v>
      </c>
      <c r="E11" s="1"/>
      <c r="F11" s="1"/>
    </row>
    <row r="12" spans="1:6" ht="42.75">
      <c r="A12" s="1" t="s">
        <v>25</v>
      </c>
      <c r="B12" s="35" t="s">
        <v>26</v>
      </c>
      <c r="C12" s="1"/>
      <c r="D12" s="1" t="s">
        <v>27</v>
      </c>
      <c r="E12" s="1"/>
      <c r="F12" s="1"/>
    </row>
    <row r="13" spans="1:6">
      <c r="A13" s="1" t="s">
        <v>28</v>
      </c>
      <c r="B13" s="35">
        <v>174</v>
      </c>
      <c r="C13" s="1" t="s">
        <v>29</v>
      </c>
      <c r="D13" s="1" t="s">
        <v>30</v>
      </c>
      <c r="E13" s="1"/>
      <c r="F13" s="1"/>
    </row>
    <row r="14" spans="1:6">
      <c r="A14" s="1" t="s">
        <v>31</v>
      </c>
      <c r="B14" s="3">
        <f>B13/B11*1000</f>
        <v>4.6868686868686869</v>
      </c>
      <c r="C14" s="1" t="s">
        <v>32</v>
      </c>
      <c r="D14" s="1" t="s">
        <v>33</v>
      </c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 ht="15">
      <c r="A16" s="27" t="s">
        <v>34</v>
      </c>
      <c r="B16" s="27"/>
      <c r="C16" s="27"/>
      <c r="D16" s="27"/>
      <c r="E16" s="27"/>
      <c r="F16" s="27"/>
    </row>
    <row r="17" spans="1:6" ht="15">
      <c r="A17" s="17" t="s">
        <v>3</v>
      </c>
      <c r="B17" s="17" t="s">
        <v>4</v>
      </c>
      <c r="C17" s="17" t="s">
        <v>5</v>
      </c>
      <c r="D17" s="17" t="s">
        <v>6</v>
      </c>
      <c r="E17" s="1"/>
      <c r="F17" s="1"/>
    </row>
    <row r="18" spans="1:6">
      <c r="A18" s="1" t="s">
        <v>35</v>
      </c>
      <c r="B18" s="36">
        <v>560</v>
      </c>
      <c r="C18" s="1" t="s">
        <v>36</v>
      </c>
      <c r="D18" s="1" t="s">
        <v>37</v>
      </c>
      <c r="E18" s="1"/>
      <c r="F18" s="1"/>
    </row>
    <row r="19" spans="1:6">
      <c r="A19" s="1" t="s">
        <v>38</v>
      </c>
      <c r="B19" s="4">
        <f>B11*B18</f>
        <v>20790000</v>
      </c>
      <c r="C19" s="1" t="s">
        <v>39</v>
      </c>
      <c r="D19" s="1" t="s">
        <v>40</v>
      </c>
      <c r="E19" s="1"/>
      <c r="F19" s="1"/>
    </row>
    <row r="20" spans="1:6">
      <c r="A20" s="1" t="s">
        <v>41</v>
      </c>
      <c r="B20" s="16">
        <v>1</v>
      </c>
      <c r="C20" s="1" t="s">
        <v>42</v>
      </c>
      <c r="D20" s="1" t="s">
        <v>43</v>
      </c>
      <c r="E20" s="1"/>
      <c r="F20" s="1"/>
    </row>
    <row r="21" spans="1:6">
      <c r="A21" s="1" t="s">
        <v>44</v>
      </c>
      <c r="B21" s="16">
        <v>0.3</v>
      </c>
      <c r="C21" s="1" t="s">
        <v>45</v>
      </c>
      <c r="D21" s="1" t="s">
        <v>46</v>
      </c>
      <c r="E21" s="1"/>
      <c r="F21" s="1"/>
    </row>
    <row r="22" spans="1:6">
      <c r="A22" s="1" t="s">
        <v>47</v>
      </c>
      <c r="B22" s="16">
        <v>0.1</v>
      </c>
      <c r="C22" s="1" t="s">
        <v>45</v>
      </c>
      <c r="D22" s="1" t="s">
        <v>48</v>
      </c>
      <c r="E22" s="1"/>
      <c r="F22" s="1"/>
    </row>
    <row r="23" spans="1:6">
      <c r="A23" s="1" t="s">
        <v>49</v>
      </c>
      <c r="B23" s="16">
        <v>0.2</v>
      </c>
      <c r="C23" s="1" t="s">
        <v>45</v>
      </c>
      <c r="D23" s="1" t="s">
        <v>50</v>
      </c>
      <c r="E23" s="1"/>
      <c r="F23" s="1"/>
    </row>
    <row r="24" spans="1:6">
      <c r="A24" s="1" t="s">
        <v>51</v>
      </c>
      <c r="B24" s="37">
        <f>1-B21</f>
        <v>0.7</v>
      </c>
      <c r="C24" s="1" t="s">
        <v>45</v>
      </c>
      <c r="D24" s="1" t="s">
        <v>52</v>
      </c>
      <c r="E24" s="1"/>
      <c r="F24" s="1"/>
    </row>
    <row r="25" spans="1:6">
      <c r="A25" s="1" t="s">
        <v>53</v>
      </c>
      <c r="B25" s="16">
        <v>0.05</v>
      </c>
      <c r="C25" s="1" t="s">
        <v>54</v>
      </c>
      <c r="D25" s="1" t="s">
        <v>55</v>
      </c>
      <c r="E25" s="1"/>
      <c r="F25" s="1"/>
    </row>
    <row r="26" spans="1:6">
      <c r="A26" s="1" t="s">
        <v>56</v>
      </c>
      <c r="B26" s="16">
        <v>0</v>
      </c>
      <c r="C26" s="1" t="s">
        <v>54</v>
      </c>
      <c r="D26" s="1" t="s">
        <v>57</v>
      </c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 ht="15">
      <c r="A28" s="27" t="s">
        <v>58</v>
      </c>
      <c r="B28" s="27"/>
      <c r="C28" s="27"/>
      <c r="D28" s="27"/>
      <c r="E28" s="27"/>
      <c r="F28" s="27"/>
    </row>
    <row r="29" spans="1:6" ht="15">
      <c r="A29" s="17" t="s">
        <v>3</v>
      </c>
      <c r="B29" s="17" t="s">
        <v>4</v>
      </c>
      <c r="C29" s="17" t="s">
        <v>5</v>
      </c>
      <c r="D29" s="17" t="s">
        <v>6</v>
      </c>
      <c r="E29" s="1"/>
      <c r="F29" s="1"/>
    </row>
    <row r="30" spans="1:6">
      <c r="A30" s="1" t="s">
        <v>59</v>
      </c>
      <c r="B30" s="36">
        <v>185</v>
      </c>
      <c r="C30" s="1" t="s">
        <v>60</v>
      </c>
      <c r="D30" s="1" t="s">
        <v>61</v>
      </c>
      <c r="E30" s="1"/>
      <c r="F30" s="1"/>
    </row>
    <row r="31" spans="1:6">
      <c r="A31" s="1" t="s">
        <v>62</v>
      </c>
      <c r="B31" s="16">
        <v>0.1</v>
      </c>
      <c r="C31" s="1" t="s">
        <v>63</v>
      </c>
      <c r="D31" s="1" t="s">
        <v>64</v>
      </c>
      <c r="E31" s="1"/>
      <c r="F31" s="1"/>
    </row>
    <row r="32" spans="1:6" ht="28.5">
      <c r="A32" s="1" t="s">
        <v>65</v>
      </c>
      <c r="B32" s="16">
        <v>0.05</v>
      </c>
      <c r="C32" s="1" t="s">
        <v>66</v>
      </c>
      <c r="D32" s="1" t="s">
        <v>67</v>
      </c>
      <c r="E32" s="1"/>
      <c r="F32" s="1"/>
    </row>
    <row r="33" spans="1:6">
      <c r="A33" s="1" t="s">
        <v>68</v>
      </c>
      <c r="B33" s="38">
        <v>0</v>
      </c>
      <c r="C33" s="1" t="s">
        <v>39</v>
      </c>
      <c r="D33" s="1" t="s">
        <v>69</v>
      </c>
      <c r="E33" s="1"/>
      <c r="F33" s="1"/>
    </row>
    <row r="34" spans="1:6">
      <c r="A34" s="1" t="s">
        <v>70</v>
      </c>
      <c r="B34" s="38">
        <v>7500000</v>
      </c>
      <c r="C34" s="1" t="s">
        <v>39</v>
      </c>
      <c r="D34" s="1" t="s">
        <v>71</v>
      </c>
      <c r="E34" s="1"/>
      <c r="F34" s="1"/>
    </row>
    <row r="35" spans="1:6">
      <c r="A35" s="1" t="s">
        <v>72</v>
      </c>
      <c r="B35" s="16">
        <v>7.4999999999999997E-2</v>
      </c>
      <c r="C35" s="1" t="s">
        <v>73</v>
      </c>
      <c r="D35" s="1" t="s">
        <v>74</v>
      </c>
      <c r="E35" s="1"/>
      <c r="F35" s="1"/>
    </row>
    <row r="36" spans="1:6">
      <c r="A36" s="1" t="s">
        <v>75</v>
      </c>
      <c r="B36" s="16">
        <v>0.01</v>
      </c>
      <c r="C36" s="1" t="s">
        <v>76</v>
      </c>
      <c r="D36" s="1" t="s">
        <v>77</v>
      </c>
      <c r="E36" s="1"/>
      <c r="F36" s="1"/>
    </row>
    <row r="37" spans="1:6">
      <c r="A37" s="1" t="s">
        <v>78</v>
      </c>
      <c r="B37" s="35">
        <v>13</v>
      </c>
      <c r="C37" s="1" t="s">
        <v>79</v>
      </c>
      <c r="D37" s="1" t="s">
        <v>80</v>
      </c>
      <c r="E37" s="1"/>
      <c r="F37" s="1"/>
    </row>
    <row r="38" spans="1:6">
      <c r="A38" s="1" t="s">
        <v>81</v>
      </c>
      <c r="B38" s="39">
        <v>126092.97</v>
      </c>
      <c r="C38" s="1" t="s">
        <v>82</v>
      </c>
      <c r="D38" s="1" t="s">
        <v>83</v>
      </c>
      <c r="E38" s="1"/>
      <c r="F38" s="1"/>
    </row>
    <row r="39" spans="1:6">
      <c r="A39" s="1" t="s">
        <v>84</v>
      </c>
      <c r="B39" s="16">
        <v>0.02</v>
      </c>
      <c r="C39" s="1" t="s">
        <v>66</v>
      </c>
      <c r="D39" s="1" t="s">
        <v>85</v>
      </c>
      <c r="E39" s="1"/>
      <c r="F39" s="1"/>
    </row>
    <row r="40" spans="1:6" ht="15">
      <c r="A40" s="27" t="s">
        <v>86</v>
      </c>
      <c r="B40" s="27"/>
      <c r="C40" s="27"/>
      <c r="D40" s="27"/>
      <c r="E40" s="27"/>
      <c r="F40" s="27"/>
    </row>
    <row r="41" spans="1:6" ht="15">
      <c r="A41" s="17" t="s">
        <v>3</v>
      </c>
      <c r="B41" s="17" t="s">
        <v>4</v>
      </c>
      <c r="C41" s="17" t="s">
        <v>5</v>
      </c>
      <c r="D41" s="17" t="s">
        <v>6</v>
      </c>
      <c r="E41" s="1"/>
      <c r="F41" s="1"/>
    </row>
    <row r="42" spans="1:6">
      <c r="A42" s="1" t="s">
        <v>87</v>
      </c>
      <c r="B42" s="35">
        <v>1</v>
      </c>
      <c r="C42" s="1" t="s">
        <v>79</v>
      </c>
      <c r="D42" s="1" t="s">
        <v>88</v>
      </c>
      <c r="E42" s="1"/>
      <c r="F42" s="1"/>
    </row>
    <row r="43" spans="1:6">
      <c r="A43" s="1" t="s">
        <v>89</v>
      </c>
      <c r="B43" s="35">
        <v>12</v>
      </c>
      <c r="C43" s="1" t="s">
        <v>79</v>
      </c>
      <c r="D43" s="1" t="s">
        <v>90</v>
      </c>
      <c r="E43" s="1"/>
      <c r="F43" s="1"/>
    </row>
    <row r="44" spans="1:6">
      <c r="A44" s="1" t="s">
        <v>91</v>
      </c>
      <c r="B44" s="35">
        <v>13</v>
      </c>
      <c r="C44" s="1" t="s">
        <v>79</v>
      </c>
      <c r="D44" s="1" t="s">
        <v>92</v>
      </c>
      <c r="E44" s="1"/>
      <c r="F44" s="1"/>
    </row>
    <row r="45" spans="1:6">
      <c r="A45" s="1" t="s">
        <v>93</v>
      </c>
      <c r="B45" s="35">
        <v>24</v>
      </c>
      <c r="C45" s="1" t="s">
        <v>79</v>
      </c>
      <c r="D45" s="1" t="s">
        <v>94</v>
      </c>
      <c r="E45" s="1"/>
      <c r="F45" s="1"/>
    </row>
    <row r="46" spans="1:6">
      <c r="A46" s="1" t="s">
        <v>95</v>
      </c>
      <c r="B46" s="38">
        <v>19960</v>
      </c>
      <c r="C46" s="1" t="s">
        <v>39</v>
      </c>
      <c r="D46" s="1" t="s">
        <v>96</v>
      </c>
      <c r="E46" s="1"/>
      <c r="F46" s="1"/>
    </row>
    <row r="47" spans="1:6">
      <c r="A47" s="1" t="s">
        <v>97</v>
      </c>
      <c r="B47" s="38">
        <v>0</v>
      </c>
      <c r="C47" s="1" t="s">
        <v>39</v>
      </c>
      <c r="D47" s="1" t="s">
        <v>98</v>
      </c>
      <c r="E47" s="1"/>
      <c r="F47" s="1"/>
    </row>
    <row r="48" spans="1:6">
      <c r="A48" s="1" t="s">
        <v>99</v>
      </c>
      <c r="B48" s="16">
        <v>0.05</v>
      </c>
      <c r="C48" s="1" t="s">
        <v>100</v>
      </c>
      <c r="D48" s="1" t="s">
        <v>101</v>
      </c>
      <c r="E48" s="1"/>
      <c r="F48" s="1"/>
    </row>
    <row r="49" spans="1:6" ht="28.5">
      <c r="A49" s="1" t="s">
        <v>102</v>
      </c>
      <c r="B49" s="16">
        <v>0</v>
      </c>
      <c r="C49" s="1" t="s">
        <v>73</v>
      </c>
      <c r="D49" s="1" t="s">
        <v>103</v>
      </c>
      <c r="E49" s="1"/>
      <c r="F49" s="1"/>
    </row>
    <row r="50" spans="1:6" ht="28.5">
      <c r="A50" s="1" t="s">
        <v>104</v>
      </c>
      <c r="B50" s="16">
        <v>0.2</v>
      </c>
      <c r="C50" s="1" t="s">
        <v>20</v>
      </c>
      <c r="D50" s="1" t="s">
        <v>105</v>
      </c>
      <c r="E50" s="1"/>
      <c r="F50" s="1"/>
    </row>
    <row r="51" spans="1:6" ht="28.5">
      <c r="A51" s="1" t="s">
        <v>106</v>
      </c>
      <c r="B51" s="33" t="s">
        <v>107</v>
      </c>
      <c r="C51" s="1"/>
      <c r="D51" s="1" t="s">
        <v>108</v>
      </c>
      <c r="E51" s="1"/>
      <c r="F51" s="1"/>
    </row>
    <row r="52" spans="1:6">
      <c r="A52" s="1" t="s">
        <v>109</v>
      </c>
      <c r="B52" s="38">
        <v>19080</v>
      </c>
      <c r="C52" s="1" t="s">
        <v>39</v>
      </c>
      <c r="D52" s="1" t="s">
        <v>110</v>
      </c>
      <c r="E52" s="1"/>
      <c r="F52" s="1"/>
    </row>
    <row r="53" spans="1:6">
      <c r="A53" s="1" t="s">
        <v>111</v>
      </c>
      <c r="B53" s="38">
        <v>30000</v>
      </c>
      <c r="C53" s="1" t="s">
        <v>39</v>
      </c>
      <c r="D53" s="1" t="s">
        <v>112</v>
      </c>
      <c r="E53" s="1"/>
      <c r="F53" s="1"/>
    </row>
    <row r="54" spans="1:6" ht="28.5">
      <c r="A54" s="1" t="s">
        <v>113</v>
      </c>
      <c r="B54" s="38">
        <v>5960</v>
      </c>
      <c r="C54" s="1" t="s">
        <v>39</v>
      </c>
      <c r="D54" s="1" t="s">
        <v>114</v>
      </c>
      <c r="E54" s="1"/>
      <c r="F54" s="1"/>
    </row>
    <row r="55" spans="1:6" ht="28.5">
      <c r="A55" s="1" t="s">
        <v>115</v>
      </c>
      <c r="B55" s="16">
        <v>0.8</v>
      </c>
      <c r="C55" s="1" t="s">
        <v>20</v>
      </c>
      <c r="D55" s="1" t="s">
        <v>116</v>
      </c>
      <c r="E55" s="1"/>
      <c r="F55" s="1"/>
    </row>
    <row r="56" spans="1:6">
      <c r="A56" s="1" t="s">
        <v>117</v>
      </c>
      <c r="B56" s="16">
        <v>0.05</v>
      </c>
      <c r="C56" s="1" t="s">
        <v>118</v>
      </c>
      <c r="D56" s="1" t="s">
        <v>119</v>
      </c>
      <c r="E56" s="1"/>
      <c r="F56" s="1"/>
    </row>
    <row r="57" spans="1:6">
      <c r="A57" s="1" t="s">
        <v>120</v>
      </c>
      <c r="B57" s="16">
        <v>0.1</v>
      </c>
      <c r="C57" s="1" t="s">
        <v>118</v>
      </c>
      <c r="D57" s="1" t="s">
        <v>119</v>
      </c>
      <c r="E57" s="1"/>
      <c r="F57" s="1"/>
    </row>
    <row r="58" spans="1:6">
      <c r="A58" s="1" t="s">
        <v>121</v>
      </c>
      <c r="B58" s="35">
        <v>4</v>
      </c>
      <c r="C58" s="1" t="s">
        <v>14</v>
      </c>
      <c r="D58" s="1" t="s">
        <v>122</v>
      </c>
      <c r="E58" s="1"/>
      <c r="F58" s="1"/>
    </row>
    <row r="59" spans="1:6">
      <c r="A59" s="1" t="s">
        <v>78</v>
      </c>
      <c r="B59" s="35">
        <v>13</v>
      </c>
      <c r="C59" s="1" t="s">
        <v>79</v>
      </c>
      <c r="D59" s="1" t="s">
        <v>123</v>
      </c>
      <c r="E59" s="1"/>
      <c r="F59" s="1"/>
    </row>
    <row r="60" spans="1:6">
      <c r="A60" s="1" t="s">
        <v>124</v>
      </c>
      <c r="B60" s="38">
        <v>0</v>
      </c>
      <c r="C60" s="1" t="s">
        <v>39</v>
      </c>
      <c r="D60" s="1" t="s">
        <v>125</v>
      </c>
      <c r="E60" s="1"/>
      <c r="F60" s="1"/>
    </row>
    <row r="61" spans="1:6" ht="28.5">
      <c r="A61" s="1" t="s">
        <v>126</v>
      </c>
      <c r="B61" s="16" t="s">
        <v>127</v>
      </c>
      <c r="C61" s="1"/>
      <c r="D61" s="1" t="s">
        <v>128</v>
      </c>
      <c r="E61" s="1"/>
      <c r="F61" s="1"/>
    </row>
    <row r="62" spans="1:6">
      <c r="A62" s="1" t="s">
        <v>129</v>
      </c>
      <c r="B62" s="38">
        <v>0</v>
      </c>
      <c r="C62" s="1" t="s">
        <v>39</v>
      </c>
      <c r="D62" s="1" t="s">
        <v>130</v>
      </c>
      <c r="E62" s="1"/>
      <c r="F62" s="1"/>
    </row>
    <row r="63" spans="1:6" ht="28.5">
      <c r="A63" s="1" t="s">
        <v>131</v>
      </c>
      <c r="B63" s="33" t="s">
        <v>132</v>
      </c>
      <c r="C63" s="1"/>
      <c r="D63" s="1" t="s">
        <v>133</v>
      </c>
      <c r="E63" s="1"/>
      <c r="F63" s="1"/>
    </row>
    <row r="64" spans="1:6">
      <c r="A64" s="1" t="s">
        <v>134</v>
      </c>
      <c r="B64" s="38">
        <v>4500000</v>
      </c>
      <c r="C64" s="1" t="s">
        <v>39</v>
      </c>
      <c r="D64" s="1" t="s">
        <v>135</v>
      </c>
      <c r="E64" s="1"/>
      <c r="F64" s="1"/>
    </row>
    <row r="65" spans="1:6" ht="28.5">
      <c r="A65" s="1" t="s">
        <v>136</v>
      </c>
      <c r="B65" s="33" t="s">
        <v>137</v>
      </c>
      <c r="C65" s="1"/>
      <c r="D65" s="1" t="s">
        <v>138</v>
      </c>
      <c r="E65" s="1"/>
      <c r="F65" s="1"/>
    </row>
    <row r="66" spans="1:6" ht="28.5">
      <c r="A66" s="1" t="s">
        <v>139</v>
      </c>
      <c r="B66" s="35">
        <v>1</v>
      </c>
      <c r="C66" s="1" t="s">
        <v>79</v>
      </c>
      <c r="D66" s="1" t="s">
        <v>140</v>
      </c>
      <c r="E66" s="1"/>
      <c r="F66" s="1"/>
    </row>
    <row r="67" spans="1:6" ht="28.5">
      <c r="A67" s="1" t="s">
        <v>141</v>
      </c>
      <c r="B67" s="38">
        <v>3000000</v>
      </c>
      <c r="C67" s="1" t="s">
        <v>39</v>
      </c>
      <c r="D67" s="1" t="s">
        <v>142</v>
      </c>
      <c r="E67" s="1"/>
      <c r="F67" s="1"/>
    </row>
    <row r="68" spans="1:6">
      <c r="A68" s="1" t="s">
        <v>143</v>
      </c>
      <c r="B68" s="16">
        <v>0.01</v>
      </c>
      <c r="C68" s="1" t="s">
        <v>144</v>
      </c>
      <c r="D68" s="1" t="s">
        <v>145</v>
      </c>
      <c r="E68" s="1"/>
      <c r="F68" s="1"/>
    </row>
    <row r="69" spans="1:6" ht="28.5">
      <c r="A69" s="1" t="s">
        <v>146</v>
      </c>
      <c r="B69" s="38">
        <v>0</v>
      </c>
      <c r="C69" s="1" t="s">
        <v>39</v>
      </c>
      <c r="D69" s="1" t="s">
        <v>147</v>
      </c>
      <c r="E69" s="1"/>
      <c r="F69" s="1"/>
    </row>
    <row r="70" spans="1:6">
      <c r="A70" s="1" t="s">
        <v>148</v>
      </c>
      <c r="B70" s="35">
        <v>0</v>
      </c>
      <c r="C70" s="1" t="s">
        <v>14</v>
      </c>
      <c r="D70" s="1" t="s">
        <v>149</v>
      </c>
      <c r="E70" s="1"/>
      <c r="F70" s="1"/>
    </row>
    <row r="71" spans="1:6" ht="28.5">
      <c r="A71" s="1" t="s">
        <v>150</v>
      </c>
      <c r="B71" s="16">
        <v>0</v>
      </c>
      <c r="C71" s="1" t="s">
        <v>151</v>
      </c>
      <c r="D71" s="1" t="s">
        <v>152</v>
      </c>
      <c r="E71" s="1"/>
      <c r="F71" s="1"/>
    </row>
    <row r="72" spans="1:6" ht="28.5">
      <c r="A72" s="1" t="s">
        <v>153</v>
      </c>
      <c r="B72" s="16">
        <v>1</v>
      </c>
      <c r="C72" s="1" t="s">
        <v>154</v>
      </c>
      <c r="D72" s="1" t="s">
        <v>155</v>
      </c>
      <c r="E72" s="1"/>
      <c r="F72" s="1"/>
    </row>
    <row r="73" spans="1:6" ht="42.75">
      <c r="A73" s="1" t="s">
        <v>156</v>
      </c>
      <c r="B73" s="33" t="s">
        <v>157</v>
      </c>
      <c r="C73" s="1"/>
      <c r="D73" s="1" t="s">
        <v>158</v>
      </c>
      <c r="E73" s="1"/>
      <c r="F73" s="1"/>
    </row>
    <row r="74" spans="1:6" ht="28.5">
      <c r="A74" s="1" t="s">
        <v>159</v>
      </c>
      <c r="B74" s="16">
        <v>0.5</v>
      </c>
      <c r="C74" s="1" t="s">
        <v>160</v>
      </c>
      <c r="D74" s="1" t="s">
        <v>161</v>
      </c>
      <c r="E74" s="1"/>
      <c r="F74" s="1"/>
    </row>
    <row r="75" spans="1:6" ht="28.5">
      <c r="A75" s="1" t="s">
        <v>162</v>
      </c>
      <c r="B75" s="16">
        <v>0.5</v>
      </c>
      <c r="C75" s="1" t="s">
        <v>163</v>
      </c>
      <c r="D75" s="1" t="s">
        <v>164</v>
      </c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 ht="15">
      <c r="A77" s="17" t="s">
        <v>165</v>
      </c>
      <c r="B77" s="17" t="s">
        <v>166</v>
      </c>
      <c r="C77" s="17" t="s">
        <v>167</v>
      </c>
      <c r="D77" s="17" t="s">
        <v>168</v>
      </c>
      <c r="E77" s="1"/>
      <c r="F77" s="1"/>
    </row>
    <row r="78" spans="1:6">
      <c r="A78" s="18" t="s">
        <v>169</v>
      </c>
      <c r="B78" s="19">
        <v>0.9</v>
      </c>
      <c r="C78" s="19">
        <v>0.1</v>
      </c>
      <c r="D78" s="18" t="s">
        <v>170</v>
      </c>
      <c r="E78" s="1"/>
      <c r="F78" s="1"/>
    </row>
    <row r="79" spans="1:6">
      <c r="A79" s="18" t="s">
        <v>171</v>
      </c>
      <c r="B79" s="19">
        <v>0.8</v>
      </c>
      <c r="C79" s="19">
        <v>0.2</v>
      </c>
      <c r="D79" s="18" t="s">
        <v>172</v>
      </c>
      <c r="E79" s="1"/>
      <c r="F79" s="1"/>
    </row>
    <row r="80" spans="1:6">
      <c r="A80" s="18" t="s">
        <v>173</v>
      </c>
      <c r="B80" s="19">
        <v>0.75</v>
      </c>
      <c r="C80" s="19">
        <v>0.25</v>
      </c>
      <c r="D80" s="18" t="s">
        <v>174</v>
      </c>
      <c r="E80" s="1"/>
      <c r="F80" s="1"/>
    </row>
    <row r="81" spans="1:6">
      <c r="A81" s="18" t="s">
        <v>175</v>
      </c>
      <c r="B81" s="19">
        <v>0.7</v>
      </c>
      <c r="C81" s="19">
        <v>0.3</v>
      </c>
      <c r="D81" s="18" t="s">
        <v>176</v>
      </c>
      <c r="E81" s="1"/>
      <c r="F81" s="1"/>
    </row>
    <row r="82" spans="1:6">
      <c r="A82" s="18" t="s">
        <v>177</v>
      </c>
      <c r="B82" s="18" t="s">
        <v>178</v>
      </c>
      <c r="C82" s="18"/>
      <c r="D82" s="18" t="s">
        <v>179</v>
      </c>
      <c r="E82" s="1"/>
      <c r="F82" s="1"/>
    </row>
  </sheetData>
  <mergeCells count="6">
    <mergeCell ref="A40:F40"/>
    <mergeCell ref="A1:F1"/>
    <mergeCell ref="A2:F2"/>
    <mergeCell ref="A4:F4"/>
    <mergeCell ref="A16:F16"/>
    <mergeCell ref="A28:F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workbookViewId="0"/>
  </sheetViews>
  <sheetFormatPr defaultRowHeight="14.25"/>
  <cols>
    <col min="1" max="1" width="40" customWidth="1"/>
    <col min="2" max="5" width="17" customWidth="1"/>
    <col min="6" max="6" width="56" customWidth="1"/>
    <col min="7" max="7" width="13" customWidth="1"/>
  </cols>
  <sheetData>
    <row r="1" spans="1:7" ht="19.5">
      <c r="A1" s="25" t="s">
        <v>180</v>
      </c>
      <c r="B1" s="25"/>
      <c r="C1" s="25"/>
      <c r="D1" s="25"/>
      <c r="E1" s="25"/>
      <c r="F1" s="25"/>
      <c r="G1" s="25"/>
    </row>
    <row r="2" spans="1:7">
      <c r="A2" s="26" t="s">
        <v>181</v>
      </c>
      <c r="B2" s="26"/>
      <c r="C2" s="26"/>
      <c r="D2" s="26"/>
      <c r="E2" s="26"/>
      <c r="F2" s="26"/>
      <c r="G2" s="26"/>
    </row>
    <row r="3" spans="1:7">
      <c r="A3" s="1"/>
      <c r="B3" s="1"/>
      <c r="C3" s="1"/>
      <c r="D3" s="1"/>
      <c r="E3" s="1"/>
      <c r="F3" s="1"/>
      <c r="G3" s="1"/>
    </row>
    <row r="4" spans="1:7" ht="45">
      <c r="A4" s="17" t="s">
        <v>182</v>
      </c>
      <c r="B4" s="17" t="s">
        <v>183</v>
      </c>
      <c r="C4" s="17" t="s">
        <v>60</v>
      </c>
      <c r="D4" s="17" t="s">
        <v>184</v>
      </c>
      <c r="E4" s="17" t="s">
        <v>185</v>
      </c>
      <c r="F4" s="17" t="s">
        <v>186</v>
      </c>
      <c r="G4" s="17" t="s">
        <v>187</v>
      </c>
    </row>
    <row r="5" spans="1:7" ht="15">
      <c r="A5" s="27" t="s">
        <v>188</v>
      </c>
      <c r="B5" s="29"/>
      <c r="C5" s="40"/>
      <c r="D5" s="40"/>
      <c r="E5" s="28"/>
      <c r="F5" s="27"/>
      <c r="G5" s="27" t="s">
        <v>189</v>
      </c>
    </row>
    <row r="6" spans="1:7" ht="28.5">
      <c r="A6" s="1" t="s">
        <v>190</v>
      </c>
      <c r="B6" s="38">
        <v>4000000</v>
      </c>
      <c r="C6" s="6">
        <f>IFERROR(B6/Assumptions!$B$9,0)</f>
        <v>106.07828577490187</v>
      </c>
      <c r="D6" s="6">
        <f>IFERROR(B6/Assumptions!$B$11,0)</f>
        <v>107.74410774410775</v>
      </c>
      <c r="E6" s="7">
        <f>IFERROR(B6/$B$45,0)</f>
        <v>0.26637484902393821</v>
      </c>
      <c r="F6" s="1" t="s">
        <v>191</v>
      </c>
      <c r="G6" s="1" t="s">
        <v>192</v>
      </c>
    </row>
    <row r="7" spans="1:7" ht="28.5">
      <c r="A7" s="1" t="s">
        <v>146</v>
      </c>
      <c r="B7" s="38">
        <v>0</v>
      </c>
      <c r="C7" s="6">
        <f>IFERROR(B7/Assumptions!$B$9,0)</f>
        <v>0</v>
      </c>
      <c r="D7" s="6">
        <f>IFERROR(B7/Assumptions!$B$11,0)</f>
        <v>0</v>
      </c>
      <c r="E7" s="7">
        <f>IFERROR(B7/$B$45,0)</f>
        <v>0</v>
      </c>
      <c r="F7" s="1" t="s">
        <v>193</v>
      </c>
      <c r="G7" s="1" t="s">
        <v>192</v>
      </c>
    </row>
    <row r="8" spans="1:7" ht="15">
      <c r="A8" s="14" t="s">
        <v>194</v>
      </c>
      <c r="B8" s="15">
        <f>SUM(B6:B7)</f>
        <v>4000000</v>
      </c>
      <c r="C8" s="41">
        <f>IFERROR(B8/Assumptions!$B$9,0)</f>
        <v>106.07828577490187</v>
      </c>
      <c r="D8" s="41">
        <f>IFERROR(B8/Assumptions!$B$11,0)</f>
        <v>107.74410774410775</v>
      </c>
      <c r="E8" s="42">
        <f>IFERROR(B8/$B$45,0)</f>
        <v>0.26637484902393821</v>
      </c>
      <c r="F8" s="14"/>
      <c r="G8" s="14" t="s">
        <v>195</v>
      </c>
    </row>
    <row r="9" spans="1:7" ht="15">
      <c r="A9" s="27" t="s">
        <v>196</v>
      </c>
      <c r="B9" s="29"/>
      <c r="C9" s="40"/>
      <c r="D9" s="40"/>
      <c r="E9" s="28"/>
      <c r="F9" s="27"/>
      <c r="G9" s="27" t="s">
        <v>189</v>
      </c>
    </row>
    <row r="10" spans="1:7">
      <c r="A10" s="1" t="s">
        <v>197</v>
      </c>
      <c r="B10" s="43">
        <f>Assumptions!$B$9*Assumptions!$B$30</f>
        <v>6975980</v>
      </c>
      <c r="C10" s="8">
        <f>IFERROR(B10/Assumptions!$B$9,0)</f>
        <v>185</v>
      </c>
      <c r="D10" s="8">
        <f>IFERROR(B10/Assumptions!$B$11,0)</f>
        <v>187.90518518518519</v>
      </c>
      <c r="E10" s="5">
        <f t="shared" ref="E10:E16" si="0">IFERROR(B10/$B$45,0)</f>
        <v>0.46455640482350313</v>
      </c>
      <c r="F10" s="1" t="s">
        <v>198</v>
      </c>
      <c r="G10" s="1" t="s">
        <v>199</v>
      </c>
    </row>
    <row r="11" spans="1:7">
      <c r="A11" s="1" t="s">
        <v>200</v>
      </c>
      <c r="B11" s="38">
        <v>78345</v>
      </c>
      <c r="C11" s="6">
        <f>IFERROR(B11/Assumptions!$B$9,0)</f>
        <v>2.0776758247586717</v>
      </c>
      <c r="D11" s="6">
        <f>IFERROR(B11/Assumptions!$B$11,0)</f>
        <v>2.1103030303030303</v>
      </c>
      <c r="E11" s="7">
        <f t="shared" si="0"/>
        <v>5.2172843866951099E-3</v>
      </c>
      <c r="F11" s="1" t="s">
        <v>201</v>
      </c>
      <c r="G11" s="1" t="s">
        <v>199</v>
      </c>
    </row>
    <row r="12" spans="1:7">
      <c r="A12" s="1" t="s">
        <v>202</v>
      </c>
      <c r="B12" s="38">
        <v>150000</v>
      </c>
      <c r="C12" s="6">
        <f>IFERROR(B12/Assumptions!$B$9,0)</f>
        <v>3.9779357165588203</v>
      </c>
      <c r="D12" s="6">
        <f>IFERROR(B12/Assumptions!$B$11,0)</f>
        <v>4.0404040404040407</v>
      </c>
      <c r="E12" s="7">
        <f t="shared" si="0"/>
        <v>9.9890568383976825E-3</v>
      </c>
      <c r="F12" s="1" t="s">
        <v>203</v>
      </c>
      <c r="G12" s="1" t="s">
        <v>199</v>
      </c>
    </row>
    <row r="13" spans="1:7">
      <c r="A13" s="1" t="s">
        <v>204</v>
      </c>
      <c r="B13" s="38">
        <v>0</v>
      </c>
      <c r="C13" s="6">
        <f>IFERROR(B13/Assumptions!$B$9,0)</f>
        <v>0</v>
      </c>
      <c r="D13" s="6">
        <f>IFERROR(B13/Assumptions!$B$11,0)</f>
        <v>0</v>
      </c>
      <c r="E13" s="7">
        <f t="shared" si="0"/>
        <v>0</v>
      </c>
      <c r="F13" s="1" t="s">
        <v>205</v>
      </c>
      <c r="G13" s="1" t="s">
        <v>199</v>
      </c>
    </row>
    <row r="14" spans="1:7" ht="30">
      <c r="A14" s="14" t="s">
        <v>206</v>
      </c>
      <c r="B14" s="15">
        <f>SUM(B10:B11)</f>
        <v>7054325</v>
      </c>
      <c r="C14" s="41">
        <f>IFERROR(B14/Assumptions!$B$9,0)</f>
        <v>187.07767582475867</v>
      </c>
      <c r="D14" s="41">
        <f>IFERROR(B14/Assumptions!$B$11,0)</f>
        <v>190.0154882154882</v>
      </c>
      <c r="E14" s="42">
        <f t="shared" si="0"/>
        <v>0.46977368921019824</v>
      </c>
      <c r="F14" s="14"/>
      <c r="G14" s="14" t="s">
        <v>195</v>
      </c>
    </row>
    <row r="15" spans="1:7" ht="28.5">
      <c r="A15" s="1" t="s">
        <v>207</v>
      </c>
      <c r="B15" s="43">
        <f>B14*Assumptions!$B$31</f>
        <v>705432.5</v>
      </c>
      <c r="C15" s="8">
        <f>IFERROR(B15/Assumptions!$B$9,0)</f>
        <v>18.707767582475867</v>
      </c>
      <c r="D15" s="8">
        <f>IFERROR(B15/Assumptions!$B$11,0)</f>
        <v>19.001548821548823</v>
      </c>
      <c r="E15" s="5">
        <f t="shared" si="0"/>
        <v>4.6977368921019821E-2</v>
      </c>
      <c r="F15" s="1" t="s">
        <v>208</v>
      </c>
      <c r="G15" s="1" t="s">
        <v>199</v>
      </c>
    </row>
    <row r="16" spans="1:7" ht="30">
      <c r="A16" s="14" t="s">
        <v>209</v>
      </c>
      <c r="B16" s="15">
        <f>B14+B15+B12+B13</f>
        <v>7909757.5</v>
      </c>
      <c r="C16" s="41">
        <f>IFERROR(B16/Assumptions!$B$9,0)</f>
        <v>209.76337912379336</v>
      </c>
      <c r="D16" s="41">
        <f>IFERROR(B16/Assumptions!$B$11,0)</f>
        <v>213.05744107744107</v>
      </c>
      <c r="E16" s="42">
        <f t="shared" si="0"/>
        <v>0.5267401149696157</v>
      </c>
      <c r="F16" s="14"/>
      <c r="G16" s="14" t="s">
        <v>195</v>
      </c>
    </row>
    <row r="17" spans="1:7" ht="15">
      <c r="A17" s="27" t="s">
        <v>210</v>
      </c>
      <c r="B17" s="29"/>
      <c r="C17" s="40"/>
      <c r="D17" s="40"/>
      <c r="E17" s="28"/>
      <c r="F17" s="27"/>
      <c r="G17" s="27" t="s">
        <v>189</v>
      </c>
    </row>
    <row r="18" spans="1:7">
      <c r="A18" s="1" t="s">
        <v>211</v>
      </c>
      <c r="B18" s="38">
        <v>27243</v>
      </c>
      <c r="C18" s="6">
        <f>IFERROR(B18/Assumptions!$B$9,0)</f>
        <v>0.72247268484141292</v>
      </c>
      <c r="D18" s="6">
        <f>IFERROR(B18/Assumptions!$B$11,0)</f>
        <v>0.73381818181818181</v>
      </c>
      <c r="E18" s="7">
        <f t="shared" ref="E18:E31" si="1">IFERROR(B18/$B$45,0)</f>
        <v>1.8142125029897871E-3</v>
      </c>
      <c r="F18" s="1" t="s">
        <v>212</v>
      </c>
      <c r="G18" s="1" t="s">
        <v>213</v>
      </c>
    </row>
    <row r="19" spans="1:7">
      <c r="A19" s="1" t="s">
        <v>214</v>
      </c>
      <c r="B19" s="38">
        <v>123318</v>
      </c>
      <c r="C19" s="6">
        <f>IFERROR(B19/Assumptions!$B$9,0)</f>
        <v>3.2703405112973374</v>
      </c>
      <c r="D19" s="6">
        <f>IFERROR(B19/Assumptions!$B$11,0)</f>
        <v>3.3216969696969696</v>
      </c>
      <c r="E19" s="7">
        <f t="shared" si="1"/>
        <v>8.2122034079835024E-3</v>
      </c>
      <c r="F19" s="1" t="s">
        <v>215</v>
      </c>
      <c r="G19" s="1" t="s">
        <v>213</v>
      </c>
    </row>
    <row r="20" spans="1:7" ht="28.5">
      <c r="A20" s="1" t="s">
        <v>216</v>
      </c>
      <c r="B20" s="38">
        <v>234000</v>
      </c>
      <c r="C20" s="6">
        <f>IFERROR(B20/Assumptions!$B$9,0)</f>
        <v>6.2055797178317595</v>
      </c>
      <c r="D20" s="6">
        <f>IFERROR(B20/Assumptions!$B$11,0)</f>
        <v>6.3030303030303028</v>
      </c>
      <c r="E20" s="7">
        <f t="shared" si="1"/>
        <v>1.5582928667900385E-2</v>
      </c>
      <c r="F20" s="1" t="s">
        <v>217</v>
      </c>
      <c r="G20" s="1" t="s">
        <v>213</v>
      </c>
    </row>
    <row r="21" spans="1:7">
      <c r="A21" s="1" t="s">
        <v>218</v>
      </c>
      <c r="B21" s="38">
        <v>42000</v>
      </c>
      <c r="C21" s="6">
        <f>IFERROR(B21/Assumptions!$B$9,0)</f>
        <v>1.1138220006364696</v>
      </c>
      <c r="D21" s="6">
        <f>IFERROR(B21/Assumptions!$B$11,0)</f>
        <v>1.1313131313131313</v>
      </c>
      <c r="E21" s="7">
        <f t="shared" si="1"/>
        <v>2.7969359147513514E-3</v>
      </c>
      <c r="F21" s="1" t="s">
        <v>219</v>
      </c>
      <c r="G21" s="1" t="s">
        <v>213</v>
      </c>
    </row>
    <row r="22" spans="1:7">
      <c r="A22" s="1" t="s">
        <v>220</v>
      </c>
      <c r="B22" s="38">
        <v>185000</v>
      </c>
      <c r="C22" s="6">
        <f>IFERROR(B22/Assumptions!$B$9,0)</f>
        <v>4.9061207170892116</v>
      </c>
      <c r="D22" s="6">
        <f>IFERROR(B22/Assumptions!$B$11,0)</f>
        <v>4.9831649831649836</v>
      </c>
      <c r="E22" s="7">
        <f t="shared" si="1"/>
        <v>1.2319836767357142E-2</v>
      </c>
      <c r="F22" s="1" t="s">
        <v>221</v>
      </c>
      <c r="G22" s="1" t="s">
        <v>213</v>
      </c>
    </row>
    <row r="23" spans="1:7">
      <c r="A23" s="1" t="s">
        <v>222</v>
      </c>
      <c r="B23" s="38">
        <v>120000</v>
      </c>
      <c r="C23" s="6">
        <f>IFERROR(B23/Assumptions!$B$9,0)</f>
        <v>3.1823485732470562</v>
      </c>
      <c r="D23" s="6">
        <f>IFERROR(B23/Assumptions!$B$11,0)</f>
        <v>3.2323232323232323</v>
      </c>
      <c r="E23" s="7">
        <f t="shared" si="1"/>
        <v>7.991245470718146E-3</v>
      </c>
      <c r="F23" s="1" t="s">
        <v>223</v>
      </c>
      <c r="G23" s="1" t="s">
        <v>213</v>
      </c>
    </row>
    <row r="24" spans="1:7">
      <c r="A24" s="1" t="s">
        <v>224</v>
      </c>
      <c r="B24" s="38">
        <v>165000</v>
      </c>
      <c r="C24" s="6">
        <f>IFERROR(B24/Assumptions!$B$9,0)</f>
        <v>4.3757292882147025</v>
      </c>
      <c r="D24" s="6">
        <f>IFERROR(B24/Assumptions!$B$11,0)</f>
        <v>4.4444444444444446</v>
      </c>
      <c r="E24" s="7">
        <f t="shared" si="1"/>
        <v>1.0987962522237452E-2</v>
      </c>
      <c r="F24" s="1" t="s">
        <v>225</v>
      </c>
      <c r="G24" s="1" t="s">
        <v>213</v>
      </c>
    </row>
    <row r="25" spans="1:7">
      <c r="A25" s="1" t="s">
        <v>226</v>
      </c>
      <c r="B25" s="38">
        <v>68000</v>
      </c>
      <c r="C25" s="6">
        <f>IFERROR(B25/Assumptions!$B$9,0)</f>
        <v>1.8033308581733318</v>
      </c>
      <c r="D25" s="6">
        <f>IFERROR(B25/Assumptions!$B$11,0)</f>
        <v>1.8316498316498318</v>
      </c>
      <c r="E25" s="7">
        <f t="shared" si="1"/>
        <v>4.5283724334069493E-3</v>
      </c>
      <c r="F25" s="1" t="s">
        <v>227</v>
      </c>
      <c r="G25" s="1" t="s">
        <v>213</v>
      </c>
    </row>
    <row r="26" spans="1:7">
      <c r="A26" s="1" t="s">
        <v>228</v>
      </c>
      <c r="B26" s="38">
        <v>77000</v>
      </c>
      <c r="C26" s="6">
        <f>IFERROR(B26/Assumptions!$B$9,0)</f>
        <v>2.0420070011668612</v>
      </c>
      <c r="D26" s="6">
        <f>IFERROR(B26/Assumptions!$B$11,0)</f>
        <v>2.074074074074074</v>
      </c>
      <c r="E26" s="7">
        <f t="shared" si="1"/>
        <v>5.127715843710811E-3</v>
      </c>
      <c r="F26" s="1" t="s">
        <v>229</v>
      </c>
      <c r="G26" s="1" t="s">
        <v>213</v>
      </c>
    </row>
    <row r="27" spans="1:7">
      <c r="A27" s="1" t="s">
        <v>230</v>
      </c>
      <c r="B27" s="38">
        <v>55000</v>
      </c>
      <c r="C27" s="6">
        <f>IFERROR(B27/Assumptions!$B$9,0)</f>
        <v>1.4585764294049008</v>
      </c>
      <c r="D27" s="6">
        <f>IFERROR(B27/Assumptions!$B$11,0)</f>
        <v>1.4814814814814814</v>
      </c>
      <c r="E27" s="7">
        <f t="shared" si="1"/>
        <v>3.6626541740791504E-3</v>
      </c>
      <c r="F27" s="1" t="s">
        <v>231</v>
      </c>
      <c r="G27" s="1" t="s">
        <v>213</v>
      </c>
    </row>
    <row r="28" spans="1:7">
      <c r="A28" s="1" t="s">
        <v>232</v>
      </c>
      <c r="B28" s="38">
        <v>125000</v>
      </c>
      <c r="C28" s="6">
        <f>IFERROR(B28/Assumptions!$B$9,0)</f>
        <v>3.3149464304656835</v>
      </c>
      <c r="D28" s="6">
        <f>IFERROR(B28/Assumptions!$B$11,0)</f>
        <v>3.3670033670033672</v>
      </c>
      <c r="E28" s="7">
        <f t="shared" si="1"/>
        <v>8.324214031998069E-3</v>
      </c>
      <c r="F28" s="1" t="s">
        <v>233</v>
      </c>
      <c r="G28" s="1" t="s">
        <v>213</v>
      </c>
    </row>
    <row r="29" spans="1:7">
      <c r="A29" s="1" t="s">
        <v>234</v>
      </c>
      <c r="B29" s="38">
        <v>168750</v>
      </c>
      <c r="C29" s="6">
        <f>IFERROR(B29/Assumptions!$B$9,0)</f>
        <v>4.475177681128673</v>
      </c>
      <c r="D29" s="6">
        <f>IFERROR(B29/Assumptions!$B$11,0)</f>
        <v>4.5454545454545459</v>
      </c>
      <c r="E29" s="7">
        <f t="shared" si="1"/>
        <v>1.1237688943197393E-2</v>
      </c>
      <c r="F29" s="1" t="s">
        <v>235</v>
      </c>
      <c r="G29" s="1" t="s">
        <v>213</v>
      </c>
    </row>
    <row r="30" spans="1:7">
      <c r="A30" s="1" t="s">
        <v>236</v>
      </c>
      <c r="B30" s="38">
        <v>91560</v>
      </c>
      <c r="C30" s="6">
        <f>IFERROR(B30/Assumptions!$B$9,0)</f>
        <v>2.4281319613875039</v>
      </c>
      <c r="D30" s="6">
        <f>IFERROR(B30/Assumptions!$B$11,0)</f>
        <v>2.4662626262626262</v>
      </c>
      <c r="E30" s="7">
        <f t="shared" si="1"/>
        <v>6.0973202941579461E-3</v>
      </c>
      <c r="F30" s="1" t="s">
        <v>237</v>
      </c>
      <c r="G30" s="1" t="s">
        <v>213</v>
      </c>
    </row>
    <row r="31" spans="1:7" ht="15">
      <c r="A31" s="14" t="s">
        <v>238</v>
      </c>
      <c r="B31" s="15">
        <f>SUM(B18:B30)</f>
        <v>1481871</v>
      </c>
      <c r="C31" s="41">
        <f>IFERROR(B31/Assumptions!$B$9,0)</f>
        <v>39.298583854884903</v>
      </c>
      <c r="D31" s="41">
        <f>IFERROR(B31/Assumptions!$B$11,0)</f>
        <v>39.915717171717169</v>
      </c>
      <c r="E31" s="42">
        <f t="shared" si="1"/>
        <v>9.868329097448808E-2</v>
      </c>
      <c r="F31" s="14"/>
      <c r="G31" s="14" t="s">
        <v>195</v>
      </c>
    </row>
    <row r="32" spans="1:7" ht="15">
      <c r="A32" s="27" t="s">
        <v>239</v>
      </c>
      <c r="B32" s="29"/>
      <c r="C32" s="40"/>
      <c r="D32" s="40"/>
      <c r="E32" s="28"/>
      <c r="F32" s="27"/>
      <c r="G32" s="27" t="s">
        <v>189</v>
      </c>
    </row>
    <row r="33" spans="1:7" ht="28.5">
      <c r="A33" s="1" t="s">
        <v>240</v>
      </c>
      <c r="B33" s="38">
        <v>200000</v>
      </c>
      <c r="C33" s="6">
        <f>IFERROR(B33/Assumptions!$B$9,0)</f>
        <v>5.3039142887450943</v>
      </c>
      <c r="D33" s="6">
        <f>IFERROR(B33/Assumptions!$B$11,0)</f>
        <v>5.3872053872053876</v>
      </c>
      <c r="E33" s="7">
        <f t="shared" ref="E33:E45" si="2">IFERROR(B33/$B$45,0)</f>
        <v>1.3318742451196911E-2</v>
      </c>
      <c r="F33" s="1" t="s">
        <v>241</v>
      </c>
      <c r="G33" s="1" t="s">
        <v>242</v>
      </c>
    </row>
    <row r="34" spans="1:7" ht="28.5">
      <c r="A34" s="1" t="s">
        <v>243</v>
      </c>
      <c r="B34" s="38">
        <v>633049.19999999995</v>
      </c>
      <c r="C34" s="6">
        <f>IFERROR(B34/Assumptions!$B$9,0)</f>
        <v>16.788193486793251</v>
      </c>
      <c r="D34" s="6">
        <f>IFERROR(B34/Assumptions!$B$11,0)</f>
        <v>17.0518303030303</v>
      </c>
      <c r="E34" s="7">
        <f t="shared" si="2"/>
        <v>4.2157096268681214E-2</v>
      </c>
      <c r="F34" s="1" t="s">
        <v>244</v>
      </c>
      <c r="G34" s="1" t="s">
        <v>242</v>
      </c>
    </row>
    <row r="35" spans="1:7">
      <c r="A35" s="1" t="s">
        <v>245</v>
      </c>
      <c r="B35" s="38">
        <v>35000</v>
      </c>
      <c r="C35" s="6">
        <f>IFERROR(B35/Assumptions!$B$9,0)</f>
        <v>0.92818500053039144</v>
      </c>
      <c r="D35" s="6">
        <f>IFERROR(B35/Assumptions!$B$11,0)</f>
        <v>0.9427609427609428</v>
      </c>
      <c r="E35" s="7">
        <f t="shared" si="2"/>
        <v>2.3307799289594595E-3</v>
      </c>
      <c r="F35" s="1" t="s">
        <v>246</v>
      </c>
      <c r="G35" s="1" t="s">
        <v>242</v>
      </c>
    </row>
    <row r="36" spans="1:7">
      <c r="A36" s="1" t="s">
        <v>247</v>
      </c>
      <c r="B36" s="38">
        <v>22000</v>
      </c>
      <c r="C36" s="6">
        <f>IFERROR(B36/Assumptions!$B$9,0)</f>
        <v>0.58343057176196034</v>
      </c>
      <c r="D36" s="6">
        <f>IFERROR(B36/Assumptions!$B$11,0)</f>
        <v>0.59259259259259256</v>
      </c>
      <c r="E36" s="7">
        <f t="shared" si="2"/>
        <v>1.4650616696316602E-3</v>
      </c>
      <c r="F36" s="1" t="s">
        <v>248</v>
      </c>
      <c r="G36" s="1" t="s">
        <v>242</v>
      </c>
    </row>
    <row r="37" spans="1:7">
      <c r="A37" s="1" t="s">
        <v>249</v>
      </c>
      <c r="B37" s="38">
        <v>18000</v>
      </c>
      <c r="C37" s="6">
        <f>IFERROR(B37/Assumptions!$B$9,0)</f>
        <v>0.47735228598705842</v>
      </c>
      <c r="D37" s="6">
        <f>IFERROR(B37/Assumptions!$B$11,0)</f>
        <v>0.48484848484848486</v>
      </c>
      <c r="E37" s="7">
        <f t="shared" si="2"/>
        <v>1.198686820607722E-3</v>
      </c>
      <c r="F37" s="1" t="s">
        <v>250</v>
      </c>
      <c r="G37" s="1" t="s">
        <v>242</v>
      </c>
    </row>
    <row r="38" spans="1:7">
      <c r="A38" s="1" t="s">
        <v>251</v>
      </c>
      <c r="B38" s="38">
        <v>85000</v>
      </c>
      <c r="C38" s="6">
        <f>IFERROR(B38/Assumptions!$B$9,0)</f>
        <v>2.2541635727166649</v>
      </c>
      <c r="D38" s="6">
        <f>IFERROR(B38/Assumptions!$B$11,0)</f>
        <v>2.2895622895622894</v>
      </c>
      <c r="E38" s="7">
        <f t="shared" si="2"/>
        <v>5.6604655417586873E-3</v>
      </c>
      <c r="F38" s="1" t="s">
        <v>252</v>
      </c>
      <c r="G38" s="1" t="s">
        <v>242</v>
      </c>
    </row>
    <row r="39" spans="1:7">
      <c r="A39" s="1" t="s">
        <v>253</v>
      </c>
      <c r="B39" s="38">
        <v>23000</v>
      </c>
      <c r="C39" s="6">
        <f>IFERROR(B39/Assumptions!$B$9,0)</f>
        <v>0.60995014320568575</v>
      </c>
      <c r="D39" s="6">
        <f>IFERROR(B39/Assumptions!$B$11,0)</f>
        <v>0.61952861952861948</v>
      </c>
      <c r="E39" s="7">
        <f t="shared" si="2"/>
        <v>1.5316553818876448E-3</v>
      </c>
      <c r="F39" s="1" t="s">
        <v>254</v>
      </c>
      <c r="G39" s="1" t="s">
        <v>242</v>
      </c>
    </row>
    <row r="40" spans="1:7">
      <c r="A40" s="1" t="s">
        <v>255</v>
      </c>
      <c r="B40" s="38">
        <v>55072</v>
      </c>
      <c r="C40" s="6">
        <f>IFERROR(B40/Assumptions!$B$9,0)</f>
        <v>1.4604858385488491</v>
      </c>
      <c r="D40" s="6">
        <f>IFERROR(B40/Assumptions!$B$11,0)</f>
        <v>1.4834208754208755</v>
      </c>
      <c r="E40" s="7">
        <f t="shared" si="2"/>
        <v>3.6674489213615814E-3</v>
      </c>
      <c r="F40" s="1" t="s">
        <v>256</v>
      </c>
      <c r="G40" s="1" t="s">
        <v>242</v>
      </c>
    </row>
    <row r="41" spans="1:7" ht="28.5">
      <c r="A41" s="1" t="s">
        <v>257</v>
      </c>
      <c r="B41" s="43">
        <f>$B$16*Assumptions!$B$32</f>
        <v>395487.875</v>
      </c>
      <c r="C41" s="8">
        <f>IFERROR(B41/Assumptions!$B$9,0)</f>
        <v>10.488168956189668</v>
      </c>
      <c r="D41" s="8">
        <f>IFERROR(B41/Assumptions!$B$11,0)</f>
        <v>10.652872053872054</v>
      </c>
      <c r="E41" s="5">
        <f t="shared" si="2"/>
        <v>2.6337005748480788E-2</v>
      </c>
      <c r="F41" s="1" t="s">
        <v>258</v>
      </c>
      <c r="G41" s="1" t="s">
        <v>242</v>
      </c>
    </row>
    <row r="42" spans="1:7" ht="28.5">
      <c r="A42" s="1" t="s">
        <v>259</v>
      </c>
      <c r="B42" s="38">
        <v>0</v>
      </c>
      <c r="C42" s="6">
        <f>IFERROR(B42/Assumptions!$B$9,0)</f>
        <v>0</v>
      </c>
      <c r="D42" s="6">
        <f>IFERROR(B42/Assumptions!$B$11,0)</f>
        <v>0</v>
      </c>
      <c r="E42" s="7">
        <f t="shared" si="2"/>
        <v>0</v>
      </c>
      <c r="F42" s="1" t="s">
        <v>260</v>
      </c>
      <c r="G42" s="1" t="s">
        <v>242</v>
      </c>
    </row>
    <row r="43" spans="1:7" ht="28.5">
      <c r="A43" s="1" t="s">
        <v>261</v>
      </c>
      <c r="B43" s="43">
        <f>$B$16*Assumptions!$B$39</f>
        <v>158195.15</v>
      </c>
      <c r="C43" s="8">
        <f>IFERROR(B43/Assumptions!$B$9,0)</f>
        <v>4.195267582475867</v>
      </c>
      <c r="D43" s="8">
        <f>IFERROR(B43/Assumptions!$B$11,0)</f>
        <v>4.2611488215488214</v>
      </c>
      <c r="E43" s="5">
        <f t="shared" si="2"/>
        <v>1.0534802299392314E-2</v>
      </c>
      <c r="F43" s="1" t="s">
        <v>262</v>
      </c>
      <c r="G43" s="1" t="s">
        <v>242</v>
      </c>
    </row>
    <row r="44" spans="1:7" ht="15">
      <c r="A44" s="14" t="s">
        <v>263</v>
      </c>
      <c r="B44" s="15">
        <f>SUM(B33:B43)</f>
        <v>1624804.2249999999</v>
      </c>
      <c r="C44" s="41">
        <f>IFERROR(B44/Assumptions!$B$9,0)</f>
        <v>43.089111726954492</v>
      </c>
      <c r="D44" s="41">
        <f>IFERROR(B44/Assumptions!$B$11,0)</f>
        <v>43.765770370370369</v>
      </c>
      <c r="E44" s="42">
        <f t="shared" si="2"/>
        <v>0.10820174503195798</v>
      </c>
      <c r="F44" s="14"/>
      <c r="G44" s="14" t="s">
        <v>195</v>
      </c>
    </row>
    <row r="45" spans="1:7" ht="30">
      <c r="A45" s="44" t="s">
        <v>264</v>
      </c>
      <c r="B45" s="45">
        <f>B8+B16+B31+B44</f>
        <v>15016432.725</v>
      </c>
      <c r="C45" s="46">
        <f>IFERROR(B45/Assumptions!$B$9,0)</f>
        <v>398.22936048053464</v>
      </c>
      <c r="D45" s="46">
        <f>IFERROR(B45/Assumptions!$B$11,0)</f>
        <v>404.48303636363636</v>
      </c>
      <c r="E45" s="47">
        <f t="shared" si="2"/>
        <v>1</v>
      </c>
      <c r="F45" s="44"/>
      <c r="G45" s="44" t="s">
        <v>265</v>
      </c>
    </row>
  </sheetData>
  <mergeCells count="6">
    <mergeCell ref="A32:G32"/>
    <mergeCell ref="A1:G1"/>
    <mergeCell ref="A2:G2"/>
    <mergeCell ref="A5:G5"/>
    <mergeCell ref="A9:G9"/>
    <mergeCell ref="A17:G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1"/>
  <sheetViews>
    <sheetView workbookViewId="0"/>
  </sheetViews>
  <sheetFormatPr defaultRowHeight="14.25"/>
  <cols>
    <col min="1" max="1" width="40" customWidth="1"/>
    <col min="2" max="26" width="12" customWidth="1"/>
  </cols>
  <sheetData>
    <row r="1" spans="1:26" ht="19.5">
      <c r="A1" s="25" t="s">
        <v>266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>
      <c r="A2" s="26" t="s">
        <v>267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>
      <c r="A4" s="17" t="s">
        <v>268</v>
      </c>
      <c r="B4" s="17">
        <v>1</v>
      </c>
      <c r="C4" s="17">
        <v>2</v>
      </c>
      <c r="D4" s="17">
        <v>3</v>
      </c>
      <c r="E4" s="17">
        <v>4</v>
      </c>
      <c r="F4" s="17">
        <v>5</v>
      </c>
      <c r="G4" s="17">
        <v>6</v>
      </c>
      <c r="H4" s="17">
        <v>7</v>
      </c>
      <c r="I4" s="17">
        <v>8</v>
      </c>
      <c r="J4" s="17">
        <v>9</v>
      </c>
      <c r="K4" s="17">
        <v>10</v>
      </c>
      <c r="L4" s="17">
        <v>11</v>
      </c>
      <c r="M4" s="17">
        <v>12</v>
      </c>
      <c r="N4" s="17">
        <v>13</v>
      </c>
      <c r="O4" s="17">
        <v>14</v>
      </c>
      <c r="P4" s="17">
        <v>15</v>
      </c>
      <c r="Q4" s="17">
        <v>16</v>
      </c>
      <c r="R4" s="17">
        <v>17</v>
      </c>
      <c r="S4" s="17">
        <v>18</v>
      </c>
      <c r="T4" s="17">
        <v>19</v>
      </c>
      <c r="U4" s="17">
        <v>20</v>
      </c>
      <c r="V4" s="17">
        <v>21</v>
      </c>
      <c r="W4" s="17">
        <v>22</v>
      </c>
      <c r="X4" s="17">
        <v>23</v>
      </c>
      <c r="Y4" s="17">
        <v>24</v>
      </c>
      <c r="Z4" s="17" t="s">
        <v>269</v>
      </c>
    </row>
    <row r="5" spans="1:26" ht="15">
      <c r="A5" s="17" t="s">
        <v>270</v>
      </c>
      <c r="B5" s="48">
        <f>DATE(YEAR(Assumptions!$B$7),MONTH(Assumptions!$B$7)+0,1)</f>
        <v>46296</v>
      </c>
      <c r="C5" s="48">
        <f>DATE(YEAR(Assumptions!$B$7),MONTH(Assumptions!$B$7)+1,1)</f>
        <v>46327</v>
      </c>
      <c r="D5" s="48">
        <f>DATE(YEAR(Assumptions!$B$7),MONTH(Assumptions!$B$7)+2,1)</f>
        <v>46357</v>
      </c>
      <c r="E5" s="48">
        <f>DATE(YEAR(Assumptions!$B$7),MONTH(Assumptions!$B$7)+3,1)</f>
        <v>46388</v>
      </c>
      <c r="F5" s="48">
        <f>DATE(YEAR(Assumptions!$B$7),MONTH(Assumptions!$B$7)+4,1)</f>
        <v>46419</v>
      </c>
      <c r="G5" s="48">
        <f>DATE(YEAR(Assumptions!$B$7),MONTH(Assumptions!$B$7)+5,1)</f>
        <v>46447</v>
      </c>
      <c r="H5" s="48">
        <f>DATE(YEAR(Assumptions!$B$7),MONTH(Assumptions!$B$7)+6,1)</f>
        <v>46478</v>
      </c>
      <c r="I5" s="48">
        <f>DATE(YEAR(Assumptions!$B$7),MONTH(Assumptions!$B$7)+7,1)</f>
        <v>46508</v>
      </c>
      <c r="J5" s="48">
        <f>DATE(YEAR(Assumptions!$B$7),MONTH(Assumptions!$B$7)+8,1)</f>
        <v>46539</v>
      </c>
      <c r="K5" s="48">
        <f>DATE(YEAR(Assumptions!$B$7),MONTH(Assumptions!$B$7)+9,1)</f>
        <v>46569</v>
      </c>
      <c r="L5" s="48">
        <f>DATE(YEAR(Assumptions!$B$7),MONTH(Assumptions!$B$7)+10,1)</f>
        <v>46600</v>
      </c>
      <c r="M5" s="48">
        <f>DATE(YEAR(Assumptions!$B$7),MONTH(Assumptions!$B$7)+11,1)</f>
        <v>46631</v>
      </c>
      <c r="N5" s="48">
        <f>DATE(YEAR(Assumptions!$B$7),MONTH(Assumptions!$B$7)+12,1)</f>
        <v>46661</v>
      </c>
      <c r="O5" s="48">
        <f>DATE(YEAR(Assumptions!$B$7),MONTH(Assumptions!$B$7)+13,1)</f>
        <v>46692</v>
      </c>
      <c r="P5" s="48">
        <f>DATE(YEAR(Assumptions!$B$7),MONTH(Assumptions!$B$7)+14,1)</f>
        <v>46722</v>
      </c>
      <c r="Q5" s="48">
        <f>DATE(YEAR(Assumptions!$B$7),MONTH(Assumptions!$B$7)+15,1)</f>
        <v>46753</v>
      </c>
      <c r="R5" s="48">
        <f>DATE(YEAR(Assumptions!$B$7),MONTH(Assumptions!$B$7)+16,1)</f>
        <v>46784</v>
      </c>
      <c r="S5" s="48">
        <f>DATE(YEAR(Assumptions!$B$7),MONTH(Assumptions!$B$7)+17,1)</f>
        <v>46813</v>
      </c>
      <c r="T5" s="48">
        <f>DATE(YEAR(Assumptions!$B$7),MONTH(Assumptions!$B$7)+18,1)</f>
        <v>46844</v>
      </c>
      <c r="U5" s="48">
        <f>DATE(YEAR(Assumptions!$B$7),MONTH(Assumptions!$B$7)+19,1)</f>
        <v>46874</v>
      </c>
      <c r="V5" s="48">
        <f>DATE(YEAR(Assumptions!$B$7),MONTH(Assumptions!$B$7)+20,1)</f>
        <v>46905</v>
      </c>
      <c r="W5" s="48">
        <f>DATE(YEAR(Assumptions!$B$7),MONTH(Assumptions!$B$7)+21,1)</f>
        <v>46935</v>
      </c>
      <c r="X5" s="48">
        <f>DATE(YEAR(Assumptions!$B$7),MONTH(Assumptions!$B$7)+22,1)</f>
        <v>46966</v>
      </c>
      <c r="Y5" s="48">
        <f>DATE(YEAR(Assumptions!$B$7),MONTH(Assumptions!$B$7)+23,1)</f>
        <v>46997</v>
      </c>
      <c r="Z5" s="17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>
      <c r="A7" s="27" t="s">
        <v>271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>
      <c r="A8" s="1" t="s">
        <v>272</v>
      </c>
      <c r="B8" s="16">
        <v>0.05</v>
      </c>
      <c r="C8" s="16">
        <v>0.05</v>
      </c>
      <c r="D8" s="16">
        <v>7.4999999999999997E-2</v>
      </c>
      <c r="E8" s="16">
        <v>7.4999999999999997E-2</v>
      </c>
      <c r="F8" s="16">
        <v>0.1</v>
      </c>
      <c r="G8" s="16">
        <v>0.1</v>
      </c>
      <c r="H8" s="16">
        <v>0.1</v>
      </c>
      <c r="I8" s="16">
        <v>0.1</v>
      </c>
      <c r="J8" s="16">
        <v>0.1</v>
      </c>
      <c r="K8" s="16">
        <v>0.1</v>
      </c>
      <c r="L8" s="16">
        <v>7.4999999999999997E-2</v>
      </c>
      <c r="M8" s="16">
        <v>7.4999999999999997E-2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7">
        <f>SUM(B8:Y8)</f>
        <v>0.99999999999999978</v>
      </c>
    </row>
    <row r="9" spans="1:26">
      <c r="A9" s="1" t="s">
        <v>273</v>
      </c>
      <c r="B9" s="10">
        <f>Assumptions!$B$11*B$8</f>
        <v>1856.25</v>
      </c>
      <c r="C9" s="10">
        <f>Assumptions!$B$11*C$8</f>
        <v>1856.25</v>
      </c>
      <c r="D9" s="10">
        <f>Assumptions!$B$11*D$8</f>
        <v>2784.375</v>
      </c>
      <c r="E9" s="10">
        <f>Assumptions!$B$11*E$8</f>
        <v>2784.375</v>
      </c>
      <c r="F9" s="10">
        <f>Assumptions!$B$11*F$8</f>
        <v>3712.5</v>
      </c>
      <c r="G9" s="10">
        <f>Assumptions!$B$11*G$8</f>
        <v>3712.5</v>
      </c>
      <c r="H9" s="10">
        <f>Assumptions!$B$11*H$8</f>
        <v>3712.5</v>
      </c>
      <c r="I9" s="10">
        <f>Assumptions!$B$11*I$8</f>
        <v>3712.5</v>
      </c>
      <c r="J9" s="10">
        <f>Assumptions!$B$11*J$8</f>
        <v>3712.5</v>
      </c>
      <c r="K9" s="10">
        <f>Assumptions!$B$11*K$8</f>
        <v>3712.5</v>
      </c>
      <c r="L9" s="10">
        <f>Assumptions!$B$11*L$8</f>
        <v>2784.375</v>
      </c>
      <c r="M9" s="10">
        <f>Assumptions!$B$11*M$8</f>
        <v>2784.375</v>
      </c>
      <c r="N9" s="10">
        <f>Assumptions!$B$11*N$8</f>
        <v>0</v>
      </c>
      <c r="O9" s="10">
        <f>Assumptions!$B$11*O$8</f>
        <v>0</v>
      </c>
      <c r="P9" s="10">
        <f>Assumptions!$B$11*P$8</f>
        <v>0</v>
      </c>
      <c r="Q9" s="10">
        <f>Assumptions!$B$11*Q$8</f>
        <v>0</v>
      </c>
      <c r="R9" s="10">
        <f>Assumptions!$B$11*R$8</f>
        <v>0</v>
      </c>
      <c r="S9" s="10">
        <f>Assumptions!$B$11*S$8</f>
        <v>0</v>
      </c>
      <c r="T9" s="10">
        <f>Assumptions!$B$11*T$8</f>
        <v>0</v>
      </c>
      <c r="U9" s="10">
        <f>Assumptions!$B$11*U$8</f>
        <v>0</v>
      </c>
      <c r="V9" s="10">
        <f>Assumptions!$B$11*V$8</f>
        <v>0</v>
      </c>
      <c r="W9" s="10">
        <f>Assumptions!$B$11*W$8</f>
        <v>0</v>
      </c>
      <c r="X9" s="10">
        <f>Assumptions!$B$11*X$8</f>
        <v>0</v>
      </c>
      <c r="Y9" s="10">
        <f>Assumptions!$B$11*Y$8</f>
        <v>0</v>
      </c>
      <c r="Z9" s="10">
        <f>SUM(B9:Y9)</f>
        <v>37125</v>
      </c>
    </row>
    <row r="10" spans="1:26">
      <c r="A10" s="1" t="s">
        <v>274</v>
      </c>
      <c r="B10" s="10">
        <f>B9</f>
        <v>1856.25</v>
      </c>
      <c r="C10" s="10">
        <f t="shared" ref="C10:Y10" si="0">B10+C9</f>
        <v>3712.5</v>
      </c>
      <c r="D10" s="10">
        <f t="shared" si="0"/>
        <v>6496.875</v>
      </c>
      <c r="E10" s="10">
        <f t="shared" si="0"/>
        <v>9281.25</v>
      </c>
      <c r="F10" s="10">
        <f t="shared" si="0"/>
        <v>12993.75</v>
      </c>
      <c r="G10" s="10">
        <f t="shared" si="0"/>
        <v>16706.25</v>
      </c>
      <c r="H10" s="10">
        <f t="shared" si="0"/>
        <v>20418.75</v>
      </c>
      <c r="I10" s="10">
        <f t="shared" si="0"/>
        <v>24131.25</v>
      </c>
      <c r="J10" s="10">
        <f t="shared" si="0"/>
        <v>27843.75</v>
      </c>
      <c r="K10" s="10">
        <f t="shared" si="0"/>
        <v>31556.25</v>
      </c>
      <c r="L10" s="10">
        <f t="shared" si="0"/>
        <v>34340.625</v>
      </c>
      <c r="M10" s="10">
        <f t="shared" si="0"/>
        <v>37125</v>
      </c>
      <c r="N10" s="10">
        <f t="shared" si="0"/>
        <v>37125</v>
      </c>
      <c r="O10" s="10">
        <f t="shared" si="0"/>
        <v>37125</v>
      </c>
      <c r="P10" s="10">
        <f t="shared" si="0"/>
        <v>37125</v>
      </c>
      <c r="Q10" s="10">
        <f t="shared" si="0"/>
        <v>37125</v>
      </c>
      <c r="R10" s="10">
        <f t="shared" si="0"/>
        <v>37125</v>
      </c>
      <c r="S10" s="10">
        <f t="shared" si="0"/>
        <v>37125</v>
      </c>
      <c r="T10" s="10">
        <f t="shared" si="0"/>
        <v>37125</v>
      </c>
      <c r="U10" s="10">
        <f t="shared" si="0"/>
        <v>37125</v>
      </c>
      <c r="V10" s="10">
        <f t="shared" si="0"/>
        <v>37125</v>
      </c>
      <c r="W10" s="10">
        <f t="shared" si="0"/>
        <v>37125</v>
      </c>
      <c r="X10" s="10">
        <f t="shared" si="0"/>
        <v>37125</v>
      </c>
      <c r="Y10" s="10">
        <f t="shared" si="0"/>
        <v>37125</v>
      </c>
      <c r="Z10" s="10">
        <f>Y10</f>
        <v>37125</v>
      </c>
    </row>
    <row r="11" spans="1:26">
      <c r="A11" s="1" t="s">
        <v>275</v>
      </c>
      <c r="B11" s="11">
        <f>B9*Assumptions!$B$18</f>
        <v>1039500</v>
      </c>
      <c r="C11" s="11">
        <f>C9*Assumptions!$B$18</f>
        <v>1039500</v>
      </c>
      <c r="D11" s="11">
        <f>D9*Assumptions!$B$18</f>
        <v>1559250</v>
      </c>
      <c r="E11" s="11">
        <f>E9*Assumptions!$B$18</f>
        <v>1559250</v>
      </c>
      <c r="F11" s="11">
        <f>F9*Assumptions!$B$18</f>
        <v>2079000</v>
      </c>
      <c r="G11" s="11">
        <f>G9*Assumptions!$B$18</f>
        <v>2079000</v>
      </c>
      <c r="H11" s="11">
        <f>H9*Assumptions!$B$18</f>
        <v>2079000</v>
      </c>
      <c r="I11" s="11">
        <f>I9*Assumptions!$B$18</f>
        <v>2079000</v>
      </c>
      <c r="J11" s="11">
        <f>J9*Assumptions!$B$18</f>
        <v>2079000</v>
      </c>
      <c r="K11" s="11">
        <f>K9*Assumptions!$B$18</f>
        <v>2079000</v>
      </c>
      <c r="L11" s="11">
        <f>L9*Assumptions!$B$18</f>
        <v>1559250</v>
      </c>
      <c r="M11" s="11">
        <f>M9*Assumptions!$B$18</f>
        <v>1559250</v>
      </c>
      <c r="N11" s="11">
        <f>N9*Assumptions!$B$18</f>
        <v>0</v>
      </c>
      <c r="O11" s="11">
        <f>O9*Assumptions!$B$18</f>
        <v>0</v>
      </c>
      <c r="P11" s="11">
        <f>P9*Assumptions!$B$18</f>
        <v>0</v>
      </c>
      <c r="Q11" s="11">
        <f>Q9*Assumptions!$B$18</f>
        <v>0</v>
      </c>
      <c r="R11" s="11">
        <f>R9*Assumptions!$B$18</f>
        <v>0</v>
      </c>
      <c r="S11" s="11">
        <f>S9*Assumptions!$B$18</f>
        <v>0</v>
      </c>
      <c r="T11" s="11">
        <f>T9*Assumptions!$B$18</f>
        <v>0</v>
      </c>
      <c r="U11" s="11">
        <f>U9*Assumptions!$B$18</f>
        <v>0</v>
      </c>
      <c r="V11" s="11">
        <f>V9*Assumptions!$B$18</f>
        <v>0</v>
      </c>
      <c r="W11" s="11">
        <f>W9*Assumptions!$B$18</f>
        <v>0</v>
      </c>
      <c r="X11" s="11">
        <f>X9*Assumptions!$B$18</f>
        <v>0</v>
      </c>
      <c r="Y11" s="11">
        <f>Y9*Assumptions!$B$18</f>
        <v>0</v>
      </c>
      <c r="Z11" s="11">
        <f>SUM(B11:Y11)</f>
        <v>20790000</v>
      </c>
    </row>
    <row r="12" spans="1:26">
      <c r="A12" s="1" t="s">
        <v>276</v>
      </c>
      <c r="B12" s="11">
        <f>0</f>
        <v>0</v>
      </c>
      <c r="C12" s="11">
        <f>0</f>
        <v>0</v>
      </c>
      <c r="D12" s="11">
        <f>0</f>
        <v>0</v>
      </c>
      <c r="E12" s="11">
        <f>0</f>
        <v>0</v>
      </c>
      <c r="F12" s="11">
        <f>0</f>
        <v>0</v>
      </c>
      <c r="G12" s="11">
        <f>0</f>
        <v>0</v>
      </c>
      <c r="H12" s="11">
        <f>0</f>
        <v>0</v>
      </c>
      <c r="I12" s="11">
        <f>0</f>
        <v>0</v>
      </c>
      <c r="J12" s="11">
        <f>0</f>
        <v>0</v>
      </c>
      <c r="K12" s="11">
        <f>0</f>
        <v>0</v>
      </c>
      <c r="L12" s="11">
        <f>0</f>
        <v>0</v>
      </c>
      <c r="M12" s="11">
        <f>0</f>
        <v>0</v>
      </c>
      <c r="N12" s="11">
        <f>0</f>
        <v>0</v>
      </c>
      <c r="O12" s="11">
        <f>0</f>
        <v>0</v>
      </c>
      <c r="P12" s="11">
        <f>0</f>
        <v>0</v>
      </c>
      <c r="Q12" s="11">
        <f>0</f>
        <v>0</v>
      </c>
      <c r="R12" s="11">
        <f>0</f>
        <v>0</v>
      </c>
      <c r="S12" s="11">
        <f>0</f>
        <v>0</v>
      </c>
      <c r="T12" s="11">
        <f>0</f>
        <v>0</v>
      </c>
      <c r="U12" s="11">
        <f>0</f>
        <v>0</v>
      </c>
      <c r="V12" s="11">
        <f>0</f>
        <v>0</v>
      </c>
      <c r="W12" s="11">
        <f>0</f>
        <v>0</v>
      </c>
      <c r="X12" s="11">
        <f>0</f>
        <v>0</v>
      </c>
      <c r="Y12" s="11">
        <f>0</f>
        <v>0</v>
      </c>
      <c r="Z12" s="11">
        <f>SUM(B12:Y12)</f>
        <v>0</v>
      </c>
    </row>
    <row r="13" spans="1:26">
      <c r="A13" s="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">
      <c r="A14" s="27" t="s">
        <v>277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>
      <c r="A15" s="1" t="s">
        <v>278</v>
      </c>
      <c r="B15" s="7">
        <f>IF(B$4=Assumptions!$B$44,Assumptions!$B$20,0)</f>
        <v>0</v>
      </c>
      <c r="C15" s="7">
        <f>IF(C$4=Assumptions!$B$44,Assumptions!$B$20,0)</f>
        <v>0</v>
      </c>
      <c r="D15" s="7">
        <f>IF(D$4=Assumptions!$B$44,Assumptions!$B$20,0)</f>
        <v>0</v>
      </c>
      <c r="E15" s="7">
        <f>IF(E$4=Assumptions!$B$44,Assumptions!$B$20,0)</f>
        <v>0</v>
      </c>
      <c r="F15" s="7">
        <f>IF(F$4=Assumptions!$B$44,Assumptions!$B$20,0)</f>
        <v>0</v>
      </c>
      <c r="G15" s="7">
        <f>IF(G$4=Assumptions!$B$44,Assumptions!$B$20,0)</f>
        <v>0</v>
      </c>
      <c r="H15" s="7">
        <f>IF(H$4=Assumptions!$B$44,Assumptions!$B$20,0)</f>
        <v>0</v>
      </c>
      <c r="I15" s="7">
        <f>IF(I$4=Assumptions!$B$44,Assumptions!$B$20,0)</f>
        <v>0</v>
      </c>
      <c r="J15" s="7">
        <f>IF(J$4=Assumptions!$B$44,Assumptions!$B$20,0)</f>
        <v>0</v>
      </c>
      <c r="K15" s="7">
        <f>IF(K$4=Assumptions!$B$44,Assumptions!$B$20,0)</f>
        <v>0</v>
      </c>
      <c r="L15" s="7">
        <f>IF(L$4=Assumptions!$B$44,Assumptions!$B$20,0)</f>
        <v>0</v>
      </c>
      <c r="M15" s="7">
        <f>IF(M$4=Assumptions!$B$44,Assumptions!$B$20,0)</f>
        <v>0</v>
      </c>
      <c r="N15" s="7">
        <f>IF(N$4=Assumptions!$B$44,Assumptions!$B$20,0)</f>
        <v>1</v>
      </c>
      <c r="O15" s="7">
        <f>IF(O$4=Assumptions!$B$44,Assumptions!$B$20,0)</f>
        <v>0</v>
      </c>
      <c r="P15" s="7">
        <f>IF(P$4=Assumptions!$B$44,Assumptions!$B$20,0)</f>
        <v>0</v>
      </c>
      <c r="Q15" s="7">
        <f>IF(Q$4=Assumptions!$B$44,Assumptions!$B$20,0)</f>
        <v>0</v>
      </c>
      <c r="R15" s="7">
        <f>IF(R$4=Assumptions!$B$44,Assumptions!$B$20,0)</f>
        <v>0</v>
      </c>
      <c r="S15" s="7">
        <f>IF(S$4=Assumptions!$B$44,Assumptions!$B$20,0)</f>
        <v>0</v>
      </c>
      <c r="T15" s="7">
        <f>IF(T$4=Assumptions!$B$44,Assumptions!$B$20,0)</f>
        <v>0</v>
      </c>
      <c r="U15" s="7">
        <f>IF(U$4=Assumptions!$B$44,Assumptions!$B$20,0)</f>
        <v>0</v>
      </c>
      <c r="V15" s="7">
        <f>IF(V$4=Assumptions!$B$44,Assumptions!$B$20,0)</f>
        <v>0</v>
      </c>
      <c r="W15" s="7">
        <f>IF(W$4=Assumptions!$B$44,Assumptions!$B$20,0)</f>
        <v>0</v>
      </c>
      <c r="X15" s="7">
        <f>IF(X$4=Assumptions!$B$44,Assumptions!$B$20,0)</f>
        <v>0</v>
      </c>
      <c r="Y15" s="7">
        <f>IF(Y$4=Assumptions!$B$44,Assumptions!$B$20,0)</f>
        <v>0</v>
      </c>
      <c r="Z15" s="7">
        <f>SUM(B15:Y15)</f>
        <v>1</v>
      </c>
    </row>
    <row r="16" spans="1:26">
      <c r="A16" s="1" t="s">
        <v>279</v>
      </c>
      <c r="B16" s="10">
        <f>Assumptions!$B$11*B$15</f>
        <v>0</v>
      </c>
      <c r="C16" s="10">
        <f>Assumptions!$B$11*C$15</f>
        <v>0</v>
      </c>
      <c r="D16" s="10">
        <f>Assumptions!$B$11*D$15</f>
        <v>0</v>
      </c>
      <c r="E16" s="10">
        <f>Assumptions!$B$11*E$15</f>
        <v>0</v>
      </c>
      <c r="F16" s="10">
        <f>Assumptions!$B$11*F$15</f>
        <v>0</v>
      </c>
      <c r="G16" s="10">
        <f>Assumptions!$B$11*G$15</f>
        <v>0</v>
      </c>
      <c r="H16" s="10">
        <f>Assumptions!$B$11*H$15</f>
        <v>0</v>
      </c>
      <c r="I16" s="10">
        <f>Assumptions!$B$11*I$15</f>
        <v>0</v>
      </c>
      <c r="J16" s="10">
        <f>Assumptions!$B$11*J$15</f>
        <v>0</v>
      </c>
      <c r="K16" s="10">
        <f>Assumptions!$B$11*K$15</f>
        <v>0</v>
      </c>
      <c r="L16" s="10">
        <f>Assumptions!$B$11*L$15</f>
        <v>0</v>
      </c>
      <c r="M16" s="10">
        <f>Assumptions!$B$11*M$15</f>
        <v>0</v>
      </c>
      <c r="N16" s="10">
        <f>Assumptions!$B$11*N$15</f>
        <v>37125</v>
      </c>
      <c r="O16" s="10">
        <f>Assumptions!$B$11*O$15</f>
        <v>0</v>
      </c>
      <c r="P16" s="10">
        <f>Assumptions!$B$11*P$15</f>
        <v>0</v>
      </c>
      <c r="Q16" s="10">
        <f>Assumptions!$B$11*Q$15</f>
        <v>0</v>
      </c>
      <c r="R16" s="10">
        <f>Assumptions!$B$11*R$15</f>
        <v>0</v>
      </c>
      <c r="S16" s="10">
        <f>Assumptions!$B$11*S$15</f>
        <v>0</v>
      </c>
      <c r="T16" s="10">
        <f>Assumptions!$B$11*T$15</f>
        <v>0</v>
      </c>
      <c r="U16" s="10">
        <f>Assumptions!$B$11*U$15</f>
        <v>0</v>
      </c>
      <c r="V16" s="10">
        <f>Assumptions!$B$11*V$15</f>
        <v>0</v>
      </c>
      <c r="W16" s="10">
        <f>Assumptions!$B$11*W$15</f>
        <v>0</v>
      </c>
      <c r="X16" s="10">
        <f>Assumptions!$B$11*X$15</f>
        <v>0</v>
      </c>
      <c r="Y16" s="10">
        <f>Assumptions!$B$11*Y$15</f>
        <v>0</v>
      </c>
      <c r="Z16" s="10">
        <f>SUM(B16:Y16)</f>
        <v>37125</v>
      </c>
    </row>
    <row r="17" spans="1:26">
      <c r="A17" s="27" t="s">
        <v>280</v>
      </c>
      <c r="B17" s="49">
        <f>B16</f>
        <v>0</v>
      </c>
      <c r="C17" s="49">
        <f t="shared" ref="C17:Y17" si="1">B17+C16</f>
        <v>0</v>
      </c>
      <c r="D17" s="49">
        <f t="shared" si="1"/>
        <v>0</v>
      </c>
      <c r="E17" s="49">
        <f t="shared" si="1"/>
        <v>0</v>
      </c>
      <c r="F17" s="49">
        <f t="shared" si="1"/>
        <v>0</v>
      </c>
      <c r="G17" s="49">
        <f t="shared" si="1"/>
        <v>0</v>
      </c>
      <c r="H17" s="49">
        <f t="shared" si="1"/>
        <v>0</v>
      </c>
      <c r="I17" s="49">
        <f t="shared" si="1"/>
        <v>0</v>
      </c>
      <c r="J17" s="49">
        <f t="shared" si="1"/>
        <v>0</v>
      </c>
      <c r="K17" s="49">
        <f t="shared" si="1"/>
        <v>0</v>
      </c>
      <c r="L17" s="49">
        <f t="shared" si="1"/>
        <v>0</v>
      </c>
      <c r="M17" s="49">
        <f t="shared" si="1"/>
        <v>0</v>
      </c>
      <c r="N17" s="49">
        <f t="shared" si="1"/>
        <v>37125</v>
      </c>
      <c r="O17" s="49">
        <f t="shared" si="1"/>
        <v>37125</v>
      </c>
      <c r="P17" s="49">
        <f t="shared" si="1"/>
        <v>37125</v>
      </c>
      <c r="Q17" s="49">
        <f t="shared" si="1"/>
        <v>37125</v>
      </c>
      <c r="R17" s="49">
        <f t="shared" si="1"/>
        <v>37125</v>
      </c>
      <c r="S17" s="49">
        <f t="shared" si="1"/>
        <v>37125</v>
      </c>
      <c r="T17" s="49">
        <f t="shared" si="1"/>
        <v>37125</v>
      </c>
      <c r="U17" s="49">
        <f t="shared" si="1"/>
        <v>37125</v>
      </c>
      <c r="V17" s="49">
        <f t="shared" si="1"/>
        <v>37125</v>
      </c>
      <c r="W17" s="49">
        <f t="shared" si="1"/>
        <v>37125</v>
      </c>
      <c r="X17" s="49">
        <f t="shared" si="1"/>
        <v>37125</v>
      </c>
      <c r="Y17" s="49">
        <f t="shared" si="1"/>
        <v>37125</v>
      </c>
      <c r="Z17" s="49">
        <f>Y17</f>
        <v>37125</v>
      </c>
    </row>
    <row r="18" spans="1:26">
      <c r="A18" s="1" t="s">
        <v>281</v>
      </c>
      <c r="B18" s="38">
        <f>B16*Assumptions!$B$18</f>
        <v>0</v>
      </c>
      <c r="C18" s="38">
        <f>C16*Assumptions!$B$18</f>
        <v>0</v>
      </c>
      <c r="D18" s="38">
        <f>D16*Assumptions!$B$18</f>
        <v>0</v>
      </c>
      <c r="E18" s="38">
        <f>E16*Assumptions!$B$18</f>
        <v>0</v>
      </c>
      <c r="F18" s="38">
        <f>F16*Assumptions!$B$18</f>
        <v>0</v>
      </c>
      <c r="G18" s="38">
        <f>G16*Assumptions!$B$18</f>
        <v>0</v>
      </c>
      <c r="H18" s="38">
        <f>H16*Assumptions!$B$18</f>
        <v>0</v>
      </c>
      <c r="I18" s="38">
        <f>I16*Assumptions!$B$18</f>
        <v>0</v>
      </c>
      <c r="J18" s="38">
        <f>J16*Assumptions!$B$18</f>
        <v>0</v>
      </c>
      <c r="K18" s="38">
        <f>K16*Assumptions!$B$18</f>
        <v>0</v>
      </c>
      <c r="L18" s="38">
        <f>L16*Assumptions!$B$18</f>
        <v>0</v>
      </c>
      <c r="M18" s="38">
        <f>M16*Assumptions!$B$18</f>
        <v>0</v>
      </c>
      <c r="N18" s="38">
        <f>N16*Assumptions!$B$18</f>
        <v>20790000</v>
      </c>
      <c r="O18" s="38">
        <f>O16*Assumptions!$B$18</f>
        <v>0</v>
      </c>
      <c r="P18" s="38">
        <f>P16*Assumptions!$B$18</f>
        <v>0</v>
      </c>
      <c r="Q18" s="38">
        <f>Q16*Assumptions!$B$18</f>
        <v>0</v>
      </c>
      <c r="R18" s="38">
        <f>R16*Assumptions!$B$18</f>
        <v>0</v>
      </c>
      <c r="S18" s="38">
        <f>S16*Assumptions!$B$18</f>
        <v>0</v>
      </c>
      <c r="T18" s="38">
        <f>T16*Assumptions!$B$18</f>
        <v>0</v>
      </c>
      <c r="U18" s="38">
        <f>U16*Assumptions!$B$18</f>
        <v>0</v>
      </c>
      <c r="V18" s="38">
        <f>V16*Assumptions!$B$18</f>
        <v>0</v>
      </c>
      <c r="W18" s="38">
        <f>W16*Assumptions!$B$18</f>
        <v>0</v>
      </c>
      <c r="X18" s="38">
        <f>X16*Assumptions!$B$18</f>
        <v>0</v>
      </c>
      <c r="Y18" s="38">
        <f>Y16*Assumptions!$B$18</f>
        <v>0</v>
      </c>
      <c r="Z18" s="11">
        <f>SUM(B18:Y18)</f>
        <v>20790000</v>
      </c>
    </row>
    <row r="19" spans="1:26">
      <c r="A19" s="1" t="s">
        <v>282</v>
      </c>
      <c r="B19" s="11">
        <f>B18*Assumptions!$B$21</f>
        <v>0</v>
      </c>
      <c r="C19" s="11">
        <f>C18*Assumptions!$B$21</f>
        <v>0</v>
      </c>
      <c r="D19" s="11">
        <f>D18*Assumptions!$B$21</f>
        <v>0</v>
      </c>
      <c r="E19" s="11">
        <f>E18*Assumptions!$B$21</f>
        <v>0</v>
      </c>
      <c r="F19" s="11">
        <f>F18*Assumptions!$B$21</f>
        <v>0</v>
      </c>
      <c r="G19" s="11">
        <f>G18*Assumptions!$B$21</f>
        <v>0</v>
      </c>
      <c r="H19" s="11">
        <f>H18*Assumptions!$B$21</f>
        <v>0</v>
      </c>
      <c r="I19" s="11">
        <f>I18*Assumptions!$B$21</f>
        <v>0</v>
      </c>
      <c r="J19" s="11">
        <f>J18*Assumptions!$B$21</f>
        <v>0</v>
      </c>
      <c r="K19" s="11">
        <f>K18*Assumptions!$B$21</f>
        <v>0</v>
      </c>
      <c r="L19" s="11">
        <f>L18*Assumptions!$B$21</f>
        <v>0</v>
      </c>
      <c r="M19" s="11">
        <f>M18*Assumptions!$B$21</f>
        <v>0</v>
      </c>
      <c r="N19" s="11">
        <f>N18*Assumptions!$B$21</f>
        <v>6237000</v>
      </c>
      <c r="O19" s="11">
        <f>O18*Assumptions!$B$21</f>
        <v>0</v>
      </c>
      <c r="P19" s="11">
        <f>P18*Assumptions!$B$21</f>
        <v>0</v>
      </c>
      <c r="Q19" s="11">
        <f>Q18*Assumptions!$B$21</f>
        <v>0</v>
      </c>
      <c r="R19" s="11">
        <f>R18*Assumptions!$B$21</f>
        <v>0</v>
      </c>
      <c r="S19" s="11">
        <f>S18*Assumptions!$B$21</f>
        <v>0</v>
      </c>
      <c r="T19" s="11">
        <f>T18*Assumptions!$B$21</f>
        <v>0</v>
      </c>
      <c r="U19" s="11">
        <f>U18*Assumptions!$B$21</f>
        <v>0</v>
      </c>
      <c r="V19" s="11">
        <f>V18*Assumptions!$B$21</f>
        <v>0</v>
      </c>
      <c r="W19" s="11">
        <f>W18*Assumptions!$B$21</f>
        <v>0</v>
      </c>
      <c r="X19" s="11">
        <f>X18*Assumptions!$B$21</f>
        <v>0</v>
      </c>
      <c r="Y19" s="11">
        <f>Y18*Assumptions!$B$21</f>
        <v>0</v>
      </c>
      <c r="Z19" s="11">
        <f>SUM(B19:Y19)</f>
        <v>6237000</v>
      </c>
    </row>
    <row r="20" spans="1:26">
      <c r="A20" s="1" t="s">
        <v>283</v>
      </c>
      <c r="B20" s="11">
        <f>B18*Assumptions!$B$23</f>
        <v>0</v>
      </c>
      <c r="C20" s="11">
        <f>C18*Assumptions!$B$23</f>
        <v>0</v>
      </c>
      <c r="D20" s="11">
        <f>D18*Assumptions!$B$23</f>
        <v>0</v>
      </c>
      <c r="E20" s="11">
        <f>E18*Assumptions!$B$23</f>
        <v>0</v>
      </c>
      <c r="F20" s="11">
        <f>F18*Assumptions!$B$23</f>
        <v>0</v>
      </c>
      <c r="G20" s="11">
        <f>G18*Assumptions!$B$23</f>
        <v>0</v>
      </c>
      <c r="H20" s="11">
        <f>H18*Assumptions!$B$23</f>
        <v>0</v>
      </c>
      <c r="I20" s="11">
        <f>I18*Assumptions!$B$23</f>
        <v>0</v>
      </c>
      <c r="J20" s="11">
        <f>J18*Assumptions!$B$23</f>
        <v>0</v>
      </c>
      <c r="K20" s="11">
        <f>K18*Assumptions!$B$23</f>
        <v>0</v>
      </c>
      <c r="L20" s="11">
        <f>L18*Assumptions!$B$23</f>
        <v>0</v>
      </c>
      <c r="M20" s="11">
        <f>M18*Assumptions!$B$23</f>
        <v>0</v>
      </c>
      <c r="N20" s="11">
        <f>N18*Assumptions!$B$23</f>
        <v>4158000</v>
      </c>
      <c r="O20" s="11">
        <f>O18*Assumptions!$B$23</f>
        <v>0</v>
      </c>
      <c r="P20" s="11">
        <f>P18*Assumptions!$B$23</f>
        <v>0</v>
      </c>
      <c r="Q20" s="11">
        <f>Q18*Assumptions!$B$23</f>
        <v>0</v>
      </c>
      <c r="R20" s="11">
        <f>R18*Assumptions!$B$23</f>
        <v>0</v>
      </c>
      <c r="S20" s="11">
        <f>S18*Assumptions!$B$23</f>
        <v>0</v>
      </c>
      <c r="T20" s="11">
        <f>T18*Assumptions!$B$23</f>
        <v>0</v>
      </c>
      <c r="U20" s="11">
        <f>U18*Assumptions!$B$23</f>
        <v>0</v>
      </c>
      <c r="V20" s="11">
        <f>V18*Assumptions!$B$23</f>
        <v>0</v>
      </c>
      <c r="W20" s="11">
        <f>W18*Assumptions!$B$23</f>
        <v>0</v>
      </c>
      <c r="X20" s="11">
        <f>X18*Assumptions!$B$23</f>
        <v>0</v>
      </c>
      <c r="Y20" s="11">
        <f>Y18*Assumptions!$B$23</f>
        <v>0</v>
      </c>
      <c r="Z20" s="11">
        <f>SUM(B20:Y20)</f>
        <v>4158000</v>
      </c>
    </row>
    <row r="21" spans="1:26">
      <c r="A21" s="1" t="s">
        <v>284</v>
      </c>
      <c r="B21" s="11">
        <f>B18*Assumptions!$B$22</f>
        <v>0</v>
      </c>
      <c r="C21" s="11">
        <f>C18*Assumptions!$B$22</f>
        <v>0</v>
      </c>
      <c r="D21" s="11">
        <f>D18*Assumptions!$B$22</f>
        <v>0</v>
      </c>
      <c r="E21" s="11">
        <f>E18*Assumptions!$B$22</f>
        <v>0</v>
      </c>
      <c r="F21" s="11">
        <f>F18*Assumptions!$B$22</f>
        <v>0</v>
      </c>
      <c r="G21" s="11">
        <f>G18*Assumptions!$B$22</f>
        <v>0</v>
      </c>
      <c r="H21" s="11">
        <f>H18*Assumptions!$B$22</f>
        <v>0</v>
      </c>
      <c r="I21" s="11">
        <f>I18*Assumptions!$B$22</f>
        <v>0</v>
      </c>
      <c r="J21" s="11">
        <f>J18*Assumptions!$B$22</f>
        <v>0</v>
      </c>
      <c r="K21" s="11">
        <f>K18*Assumptions!$B$22</f>
        <v>0</v>
      </c>
      <c r="L21" s="11">
        <f>L18*Assumptions!$B$22</f>
        <v>0</v>
      </c>
      <c r="M21" s="11">
        <f>M18*Assumptions!$B$22</f>
        <v>0</v>
      </c>
      <c r="N21" s="11">
        <f>N18*Assumptions!$B$22</f>
        <v>2079000</v>
      </c>
      <c r="O21" s="11">
        <f>O18*Assumptions!$B$22</f>
        <v>0</v>
      </c>
      <c r="P21" s="11">
        <f>P18*Assumptions!$B$22</f>
        <v>0</v>
      </c>
      <c r="Q21" s="11">
        <f>Q18*Assumptions!$B$22</f>
        <v>0</v>
      </c>
      <c r="R21" s="11">
        <f>R18*Assumptions!$B$22</f>
        <v>0</v>
      </c>
      <c r="S21" s="11">
        <f>S18*Assumptions!$B$22</f>
        <v>0</v>
      </c>
      <c r="T21" s="11">
        <f>T18*Assumptions!$B$22</f>
        <v>0</v>
      </c>
      <c r="U21" s="11">
        <f>U18*Assumptions!$B$22</f>
        <v>0</v>
      </c>
      <c r="V21" s="11">
        <f>V18*Assumptions!$B$22</f>
        <v>0</v>
      </c>
      <c r="W21" s="11">
        <f>W18*Assumptions!$B$22</f>
        <v>0</v>
      </c>
      <c r="X21" s="11">
        <f>X18*Assumptions!$B$22</f>
        <v>0</v>
      </c>
      <c r="Y21" s="11">
        <f>Y18*Assumptions!$B$22</f>
        <v>0</v>
      </c>
      <c r="Z21" s="11">
        <f>SUM(B21:Y21)</f>
        <v>2079000</v>
      </c>
    </row>
    <row r="22" spans="1:26">
      <c r="A22" s="1" t="s">
        <v>285</v>
      </c>
      <c r="B22" s="11">
        <f>B19</f>
        <v>0</v>
      </c>
      <c r="C22" s="11">
        <f t="shared" ref="C22:Y22" si="2">B22+C19</f>
        <v>0</v>
      </c>
      <c r="D22" s="11">
        <f t="shared" si="2"/>
        <v>0</v>
      </c>
      <c r="E22" s="11">
        <f t="shared" si="2"/>
        <v>0</v>
      </c>
      <c r="F22" s="11">
        <f t="shared" si="2"/>
        <v>0</v>
      </c>
      <c r="G22" s="11">
        <f t="shared" si="2"/>
        <v>0</v>
      </c>
      <c r="H22" s="11">
        <f t="shared" si="2"/>
        <v>0</v>
      </c>
      <c r="I22" s="11">
        <f t="shared" si="2"/>
        <v>0</v>
      </c>
      <c r="J22" s="11">
        <f t="shared" si="2"/>
        <v>0</v>
      </c>
      <c r="K22" s="11">
        <f t="shared" si="2"/>
        <v>0</v>
      </c>
      <c r="L22" s="11">
        <f t="shared" si="2"/>
        <v>0</v>
      </c>
      <c r="M22" s="11">
        <f t="shared" si="2"/>
        <v>0</v>
      </c>
      <c r="N22" s="11">
        <f t="shared" si="2"/>
        <v>6237000</v>
      </c>
      <c r="O22" s="11">
        <f t="shared" si="2"/>
        <v>6237000</v>
      </c>
      <c r="P22" s="11">
        <f t="shared" si="2"/>
        <v>6237000</v>
      </c>
      <c r="Q22" s="11">
        <f t="shared" si="2"/>
        <v>6237000</v>
      </c>
      <c r="R22" s="11">
        <f t="shared" si="2"/>
        <v>6237000</v>
      </c>
      <c r="S22" s="11">
        <f t="shared" si="2"/>
        <v>6237000</v>
      </c>
      <c r="T22" s="11">
        <f t="shared" si="2"/>
        <v>6237000</v>
      </c>
      <c r="U22" s="11">
        <f t="shared" si="2"/>
        <v>6237000</v>
      </c>
      <c r="V22" s="11">
        <f t="shared" si="2"/>
        <v>6237000</v>
      </c>
      <c r="W22" s="11">
        <f t="shared" si="2"/>
        <v>6237000</v>
      </c>
      <c r="X22" s="11">
        <f t="shared" si="2"/>
        <v>6237000</v>
      </c>
      <c r="Y22" s="11">
        <f t="shared" si="2"/>
        <v>6237000</v>
      </c>
      <c r="Z22" s="11">
        <f>Y22</f>
        <v>6237000</v>
      </c>
    </row>
    <row r="23" spans="1:26">
      <c r="A23" s="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">
      <c r="A24" s="27" t="s">
        <v>286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>
      <c r="A25" s="1" t="s">
        <v>287</v>
      </c>
      <c r="B25" s="7">
        <f>IF(B$4=Assumptions!$B$45,Assumptions!$B$20,0)</f>
        <v>0</v>
      </c>
      <c r="C25" s="7">
        <f>IF(C$4=Assumptions!$B$45,Assumptions!$B$20,0)</f>
        <v>0</v>
      </c>
      <c r="D25" s="7">
        <f>IF(D$4=Assumptions!$B$45,Assumptions!$B$20,0)</f>
        <v>0</v>
      </c>
      <c r="E25" s="7">
        <f>IF(E$4=Assumptions!$B$45,Assumptions!$B$20,0)</f>
        <v>0</v>
      </c>
      <c r="F25" s="7">
        <f>IF(F$4=Assumptions!$B$45,Assumptions!$B$20,0)</f>
        <v>0</v>
      </c>
      <c r="G25" s="7">
        <f>IF(G$4=Assumptions!$B$45,Assumptions!$B$20,0)</f>
        <v>0</v>
      </c>
      <c r="H25" s="7">
        <f>IF(H$4=Assumptions!$B$45,Assumptions!$B$20,0)</f>
        <v>0</v>
      </c>
      <c r="I25" s="7">
        <f>IF(I$4=Assumptions!$B$45,Assumptions!$B$20,0)</f>
        <v>0</v>
      </c>
      <c r="J25" s="7">
        <f>IF(J$4=Assumptions!$B$45,Assumptions!$B$20,0)</f>
        <v>0</v>
      </c>
      <c r="K25" s="7">
        <f>IF(K$4=Assumptions!$B$45,Assumptions!$B$20,0)</f>
        <v>0</v>
      </c>
      <c r="L25" s="7">
        <f>IF(L$4=Assumptions!$B$45,Assumptions!$B$20,0)</f>
        <v>0</v>
      </c>
      <c r="M25" s="7">
        <f>IF(M$4=Assumptions!$B$45,Assumptions!$B$20,0)</f>
        <v>0</v>
      </c>
      <c r="N25" s="7">
        <f>IF(N$4=Assumptions!$B$45,Assumptions!$B$20,0)</f>
        <v>0</v>
      </c>
      <c r="O25" s="7">
        <f>IF(O$4=Assumptions!$B$45,Assumptions!$B$20,0)</f>
        <v>0</v>
      </c>
      <c r="P25" s="7">
        <f>IF(P$4=Assumptions!$B$45,Assumptions!$B$20,0)</f>
        <v>0</v>
      </c>
      <c r="Q25" s="7">
        <f>IF(Q$4=Assumptions!$B$45,Assumptions!$B$20,0)</f>
        <v>0</v>
      </c>
      <c r="R25" s="7">
        <f>IF(R$4=Assumptions!$B$45,Assumptions!$B$20,0)</f>
        <v>0</v>
      </c>
      <c r="S25" s="7">
        <f>IF(S$4=Assumptions!$B$45,Assumptions!$B$20,0)</f>
        <v>0</v>
      </c>
      <c r="T25" s="7">
        <f>IF(T$4=Assumptions!$B$45,Assumptions!$B$20,0)</f>
        <v>0</v>
      </c>
      <c r="U25" s="7">
        <f>IF(U$4=Assumptions!$B$45,Assumptions!$B$20,0)</f>
        <v>0</v>
      </c>
      <c r="V25" s="7">
        <f>IF(V$4=Assumptions!$B$45,Assumptions!$B$20,0)</f>
        <v>0</v>
      </c>
      <c r="W25" s="7">
        <f>IF(W$4=Assumptions!$B$45,Assumptions!$B$20,0)</f>
        <v>0</v>
      </c>
      <c r="X25" s="7">
        <f>IF(X$4=Assumptions!$B$45,Assumptions!$B$20,0)</f>
        <v>0</v>
      </c>
      <c r="Y25" s="7">
        <f>IF(Y$4=Assumptions!$B$45,Assumptions!$B$20,0)</f>
        <v>1</v>
      </c>
      <c r="Z25" s="7">
        <f>SUM(B25:Y25)</f>
        <v>1</v>
      </c>
    </row>
    <row r="26" spans="1:26">
      <c r="A26" s="1" t="s">
        <v>288</v>
      </c>
      <c r="B26" s="10">
        <f>Assumptions!$B$11*B$25</f>
        <v>0</v>
      </c>
      <c r="C26" s="10">
        <f>Assumptions!$B$11*C$25</f>
        <v>0</v>
      </c>
      <c r="D26" s="10">
        <f>Assumptions!$B$11*D$25</f>
        <v>0</v>
      </c>
      <c r="E26" s="10">
        <f>Assumptions!$B$11*E$25</f>
        <v>0</v>
      </c>
      <c r="F26" s="10">
        <f>Assumptions!$B$11*F$25</f>
        <v>0</v>
      </c>
      <c r="G26" s="10">
        <f>Assumptions!$B$11*G$25</f>
        <v>0</v>
      </c>
      <c r="H26" s="10">
        <f>Assumptions!$B$11*H$25</f>
        <v>0</v>
      </c>
      <c r="I26" s="10">
        <f>Assumptions!$B$11*I$25</f>
        <v>0</v>
      </c>
      <c r="J26" s="10">
        <f>Assumptions!$B$11*J$25</f>
        <v>0</v>
      </c>
      <c r="K26" s="10">
        <f>Assumptions!$B$11*K$25</f>
        <v>0</v>
      </c>
      <c r="L26" s="10">
        <f>Assumptions!$B$11*L$25</f>
        <v>0</v>
      </c>
      <c r="M26" s="10">
        <f>Assumptions!$B$11*M$25</f>
        <v>0</v>
      </c>
      <c r="N26" s="10">
        <f>Assumptions!$B$11*N$25</f>
        <v>0</v>
      </c>
      <c r="O26" s="10">
        <f>Assumptions!$B$11*O$25</f>
        <v>0</v>
      </c>
      <c r="P26" s="10">
        <f>Assumptions!$B$11*P$25</f>
        <v>0</v>
      </c>
      <c r="Q26" s="10">
        <f>Assumptions!$B$11*Q$25</f>
        <v>0</v>
      </c>
      <c r="R26" s="10">
        <f>Assumptions!$B$11*R$25</f>
        <v>0</v>
      </c>
      <c r="S26" s="10">
        <f>Assumptions!$B$11*S$25</f>
        <v>0</v>
      </c>
      <c r="T26" s="10">
        <f>Assumptions!$B$11*T$25</f>
        <v>0</v>
      </c>
      <c r="U26" s="10">
        <f>Assumptions!$B$11*U$25</f>
        <v>0</v>
      </c>
      <c r="V26" s="10">
        <f>Assumptions!$B$11*V$25</f>
        <v>0</v>
      </c>
      <c r="W26" s="10">
        <f>Assumptions!$B$11*W$25</f>
        <v>0</v>
      </c>
      <c r="X26" s="10">
        <f>Assumptions!$B$11*X$25</f>
        <v>0</v>
      </c>
      <c r="Y26" s="10">
        <f>Assumptions!$B$11*Y$25</f>
        <v>37125</v>
      </c>
      <c r="Z26" s="10">
        <f>SUM(B26:Y26)</f>
        <v>37125</v>
      </c>
    </row>
    <row r="27" spans="1:26">
      <c r="A27" s="27" t="s">
        <v>289</v>
      </c>
      <c r="B27" s="49">
        <f>B26</f>
        <v>0</v>
      </c>
      <c r="C27" s="49">
        <f t="shared" ref="C27:Y27" si="3">B27+C26</f>
        <v>0</v>
      </c>
      <c r="D27" s="49">
        <f t="shared" si="3"/>
        <v>0</v>
      </c>
      <c r="E27" s="10">
        <f t="shared" si="3"/>
        <v>0</v>
      </c>
      <c r="F27" s="10">
        <f t="shared" si="3"/>
        <v>0</v>
      </c>
      <c r="G27" s="10">
        <f t="shared" si="3"/>
        <v>0</v>
      </c>
      <c r="H27" s="10">
        <f t="shared" si="3"/>
        <v>0</v>
      </c>
      <c r="I27" s="10">
        <f t="shared" si="3"/>
        <v>0</v>
      </c>
      <c r="J27" s="10">
        <f t="shared" si="3"/>
        <v>0</v>
      </c>
      <c r="K27" s="10">
        <f t="shared" si="3"/>
        <v>0</v>
      </c>
      <c r="L27" s="10">
        <f t="shared" si="3"/>
        <v>0</v>
      </c>
      <c r="M27" s="10">
        <f t="shared" si="3"/>
        <v>0</v>
      </c>
      <c r="N27" s="10">
        <f t="shared" si="3"/>
        <v>0</v>
      </c>
      <c r="O27" s="10">
        <f t="shared" si="3"/>
        <v>0</v>
      </c>
      <c r="P27" s="10">
        <f t="shared" si="3"/>
        <v>0</v>
      </c>
      <c r="Q27" s="10">
        <f t="shared" si="3"/>
        <v>0</v>
      </c>
      <c r="R27" s="10">
        <f t="shared" si="3"/>
        <v>0</v>
      </c>
      <c r="S27" s="10">
        <f t="shared" si="3"/>
        <v>0</v>
      </c>
      <c r="T27" s="10">
        <f t="shared" si="3"/>
        <v>0</v>
      </c>
      <c r="U27" s="10">
        <f t="shared" si="3"/>
        <v>0</v>
      </c>
      <c r="V27" s="10">
        <f t="shared" si="3"/>
        <v>0</v>
      </c>
      <c r="W27" s="10">
        <f t="shared" si="3"/>
        <v>0</v>
      </c>
      <c r="X27" s="10">
        <f t="shared" si="3"/>
        <v>0</v>
      </c>
      <c r="Y27" s="10">
        <f t="shared" si="3"/>
        <v>37125</v>
      </c>
      <c r="Z27" s="10">
        <f>Y27</f>
        <v>37125</v>
      </c>
    </row>
    <row r="28" spans="1:26">
      <c r="A28" s="1" t="s">
        <v>290</v>
      </c>
      <c r="B28" s="11">
        <f>B26*Assumptions!$B$18</f>
        <v>0</v>
      </c>
      <c r="C28" s="11">
        <f>C26*Assumptions!$B$18</f>
        <v>0</v>
      </c>
      <c r="D28" s="11">
        <f>D26*Assumptions!$B$18</f>
        <v>0</v>
      </c>
      <c r="E28" s="11">
        <f>E26*Assumptions!$B$18</f>
        <v>0</v>
      </c>
      <c r="F28" s="11">
        <f>F26*Assumptions!$B$18</f>
        <v>0</v>
      </c>
      <c r="G28" s="11">
        <f>G26*Assumptions!$B$18</f>
        <v>0</v>
      </c>
      <c r="H28" s="11">
        <f>H26*Assumptions!$B$18</f>
        <v>0</v>
      </c>
      <c r="I28" s="11">
        <f>I26*Assumptions!$B$18</f>
        <v>0</v>
      </c>
      <c r="J28" s="11">
        <f>J26*Assumptions!$B$18</f>
        <v>0</v>
      </c>
      <c r="K28" s="11">
        <f>K26*Assumptions!$B$18</f>
        <v>0</v>
      </c>
      <c r="L28" s="11">
        <f>L26*Assumptions!$B$18</f>
        <v>0</v>
      </c>
      <c r="M28" s="11">
        <f>M26*Assumptions!$B$18</f>
        <v>0</v>
      </c>
      <c r="N28" s="11">
        <f>N26*Assumptions!$B$18</f>
        <v>0</v>
      </c>
      <c r="O28" s="11">
        <f>O26*Assumptions!$B$18</f>
        <v>0</v>
      </c>
      <c r="P28" s="11">
        <f>P26*Assumptions!$B$18</f>
        <v>0</v>
      </c>
      <c r="Q28" s="11">
        <f>Q26*Assumptions!$B$18</f>
        <v>0</v>
      </c>
      <c r="R28" s="11">
        <f>R26*Assumptions!$B$18</f>
        <v>0</v>
      </c>
      <c r="S28" s="11">
        <f>S26*Assumptions!$B$18</f>
        <v>0</v>
      </c>
      <c r="T28" s="11">
        <f>T26*Assumptions!$B$18</f>
        <v>0</v>
      </c>
      <c r="U28" s="11">
        <f>U26*Assumptions!$B$18</f>
        <v>0</v>
      </c>
      <c r="V28" s="11">
        <f>V26*Assumptions!$B$18</f>
        <v>0</v>
      </c>
      <c r="W28" s="11">
        <f>W26*Assumptions!$B$18</f>
        <v>0</v>
      </c>
      <c r="X28" s="11">
        <f>X26*Assumptions!$B$18</f>
        <v>0</v>
      </c>
      <c r="Y28" s="11">
        <f>Y26*Assumptions!$B$18</f>
        <v>20790000</v>
      </c>
      <c r="Z28" s="11">
        <f t="shared" ref="Z28:Z33" si="4">SUM(B28:Y28)</f>
        <v>20790000</v>
      </c>
    </row>
    <row r="29" spans="1:26">
      <c r="A29" s="1" t="s">
        <v>291</v>
      </c>
      <c r="B29" s="11">
        <f>B28*Assumptions!$B$22</f>
        <v>0</v>
      </c>
      <c r="C29" s="11">
        <f>C28*Assumptions!$B$22</f>
        <v>0</v>
      </c>
      <c r="D29" s="11">
        <f>D28*Assumptions!$B$22</f>
        <v>0</v>
      </c>
      <c r="E29" s="11">
        <f>E28*Assumptions!$B$22</f>
        <v>0</v>
      </c>
      <c r="F29" s="11">
        <f>F28*Assumptions!$B$22</f>
        <v>0</v>
      </c>
      <c r="G29" s="11">
        <f>G28*Assumptions!$B$22</f>
        <v>0</v>
      </c>
      <c r="H29" s="11">
        <f>H28*Assumptions!$B$22</f>
        <v>0</v>
      </c>
      <c r="I29" s="11">
        <f>I28*Assumptions!$B$22</f>
        <v>0</v>
      </c>
      <c r="J29" s="11">
        <f>J28*Assumptions!$B$22</f>
        <v>0</v>
      </c>
      <c r="K29" s="11">
        <f>K28*Assumptions!$B$22</f>
        <v>0</v>
      </c>
      <c r="L29" s="11">
        <f>L28*Assumptions!$B$22</f>
        <v>0</v>
      </c>
      <c r="M29" s="11">
        <f>M28*Assumptions!$B$22</f>
        <v>0</v>
      </c>
      <c r="N29" s="11">
        <f>N28*Assumptions!$B$22</f>
        <v>0</v>
      </c>
      <c r="O29" s="11">
        <f>O28*Assumptions!$B$22</f>
        <v>0</v>
      </c>
      <c r="P29" s="11">
        <f>P28*Assumptions!$B$22</f>
        <v>0</v>
      </c>
      <c r="Q29" s="11">
        <f>Q28*Assumptions!$B$22</f>
        <v>0</v>
      </c>
      <c r="R29" s="11">
        <f>R28*Assumptions!$B$22</f>
        <v>0</v>
      </c>
      <c r="S29" s="11">
        <f>S28*Assumptions!$B$22</f>
        <v>0</v>
      </c>
      <c r="T29" s="11">
        <f>T28*Assumptions!$B$22</f>
        <v>0</v>
      </c>
      <c r="U29" s="11">
        <f>U28*Assumptions!$B$22</f>
        <v>0</v>
      </c>
      <c r="V29" s="11">
        <f>V28*Assumptions!$B$22</f>
        <v>0</v>
      </c>
      <c r="W29" s="11">
        <f>W28*Assumptions!$B$22</f>
        <v>0</v>
      </c>
      <c r="X29" s="11">
        <f>X28*Assumptions!$B$22</f>
        <v>0</v>
      </c>
      <c r="Y29" s="11">
        <f>Y28*Assumptions!$B$22</f>
        <v>2079000</v>
      </c>
      <c r="Z29" s="11">
        <f t="shared" si="4"/>
        <v>2079000</v>
      </c>
    </row>
    <row r="30" spans="1:26">
      <c r="A30" s="1" t="s">
        <v>292</v>
      </c>
      <c r="B30" s="11">
        <f>B28*Assumptions!$B$24</f>
        <v>0</v>
      </c>
      <c r="C30" s="11">
        <f>C28*Assumptions!$B$24</f>
        <v>0</v>
      </c>
      <c r="D30" s="11">
        <f>D28*Assumptions!$B$24</f>
        <v>0</v>
      </c>
      <c r="E30" s="11">
        <f>E28*Assumptions!$B$24</f>
        <v>0</v>
      </c>
      <c r="F30" s="11">
        <f>F28*Assumptions!$B$24</f>
        <v>0</v>
      </c>
      <c r="G30" s="11">
        <f>G28*Assumptions!$B$24</f>
        <v>0</v>
      </c>
      <c r="H30" s="11">
        <f>H28*Assumptions!$B$24</f>
        <v>0</v>
      </c>
      <c r="I30" s="11">
        <f>I28*Assumptions!$B$24</f>
        <v>0</v>
      </c>
      <c r="J30" s="11">
        <f>J28*Assumptions!$B$24</f>
        <v>0</v>
      </c>
      <c r="K30" s="11">
        <f>K28*Assumptions!$B$24</f>
        <v>0</v>
      </c>
      <c r="L30" s="11">
        <f>L28*Assumptions!$B$24</f>
        <v>0</v>
      </c>
      <c r="M30" s="11">
        <f>M28*Assumptions!$B$24</f>
        <v>0</v>
      </c>
      <c r="N30" s="11">
        <f>N28*Assumptions!$B$24</f>
        <v>0</v>
      </c>
      <c r="O30" s="11">
        <f>O28*Assumptions!$B$24</f>
        <v>0</v>
      </c>
      <c r="P30" s="11">
        <f>P28*Assumptions!$B$24</f>
        <v>0</v>
      </c>
      <c r="Q30" s="11">
        <f>Q28*Assumptions!$B$24</f>
        <v>0</v>
      </c>
      <c r="R30" s="11">
        <f>R28*Assumptions!$B$24</f>
        <v>0</v>
      </c>
      <c r="S30" s="11">
        <f>S28*Assumptions!$B$24</f>
        <v>0</v>
      </c>
      <c r="T30" s="11">
        <f>T28*Assumptions!$B$24</f>
        <v>0</v>
      </c>
      <c r="U30" s="11">
        <f>U28*Assumptions!$B$24</f>
        <v>0</v>
      </c>
      <c r="V30" s="11">
        <f>V28*Assumptions!$B$24</f>
        <v>0</v>
      </c>
      <c r="W30" s="11">
        <f>W28*Assumptions!$B$24</f>
        <v>0</v>
      </c>
      <c r="X30" s="11">
        <f>X28*Assumptions!$B$24</f>
        <v>0</v>
      </c>
      <c r="Y30" s="11">
        <f>Y28*Assumptions!$B$24</f>
        <v>14553000</v>
      </c>
      <c r="Z30" s="11">
        <f t="shared" si="4"/>
        <v>14553000</v>
      </c>
    </row>
    <row r="31" spans="1:26">
      <c r="A31" s="1" t="s">
        <v>53</v>
      </c>
      <c r="B31" s="11">
        <f>B28*Assumptions!$B$25</f>
        <v>0</v>
      </c>
      <c r="C31" s="11">
        <f>C28*Assumptions!$B$25</f>
        <v>0</v>
      </c>
      <c r="D31" s="11">
        <f>D28*Assumptions!$B$25</f>
        <v>0</v>
      </c>
      <c r="E31" s="11">
        <f>E28*Assumptions!$B$25</f>
        <v>0</v>
      </c>
      <c r="F31" s="11">
        <f>F28*Assumptions!$B$25</f>
        <v>0</v>
      </c>
      <c r="G31" s="11">
        <f>G28*Assumptions!$B$25</f>
        <v>0</v>
      </c>
      <c r="H31" s="11">
        <f>H28*Assumptions!$B$25</f>
        <v>0</v>
      </c>
      <c r="I31" s="11">
        <f>I28*Assumptions!$B$25</f>
        <v>0</v>
      </c>
      <c r="J31" s="11">
        <f>J28*Assumptions!$B$25</f>
        <v>0</v>
      </c>
      <c r="K31" s="11">
        <f>K28*Assumptions!$B$25</f>
        <v>0</v>
      </c>
      <c r="L31" s="11">
        <f>L28*Assumptions!$B$25</f>
        <v>0</v>
      </c>
      <c r="M31" s="11">
        <f>M28*Assumptions!$B$25</f>
        <v>0</v>
      </c>
      <c r="N31" s="11">
        <f>N28*Assumptions!$B$25</f>
        <v>0</v>
      </c>
      <c r="O31" s="11">
        <f>O28*Assumptions!$B$25</f>
        <v>0</v>
      </c>
      <c r="P31" s="11">
        <f>P28*Assumptions!$B$25</f>
        <v>0</v>
      </c>
      <c r="Q31" s="11">
        <f>Q28*Assumptions!$B$25</f>
        <v>0</v>
      </c>
      <c r="R31" s="11">
        <f>R28*Assumptions!$B$25</f>
        <v>0</v>
      </c>
      <c r="S31" s="11">
        <f>S28*Assumptions!$B$25</f>
        <v>0</v>
      </c>
      <c r="T31" s="11">
        <f>T28*Assumptions!$B$25</f>
        <v>0</v>
      </c>
      <c r="U31" s="11">
        <f>U28*Assumptions!$B$25</f>
        <v>0</v>
      </c>
      <c r="V31" s="11">
        <f>V28*Assumptions!$B$25</f>
        <v>0</v>
      </c>
      <c r="W31" s="11">
        <f>W28*Assumptions!$B$25</f>
        <v>0</v>
      </c>
      <c r="X31" s="11">
        <f>X28*Assumptions!$B$25</f>
        <v>0</v>
      </c>
      <c r="Y31" s="11">
        <f>Y28*Assumptions!$B$25</f>
        <v>1039500</v>
      </c>
      <c r="Z31" s="11">
        <f t="shared" si="4"/>
        <v>1039500</v>
      </c>
    </row>
    <row r="32" spans="1:26">
      <c r="A32" s="1" t="s">
        <v>56</v>
      </c>
      <c r="B32" s="11">
        <f>B28*Assumptions!$B$26</f>
        <v>0</v>
      </c>
      <c r="C32" s="11">
        <f>C28*Assumptions!$B$26</f>
        <v>0</v>
      </c>
      <c r="D32" s="11">
        <f>D28*Assumptions!$B$26</f>
        <v>0</v>
      </c>
      <c r="E32" s="11">
        <f>E28*Assumptions!$B$26</f>
        <v>0</v>
      </c>
      <c r="F32" s="11">
        <f>F28*Assumptions!$B$26</f>
        <v>0</v>
      </c>
      <c r="G32" s="11">
        <f>G28*Assumptions!$B$26</f>
        <v>0</v>
      </c>
      <c r="H32" s="11">
        <f>H28*Assumptions!$B$26</f>
        <v>0</v>
      </c>
      <c r="I32" s="11">
        <f>I28*Assumptions!$B$26</f>
        <v>0</v>
      </c>
      <c r="J32" s="11">
        <f>J28*Assumptions!$B$26</f>
        <v>0</v>
      </c>
      <c r="K32" s="11">
        <f>K28*Assumptions!$B$26</f>
        <v>0</v>
      </c>
      <c r="L32" s="11">
        <f>L28*Assumptions!$B$26</f>
        <v>0</v>
      </c>
      <c r="M32" s="11">
        <f>M28*Assumptions!$B$26</f>
        <v>0</v>
      </c>
      <c r="N32" s="11">
        <f>N28*Assumptions!$B$26</f>
        <v>0</v>
      </c>
      <c r="O32" s="11">
        <f>O28*Assumptions!$B$26</f>
        <v>0</v>
      </c>
      <c r="P32" s="11">
        <f>P28*Assumptions!$B$26</f>
        <v>0</v>
      </c>
      <c r="Q32" s="11">
        <f>Q28*Assumptions!$B$26</f>
        <v>0</v>
      </c>
      <c r="R32" s="11">
        <f>R28*Assumptions!$B$26</f>
        <v>0</v>
      </c>
      <c r="S32" s="11">
        <f>S28*Assumptions!$B$26</f>
        <v>0</v>
      </c>
      <c r="T32" s="11">
        <f>T28*Assumptions!$B$26</f>
        <v>0</v>
      </c>
      <c r="U32" s="11">
        <f>U28*Assumptions!$B$26</f>
        <v>0</v>
      </c>
      <c r="V32" s="11">
        <f>V28*Assumptions!$B$26</f>
        <v>0</v>
      </c>
      <c r="W32" s="11">
        <f>W28*Assumptions!$B$26</f>
        <v>0</v>
      </c>
      <c r="X32" s="11">
        <f>X28*Assumptions!$B$26</f>
        <v>0</v>
      </c>
      <c r="Y32" s="11">
        <f>Y28*Assumptions!$B$26</f>
        <v>0</v>
      </c>
      <c r="Z32" s="11">
        <f t="shared" si="4"/>
        <v>0</v>
      </c>
    </row>
    <row r="33" spans="1:26">
      <c r="A33" s="1" t="s">
        <v>293</v>
      </c>
      <c r="B33" s="11">
        <f t="shared" ref="B33:Y33" si="5">B29+B30-B31-B32</f>
        <v>0</v>
      </c>
      <c r="C33" s="11">
        <f t="shared" si="5"/>
        <v>0</v>
      </c>
      <c r="D33" s="11">
        <f t="shared" si="5"/>
        <v>0</v>
      </c>
      <c r="E33" s="11">
        <f t="shared" si="5"/>
        <v>0</v>
      </c>
      <c r="F33" s="11">
        <f t="shared" si="5"/>
        <v>0</v>
      </c>
      <c r="G33" s="11">
        <f t="shared" si="5"/>
        <v>0</v>
      </c>
      <c r="H33" s="11">
        <f t="shared" si="5"/>
        <v>0</v>
      </c>
      <c r="I33" s="11">
        <f t="shared" si="5"/>
        <v>0</v>
      </c>
      <c r="J33" s="11">
        <f t="shared" si="5"/>
        <v>0</v>
      </c>
      <c r="K33" s="11">
        <f t="shared" si="5"/>
        <v>0</v>
      </c>
      <c r="L33" s="11">
        <f t="shared" si="5"/>
        <v>0</v>
      </c>
      <c r="M33" s="11">
        <f t="shared" si="5"/>
        <v>0</v>
      </c>
      <c r="N33" s="11">
        <f t="shared" si="5"/>
        <v>0</v>
      </c>
      <c r="O33" s="11">
        <f t="shared" si="5"/>
        <v>0</v>
      </c>
      <c r="P33" s="11">
        <f t="shared" si="5"/>
        <v>0</v>
      </c>
      <c r="Q33" s="11">
        <f t="shared" si="5"/>
        <v>0</v>
      </c>
      <c r="R33" s="11">
        <f t="shared" si="5"/>
        <v>0</v>
      </c>
      <c r="S33" s="11">
        <f t="shared" si="5"/>
        <v>0</v>
      </c>
      <c r="T33" s="11">
        <f t="shared" si="5"/>
        <v>0</v>
      </c>
      <c r="U33" s="11">
        <f t="shared" si="5"/>
        <v>0</v>
      </c>
      <c r="V33" s="11">
        <f t="shared" si="5"/>
        <v>0</v>
      </c>
      <c r="W33" s="11">
        <f t="shared" si="5"/>
        <v>0</v>
      </c>
      <c r="X33" s="11">
        <f t="shared" si="5"/>
        <v>0</v>
      </c>
      <c r="Y33" s="11">
        <f t="shared" si="5"/>
        <v>15592500</v>
      </c>
      <c r="Z33" s="11">
        <f t="shared" si="4"/>
        <v>15592500</v>
      </c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>
      <c r="A35" s="27" t="s">
        <v>294</v>
      </c>
      <c r="B35" s="27"/>
      <c r="C35" s="27"/>
      <c r="D35" s="2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8.5">
      <c r="A36" s="1" t="s">
        <v>295</v>
      </c>
      <c r="B36" s="7">
        <f>Z8</f>
        <v>0.99999999999999978</v>
      </c>
      <c r="C36" s="1" t="s">
        <v>296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9.25">
      <c r="A37" s="1" t="s">
        <v>297</v>
      </c>
      <c r="B37" s="7">
        <f>Z15</f>
        <v>1</v>
      </c>
      <c r="C37" s="1" t="s">
        <v>296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9.25">
      <c r="A38" s="1" t="s">
        <v>298</v>
      </c>
      <c r="B38" s="7">
        <f>Z25</f>
        <v>1</v>
      </c>
      <c r="C38" s="1" t="s">
        <v>296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86.25">
      <c r="A39" s="1" t="s">
        <v>299</v>
      </c>
      <c r="B39" s="10">
        <f>Assumptions!$B$43</f>
        <v>12</v>
      </c>
      <c r="C39" s="1" t="s">
        <v>300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9.25">
      <c r="A40" s="1" t="s">
        <v>301</v>
      </c>
      <c r="B40" s="10">
        <f>Z16</f>
        <v>37125</v>
      </c>
      <c r="C40" s="1" t="s">
        <v>302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57.75">
      <c r="A41" s="1" t="s">
        <v>303</v>
      </c>
      <c r="B41" s="10">
        <f>Z26</f>
        <v>37125</v>
      </c>
      <c r="C41" s="1" t="s">
        <v>304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</sheetData>
  <mergeCells count="8">
    <mergeCell ref="A35:D35"/>
    <mergeCell ref="A1:Z1"/>
    <mergeCell ref="A2:Z2"/>
    <mergeCell ref="A7:Z7"/>
    <mergeCell ref="A17:Z17"/>
    <mergeCell ref="A27:D27"/>
    <mergeCell ref="A14:Z14"/>
    <mergeCell ref="A24:Z24"/>
  </mergeCells>
  <conditionalFormatting sqref="B28:B31">
    <cfRule type="expression" dxfId="13" priority="1">
      <formula>OR(B28&lt;&gt;1,B29&lt;&gt;1,B31&gt;B30)</formula>
    </cfRule>
  </conditionalFormatting>
  <conditionalFormatting sqref="B36:B41">
    <cfRule type="expression" dxfId="12" priority="2">
      <formula>OR(ABS(B36-1)&gt;0.0001,ABS(B37-1)&gt;0.0001,ABS(B38-1)&gt;0.0001,B41&gt;B40)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2"/>
  <sheetViews>
    <sheetView workbookViewId="0"/>
  </sheetViews>
  <sheetFormatPr defaultRowHeight="14.25"/>
  <cols>
    <col min="1" max="1" width="44" customWidth="1"/>
    <col min="2" max="26" width="12" customWidth="1"/>
  </cols>
  <sheetData>
    <row r="1" spans="1:26" ht="19.5">
      <c r="A1" s="25" t="s">
        <v>305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>
      <c r="A2" s="26" t="s">
        <v>306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>
      <c r="A4" s="17" t="s">
        <v>268</v>
      </c>
      <c r="B4" s="17">
        <v>1</v>
      </c>
      <c r="C4" s="17">
        <v>2</v>
      </c>
      <c r="D4" s="17">
        <v>3</v>
      </c>
      <c r="E4" s="17">
        <v>4</v>
      </c>
      <c r="F4" s="17">
        <v>5</v>
      </c>
      <c r="G4" s="17">
        <v>6</v>
      </c>
      <c r="H4" s="17">
        <v>7</v>
      </c>
      <c r="I4" s="17">
        <v>8</v>
      </c>
      <c r="J4" s="17">
        <v>9</v>
      </c>
      <c r="K4" s="17">
        <v>10</v>
      </c>
      <c r="L4" s="17">
        <v>11</v>
      </c>
      <c r="M4" s="17">
        <v>12</v>
      </c>
      <c r="N4" s="17">
        <v>13</v>
      </c>
      <c r="O4" s="17">
        <v>14</v>
      </c>
      <c r="P4" s="17">
        <v>15</v>
      </c>
      <c r="Q4" s="17">
        <v>16</v>
      </c>
      <c r="R4" s="17">
        <v>17</v>
      </c>
      <c r="S4" s="17">
        <v>18</v>
      </c>
      <c r="T4" s="17">
        <v>19</v>
      </c>
      <c r="U4" s="17">
        <v>20</v>
      </c>
      <c r="V4" s="17">
        <v>21</v>
      </c>
      <c r="W4" s="17">
        <v>22</v>
      </c>
      <c r="X4" s="17">
        <v>23</v>
      </c>
      <c r="Y4" s="17">
        <v>24</v>
      </c>
      <c r="Z4" s="17" t="s">
        <v>269</v>
      </c>
    </row>
    <row r="5" spans="1:26" ht="15">
      <c r="A5" s="17" t="s">
        <v>270</v>
      </c>
      <c r="B5" s="48">
        <f>'Capital Raise Schedule'!B5</f>
        <v>46296</v>
      </c>
      <c r="C5" s="48">
        <f>'Capital Raise Schedule'!C5</f>
        <v>46327</v>
      </c>
      <c r="D5" s="48">
        <f>'Capital Raise Schedule'!D5</f>
        <v>46357</v>
      </c>
      <c r="E5" s="48">
        <f>'Capital Raise Schedule'!E5</f>
        <v>46388</v>
      </c>
      <c r="F5" s="48">
        <f>'Capital Raise Schedule'!F5</f>
        <v>46419</v>
      </c>
      <c r="G5" s="48">
        <f>'Capital Raise Schedule'!G5</f>
        <v>46447</v>
      </c>
      <c r="H5" s="48">
        <f>'Capital Raise Schedule'!H5</f>
        <v>46478</v>
      </c>
      <c r="I5" s="48">
        <f>'Capital Raise Schedule'!I5</f>
        <v>46508</v>
      </c>
      <c r="J5" s="48">
        <f>'Capital Raise Schedule'!J5</f>
        <v>46539</v>
      </c>
      <c r="K5" s="48">
        <f>'Capital Raise Schedule'!K5</f>
        <v>46569</v>
      </c>
      <c r="L5" s="48">
        <f>'Capital Raise Schedule'!L5</f>
        <v>46600</v>
      </c>
      <c r="M5" s="48">
        <f>'Capital Raise Schedule'!M5</f>
        <v>46631</v>
      </c>
      <c r="N5" s="48">
        <f>'Capital Raise Schedule'!N5</f>
        <v>46661</v>
      </c>
      <c r="O5" s="48">
        <f>'Capital Raise Schedule'!O5</f>
        <v>46692</v>
      </c>
      <c r="P5" s="48">
        <f>'Capital Raise Schedule'!P5</f>
        <v>46722</v>
      </c>
      <c r="Q5" s="48">
        <f>'Capital Raise Schedule'!Q5</f>
        <v>46753</v>
      </c>
      <c r="R5" s="48">
        <f>'Capital Raise Schedule'!R5</f>
        <v>46784</v>
      </c>
      <c r="S5" s="48">
        <f>'Capital Raise Schedule'!S5</f>
        <v>46813</v>
      </c>
      <c r="T5" s="48">
        <f>'Capital Raise Schedule'!T5</f>
        <v>46844</v>
      </c>
      <c r="U5" s="48">
        <f>'Capital Raise Schedule'!U5</f>
        <v>46874</v>
      </c>
      <c r="V5" s="48">
        <f>'Capital Raise Schedule'!V5</f>
        <v>46905</v>
      </c>
      <c r="W5" s="48">
        <f>'Capital Raise Schedule'!W5</f>
        <v>46935</v>
      </c>
      <c r="X5" s="48">
        <f>'Capital Raise Schedule'!X5</f>
        <v>46966</v>
      </c>
      <c r="Y5" s="48">
        <f>'Capital Raise Schedule'!Y5</f>
        <v>46997</v>
      </c>
      <c r="Z5" s="17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>
      <c r="A7" s="27" t="s">
        <v>307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>
      <c r="A8" s="1" t="s">
        <v>308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0.03</v>
      </c>
      <c r="O8" s="16">
        <v>0.05</v>
      </c>
      <c r="P8" s="16">
        <v>7.0000000000000007E-2</v>
      </c>
      <c r="Q8" s="16">
        <v>0.08</v>
      </c>
      <c r="R8" s="16">
        <v>0.09</v>
      </c>
      <c r="S8" s="16">
        <v>0.09</v>
      </c>
      <c r="T8" s="16">
        <v>0.1</v>
      </c>
      <c r="U8" s="16">
        <v>0.1</v>
      </c>
      <c r="V8" s="16">
        <v>0.1</v>
      </c>
      <c r="W8" s="16">
        <v>0.1</v>
      </c>
      <c r="X8" s="16">
        <v>0.1</v>
      </c>
      <c r="Y8" s="16">
        <v>0.09</v>
      </c>
      <c r="Z8" s="7">
        <f>SUM(B8:Y8)</f>
        <v>0.99999999999999989</v>
      </c>
    </row>
    <row r="9" spans="1:26">
      <c r="A9" s="1" t="s">
        <v>309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0.15</v>
      </c>
      <c r="O9" s="16">
        <v>0.2</v>
      </c>
      <c r="P9" s="16">
        <v>0.2</v>
      </c>
      <c r="Q9" s="16">
        <v>0.15</v>
      </c>
      <c r="R9" s="16">
        <v>0.1</v>
      </c>
      <c r="S9" s="16">
        <v>0.08</v>
      </c>
      <c r="T9" s="16">
        <v>0.05</v>
      </c>
      <c r="U9" s="16">
        <v>0.04</v>
      </c>
      <c r="V9" s="16">
        <v>0.02</v>
      </c>
      <c r="W9" s="16">
        <v>0.01</v>
      </c>
      <c r="X9" s="16">
        <v>0</v>
      </c>
      <c r="Y9" s="16">
        <v>0</v>
      </c>
      <c r="Z9" s="7">
        <f>SUM(B9:Y9)</f>
        <v>1</v>
      </c>
    </row>
    <row r="10" spans="1:26">
      <c r="A10" s="1" t="s">
        <v>310</v>
      </c>
      <c r="B10" s="38">
        <f>'Shovel Ready Plan'!B20</f>
        <v>83561.994791666657</v>
      </c>
      <c r="C10" s="38">
        <f>'Shovel Ready Plan'!C20</f>
        <v>67561.994791666657</v>
      </c>
      <c r="D10" s="38">
        <f>'Shovel Ready Plan'!D20</f>
        <v>91214.454791666663</v>
      </c>
      <c r="E10" s="38">
        <f>'Shovel Ready Plan'!E20</f>
        <v>75214.454791666663</v>
      </c>
      <c r="F10" s="38">
        <f>'Shovel Ready Plan'!F20</f>
        <v>106866.91479166666</v>
      </c>
      <c r="G10" s="38">
        <f>'Shovel Ready Plan'!G20</f>
        <v>106866.91479166666</v>
      </c>
      <c r="H10" s="38">
        <f>'Shovel Ready Plan'!H20</f>
        <v>106866.91479166666</v>
      </c>
      <c r="I10" s="38">
        <f>'Shovel Ready Plan'!I20</f>
        <v>106866.91479166666</v>
      </c>
      <c r="J10" s="38">
        <f>'Shovel Ready Plan'!J20</f>
        <v>96866.914791666655</v>
      </c>
      <c r="K10" s="38">
        <f>'Shovel Ready Plan'!K20</f>
        <v>133919.37479166666</v>
      </c>
      <c r="L10" s="38">
        <f>'Shovel Ready Plan'!L20</f>
        <v>133919.37479166666</v>
      </c>
      <c r="M10" s="38">
        <f>'Shovel Ready Plan'!M20</f>
        <v>104066.91479166666</v>
      </c>
      <c r="N10" s="38">
        <f>'Shovel Ready Plan'!N20</f>
        <v>84206.273458333322</v>
      </c>
      <c r="O10" s="38">
        <f>'Shovel Ready Plan'!O20</f>
        <v>32298.176458333332</v>
      </c>
      <c r="P10" s="38">
        <f>'Shovel Ready Plan'!P20</f>
        <v>35462.079458333334</v>
      </c>
      <c r="Q10" s="38">
        <f>'Shovel Ready Plan'!Q20</f>
        <v>37044.030958333329</v>
      </c>
      <c r="R10" s="38">
        <f>'Shovel Ready Plan'!R20</f>
        <v>37044.030958333329</v>
      </c>
      <c r="S10" s="38">
        <f>'Shovel Ready Plan'!S20</f>
        <v>35462.079458333334</v>
      </c>
      <c r="T10" s="38">
        <f>'Shovel Ready Plan'!T20</f>
        <v>32298.176458333332</v>
      </c>
      <c r="U10" s="38">
        <f>'Shovel Ready Plan'!U20</f>
        <v>29134.273458333329</v>
      </c>
      <c r="V10" s="38">
        <f>'Shovel Ready Plan'!V20</f>
        <v>27552.321958333334</v>
      </c>
      <c r="W10" s="38">
        <f>'Shovel Ready Plan'!W20</f>
        <v>22806.467458333333</v>
      </c>
      <c r="X10" s="38">
        <f>'Shovel Ready Plan'!X20</f>
        <v>19642.564458333331</v>
      </c>
      <c r="Y10" s="38">
        <f>'Shovel Ready Plan'!Y20</f>
        <v>18060.612958333331</v>
      </c>
      <c r="Z10" s="11">
        <f>SUM(B10:Y10)</f>
        <v>1624804.2249999996</v>
      </c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>
      <c r="A12" s="27" t="s">
        <v>311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>
      <c r="A13" s="1" t="s">
        <v>312</v>
      </c>
      <c r="B13" s="11">
        <f>0</f>
        <v>0</v>
      </c>
      <c r="C13" s="11">
        <f t="shared" ref="C13:Y13" si="0">B47</f>
        <v>318655.25770833332</v>
      </c>
      <c r="D13" s="11">
        <f t="shared" si="0"/>
        <v>1080810.5154166669</v>
      </c>
      <c r="E13" s="11">
        <f t="shared" si="0"/>
        <v>2246813.3131250003</v>
      </c>
      <c r="F13" s="11">
        <f t="shared" si="0"/>
        <v>997996.66246376792</v>
      </c>
      <c r="G13" s="11">
        <f t="shared" si="0"/>
        <v>878410.19465579698</v>
      </c>
      <c r="H13" s="11">
        <f t="shared" si="0"/>
        <v>758823.72684782604</v>
      </c>
      <c r="I13" s="11">
        <f t="shared" si="0"/>
        <v>639237.2590398551</v>
      </c>
      <c r="J13" s="11">
        <f t="shared" si="0"/>
        <v>519650.7912318841</v>
      </c>
      <c r="K13" s="11">
        <f t="shared" si="0"/>
        <v>410064.3234239131</v>
      </c>
      <c r="L13" s="11">
        <f t="shared" si="0"/>
        <v>263425.39561594208</v>
      </c>
      <c r="M13" s="11">
        <f t="shared" si="0"/>
        <v>116786.46780797109</v>
      </c>
      <c r="N13" s="11">
        <f t="shared" si="0"/>
        <v>0</v>
      </c>
      <c r="O13" s="11">
        <f t="shared" si="0"/>
        <v>3526500.7985253623</v>
      </c>
      <c r="P13" s="11">
        <f t="shared" si="0"/>
        <v>2789620.9940507244</v>
      </c>
      <c r="Q13" s="11">
        <f t="shared" si="0"/>
        <v>1891382.1365760867</v>
      </c>
      <c r="R13" s="11">
        <f t="shared" si="0"/>
        <v>986557.30260144908</v>
      </c>
      <c r="S13" s="11">
        <f t="shared" si="0"/>
        <v>76728.443626811495</v>
      </c>
      <c r="T13" s="11">
        <f t="shared" si="0"/>
        <v>0</v>
      </c>
      <c r="U13" s="11">
        <f t="shared" si="0"/>
        <v>0</v>
      </c>
      <c r="V13" s="11">
        <f t="shared" si="0"/>
        <v>0</v>
      </c>
      <c r="W13" s="11">
        <f t="shared" si="0"/>
        <v>0</v>
      </c>
      <c r="X13" s="11">
        <f t="shared" si="0"/>
        <v>0</v>
      </c>
      <c r="Y13" s="11">
        <f t="shared" si="0"/>
        <v>0</v>
      </c>
      <c r="Z13" s="11">
        <f>Y13</f>
        <v>0</v>
      </c>
    </row>
    <row r="14" spans="1:26">
      <c r="A14" s="1" t="s">
        <v>313</v>
      </c>
      <c r="B14" s="11">
        <f>'Capital Raise Schedule'!B9</f>
        <v>450000</v>
      </c>
      <c r="C14" s="11">
        <f>'Capital Raise Schedule'!C9</f>
        <v>900000</v>
      </c>
      <c r="D14" s="11">
        <f>'Capital Raise Schedule'!D9</f>
        <v>1350000</v>
      </c>
      <c r="E14" s="11">
        <f>'Capital Raise Schedule'!E9</f>
        <v>1800000</v>
      </c>
      <c r="F14" s="11">
        <f>'Capital Raise Schedule'!F9</f>
        <v>0</v>
      </c>
      <c r="G14" s="11">
        <f>'Capital Raise Schedule'!G9</f>
        <v>0</v>
      </c>
      <c r="H14" s="11">
        <f>'Capital Raise Schedule'!H9</f>
        <v>0</v>
      </c>
      <c r="I14" s="11">
        <f>'Capital Raise Schedule'!I9</f>
        <v>0</v>
      </c>
      <c r="J14" s="11">
        <f>'Capital Raise Schedule'!J9</f>
        <v>0</v>
      </c>
      <c r="K14" s="11">
        <f>'Capital Raise Schedule'!K9</f>
        <v>0</v>
      </c>
      <c r="L14" s="11">
        <f>'Capital Raise Schedule'!L9</f>
        <v>0</v>
      </c>
      <c r="M14" s="11">
        <f>'Capital Raise Schedule'!M9</f>
        <v>0</v>
      </c>
      <c r="N14" s="11">
        <f>'Capital Raise Schedule'!N9</f>
        <v>0</v>
      </c>
      <c r="O14" s="11">
        <f>'Capital Raise Schedule'!O9</f>
        <v>0</v>
      </c>
      <c r="P14" s="11">
        <f>'Capital Raise Schedule'!P9</f>
        <v>0</v>
      </c>
      <c r="Q14" s="11">
        <f>'Capital Raise Schedule'!Q9</f>
        <v>0</v>
      </c>
      <c r="R14" s="11">
        <f>'Capital Raise Schedule'!R9</f>
        <v>0</v>
      </c>
      <c r="S14" s="11">
        <f>'Capital Raise Schedule'!S9</f>
        <v>0</v>
      </c>
      <c r="T14" s="11">
        <f>'Capital Raise Schedule'!T9</f>
        <v>0</v>
      </c>
      <c r="U14" s="11">
        <f>'Capital Raise Schedule'!U9</f>
        <v>0</v>
      </c>
      <c r="V14" s="11">
        <f>'Capital Raise Schedule'!V9</f>
        <v>0</v>
      </c>
      <c r="W14" s="11">
        <f>'Capital Raise Schedule'!W9</f>
        <v>0</v>
      </c>
      <c r="X14" s="11">
        <f>'Capital Raise Schedule'!X9</f>
        <v>0</v>
      </c>
      <c r="Y14" s="11">
        <f>'Capital Raise Schedule'!Y9</f>
        <v>0</v>
      </c>
      <c r="Z14" s="11">
        <f>SUM(B14:Y14)</f>
        <v>4500000</v>
      </c>
    </row>
    <row r="15" spans="1:26">
      <c r="A15" s="1" t="s">
        <v>314</v>
      </c>
      <c r="B15" s="11">
        <f>0</f>
        <v>0</v>
      </c>
      <c r="C15" s="11">
        <f>0</f>
        <v>0</v>
      </c>
      <c r="D15" s="11">
        <f>0</f>
        <v>0</v>
      </c>
      <c r="E15" s="11">
        <f>0</f>
        <v>0</v>
      </c>
      <c r="F15" s="11">
        <f>0</f>
        <v>0</v>
      </c>
      <c r="G15" s="11">
        <f>0</f>
        <v>0</v>
      </c>
      <c r="H15" s="11">
        <f>0</f>
        <v>0</v>
      </c>
      <c r="I15" s="11">
        <f>0</f>
        <v>0</v>
      </c>
      <c r="J15" s="11">
        <f>0</f>
        <v>0</v>
      </c>
      <c r="K15" s="11">
        <f>0</f>
        <v>0</v>
      </c>
      <c r="L15" s="11">
        <f>0</f>
        <v>0</v>
      </c>
      <c r="M15" s="11">
        <f>0</f>
        <v>0</v>
      </c>
      <c r="N15" s="11">
        <f>0</f>
        <v>0</v>
      </c>
      <c r="O15" s="11">
        <f>0</f>
        <v>0</v>
      </c>
      <c r="P15" s="11">
        <f>0</f>
        <v>0</v>
      </c>
      <c r="Q15" s="11">
        <f>0</f>
        <v>0</v>
      </c>
      <c r="R15" s="11">
        <f>0</f>
        <v>0</v>
      </c>
      <c r="S15" s="11">
        <f>0</f>
        <v>0</v>
      </c>
      <c r="T15" s="11">
        <f>0</f>
        <v>0</v>
      </c>
      <c r="U15" s="11">
        <f>0</f>
        <v>0</v>
      </c>
      <c r="V15" s="11">
        <f>0</f>
        <v>0</v>
      </c>
      <c r="W15" s="11">
        <f>0</f>
        <v>0</v>
      </c>
      <c r="X15" s="11">
        <f>0</f>
        <v>0</v>
      </c>
      <c r="Y15" s="11">
        <f>0</f>
        <v>0</v>
      </c>
      <c r="Z15" s="11">
        <f>SUM(B15:Y15)</f>
        <v>0</v>
      </c>
    </row>
    <row r="16" spans="1:26">
      <c r="A16" s="1" t="s">
        <v>315</v>
      </c>
      <c r="B16" s="11">
        <f>'Sales Schedule'!B20</f>
        <v>0</v>
      </c>
      <c r="C16" s="11">
        <f>'Sales Schedule'!C20</f>
        <v>0</v>
      </c>
      <c r="D16" s="11">
        <f>'Sales Schedule'!D20</f>
        <v>0</v>
      </c>
      <c r="E16" s="11">
        <f>'Sales Schedule'!E20</f>
        <v>0</v>
      </c>
      <c r="F16" s="11">
        <f>'Sales Schedule'!F20</f>
        <v>0</v>
      </c>
      <c r="G16" s="11">
        <f>'Sales Schedule'!G20</f>
        <v>0</v>
      </c>
      <c r="H16" s="11">
        <f>'Sales Schedule'!H20</f>
        <v>0</v>
      </c>
      <c r="I16" s="11">
        <f>'Sales Schedule'!I20</f>
        <v>0</v>
      </c>
      <c r="J16" s="11">
        <f>'Sales Schedule'!J20</f>
        <v>0</v>
      </c>
      <c r="K16" s="11">
        <f>'Sales Schedule'!K20</f>
        <v>0</v>
      </c>
      <c r="L16" s="11">
        <f>'Sales Schedule'!L20</f>
        <v>0</v>
      </c>
      <c r="M16" s="11">
        <f>'Sales Schedule'!M20</f>
        <v>0</v>
      </c>
      <c r="N16" s="11">
        <f>'Sales Schedule'!N20</f>
        <v>4158000</v>
      </c>
      <c r="O16" s="11">
        <f>'Sales Schedule'!O20</f>
        <v>0</v>
      </c>
      <c r="P16" s="11">
        <f>'Sales Schedule'!P20</f>
        <v>0</v>
      </c>
      <c r="Q16" s="11">
        <f>'Sales Schedule'!Q20</f>
        <v>0</v>
      </c>
      <c r="R16" s="11">
        <f>'Sales Schedule'!R20</f>
        <v>0</v>
      </c>
      <c r="S16" s="11">
        <f>'Sales Schedule'!S20</f>
        <v>0</v>
      </c>
      <c r="T16" s="11">
        <f>'Sales Schedule'!T20</f>
        <v>0</v>
      </c>
      <c r="U16" s="11">
        <f>'Sales Schedule'!U20</f>
        <v>0</v>
      </c>
      <c r="V16" s="11">
        <f>'Sales Schedule'!V20</f>
        <v>0</v>
      </c>
      <c r="W16" s="11">
        <f>'Sales Schedule'!W20</f>
        <v>0</v>
      </c>
      <c r="X16" s="11">
        <f>'Sales Schedule'!X20</f>
        <v>0</v>
      </c>
      <c r="Y16" s="11">
        <f>'Sales Schedule'!Y20</f>
        <v>0</v>
      </c>
      <c r="Z16" s="11">
        <f>SUM(B16:Y16)</f>
        <v>4158000</v>
      </c>
    </row>
    <row r="17" spans="1:26">
      <c r="A17" s="1" t="s">
        <v>316</v>
      </c>
      <c r="B17" s="11">
        <f>'Sales Schedule'!B29</f>
        <v>0</v>
      </c>
      <c r="C17" s="11">
        <f>'Sales Schedule'!C29</f>
        <v>0</v>
      </c>
      <c r="D17" s="11">
        <f>'Sales Schedule'!D29</f>
        <v>0</v>
      </c>
      <c r="E17" s="11">
        <f>'Sales Schedule'!E29</f>
        <v>0</v>
      </c>
      <c r="F17" s="11">
        <f>'Sales Schedule'!F29</f>
        <v>0</v>
      </c>
      <c r="G17" s="11">
        <f>'Sales Schedule'!G29</f>
        <v>0</v>
      </c>
      <c r="H17" s="11">
        <f>'Sales Schedule'!H29</f>
        <v>0</v>
      </c>
      <c r="I17" s="11">
        <f>'Sales Schedule'!I29</f>
        <v>0</v>
      </c>
      <c r="J17" s="11">
        <f>'Sales Schedule'!J29</f>
        <v>0</v>
      </c>
      <c r="K17" s="11">
        <f>'Sales Schedule'!K29</f>
        <v>0</v>
      </c>
      <c r="L17" s="11">
        <f>'Sales Schedule'!L29</f>
        <v>0</v>
      </c>
      <c r="M17" s="11">
        <f>'Sales Schedule'!M29</f>
        <v>0</v>
      </c>
      <c r="N17" s="11">
        <f>'Sales Schedule'!N29</f>
        <v>0</v>
      </c>
      <c r="O17" s="11">
        <f>'Sales Schedule'!O29</f>
        <v>0</v>
      </c>
      <c r="P17" s="11">
        <f>'Sales Schedule'!P29</f>
        <v>0</v>
      </c>
      <c r="Q17" s="11">
        <f>'Sales Schedule'!Q29</f>
        <v>0</v>
      </c>
      <c r="R17" s="11">
        <f>'Sales Schedule'!R29</f>
        <v>0</v>
      </c>
      <c r="S17" s="11">
        <f>'Sales Schedule'!S29</f>
        <v>0</v>
      </c>
      <c r="T17" s="11">
        <f>'Sales Schedule'!T29</f>
        <v>0</v>
      </c>
      <c r="U17" s="11">
        <f>'Sales Schedule'!U29</f>
        <v>0</v>
      </c>
      <c r="V17" s="11">
        <f>'Sales Schedule'!V29</f>
        <v>0</v>
      </c>
      <c r="W17" s="11">
        <f>'Sales Schedule'!W29</f>
        <v>0</v>
      </c>
      <c r="X17" s="11">
        <f>'Sales Schedule'!X29</f>
        <v>0</v>
      </c>
      <c r="Y17" s="11">
        <f>'Sales Schedule'!Y29</f>
        <v>2079000</v>
      </c>
      <c r="Z17" s="11">
        <f>SUM(B17:Y17)</f>
        <v>2079000</v>
      </c>
    </row>
    <row r="18" spans="1:26">
      <c r="A18" s="1" t="s">
        <v>317</v>
      </c>
      <c r="B18" s="11">
        <f>'Sales Schedule'!B30</f>
        <v>0</v>
      </c>
      <c r="C18" s="11">
        <f>'Sales Schedule'!C30</f>
        <v>0</v>
      </c>
      <c r="D18" s="11">
        <f>'Sales Schedule'!D30</f>
        <v>0</v>
      </c>
      <c r="E18" s="11">
        <f>'Sales Schedule'!E30</f>
        <v>0</v>
      </c>
      <c r="F18" s="11">
        <f>'Sales Schedule'!F30</f>
        <v>0</v>
      </c>
      <c r="G18" s="11">
        <f>'Sales Schedule'!G30</f>
        <v>0</v>
      </c>
      <c r="H18" s="11">
        <f>'Sales Schedule'!H30</f>
        <v>0</v>
      </c>
      <c r="I18" s="11">
        <f>'Sales Schedule'!I30</f>
        <v>0</v>
      </c>
      <c r="J18" s="11">
        <f>'Sales Schedule'!J30</f>
        <v>0</v>
      </c>
      <c r="K18" s="11">
        <f>'Sales Schedule'!K30</f>
        <v>0</v>
      </c>
      <c r="L18" s="11">
        <f>'Sales Schedule'!L30</f>
        <v>0</v>
      </c>
      <c r="M18" s="11">
        <f>'Sales Schedule'!M30</f>
        <v>0</v>
      </c>
      <c r="N18" s="11">
        <f>'Sales Schedule'!N30</f>
        <v>0</v>
      </c>
      <c r="O18" s="11">
        <f>'Sales Schedule'!O30</f>
        <v>0</v>
      </c>
      <c r="P18" s="11">
        <f>'Sales Schedule'!P30</f>
        <v>0</v>
      </c>
      <c r="Q18" s="11">
        <f>'Sales Schedule'!Q30</f>
        <v>0</v>
      </c>
      <c r="R18" s="11">
        <f>'Sales Schedule'!R30</f>
        <v>0</v>
      </c>
      <c r="S18" s="11">
        <f>'Sales Schedule'!S30</f>
        <v>0</v>
      </c>
      <c r="T18" s="11">
        <f>'Sales Schedule'!T30</f>
        <v>0</v>
      </c>
      <c r="U18" s="11">
        <f>'Sales Schedule'!U30</f>
        <v>0</v>
      </c>
      <c r="V18" s="11">
        <f>'Sales Schedule'!V30</f>
        <v>0</v>
      </c>
      <c r="W18" s="11">
        <f>'Sales Schedule'!W30</f>
        <v>0</v>
      </c>
      <c r="X18" s="11">
        <f>'Sales Schedule'!X30</f>
        <v>0</v>
      </c>
      <c r="Y18" s="11">
        <f>'Sales Schedule'!Y30</f>
        <v>14553000</v>
      </c>
      <c r="Z18" s="11">
        <f>SUM(B18:Y18)</f>
        <v>14553000</v>
      </c>
    </row>
    <row r="19" spans="1:26">
      <c r="A19" s="1" t="s">
        <v>318</v>
      </c>
      <c r="B19" s="11">
        <f t="shared" ref="B19:Y19" si="1">B13+SUM(B14:B18)-SUM(B26:B36)</f>
        <v>318655.25770833332</v>
      </c>
      <c r="C19" s="11">
        <f t="shared" si="1"/>
        <v>1080810.5154166669</v>
      </c>
      <c r="D19" s="11">
        <f t="shared" si="1"/>
        <v>2246813.3131250003</v>
      </c>
      <c r="E19" s="11">
        <f t="shared" si="1"/>
        <v>3856316.1108333338</v>
      </c>
      <c r="F19" s="11">
        <f t="shared" si="1"/>
        <v>878410.19465579698</v>
      </c>
      <c r="G19" s="11">
        <f t="shared" si="1"/>
        <v>758823.72684782604</v>
      </c>
      <c r="H19" s="11">
        <f t="shared" si="1"/>
        <v>639237.2590398551</v>
      </c>
      <c r="I19" s="11">
        <f t="shared" si="1"/>
        <v>519650.7912318841</v>
      </c>
      <c r="J19" s="11">
        <f t="shared" si="1"/>
        <v>410064.3234239131</v>
      </c>
      <c r="K19" s="11">
        <f t="shared" si="1"/>
        <v>263425.39561594208</v>
      </c>
      <c r="L19" s="11">
        <f t="shared" si="1"/>
        <v>116786.46780797109</v>
      </c>
      <c r="M19" s="11">
        <f t="shared" si="1"/>
        <v>0</v>
      </c>
      <c r="N19" s="11">
        <f t="shared" si="1"/>
        <v>3526500.7985253623</v>
      </c>
      <c r="O19" s="11">
        <f t="shared" si="1"/>
        <v>2789620.9940507244</v>
      </c>
      <c r="P19" s="11">
        <f t="shared" si="1"/>
        <v>1891382.1365760867</v>
      </c>
      <c r="Q19" s="11">
        <f t="shared" si="1"/>
        <v>986557.30260144908</v>
      </c>
      <c r="R19" s="11">
        <f t="shared" si="1"/>
        <v>76728.443626811495</v>
      </c>
      <c r="S19" s="11">
        <f t="shared" si="1"/>
        <v>-801881.04384782619</v>
      </c>
      <c r="T19" s="11">
        <f t="shared" si="1"/>
        <v>-915098.78599868668</v>
      </c>
      <c r="U19" s="11">
        <f t="shared" si="1"/>
        <v>-902835.54041117837</v>
      </c>
      <c r="V19" s="11">
        <f t="shared" si="1"/>
        <v>-877258.89103874832</v>
      </c>
      <c r="W19" s="11">
        <f t="shared" si="1"/>
        <v>-863177.1946077405</v>
      </c>
      <c r="X19" s="11">
        <f t="shared" si="1"/>
        <v>-850589.43907403876</v>
      </c>
      <c r="Y19" s="11">
        <f t="shared" si="1"/>
        <v>14817273.903431749</v>
      </c>
      <c r="Z19" s="11">
        <f>Y19</f>
        <v>14817273.903431749</v>
      </c>
    </row>
    <row r="20" spans="1:26" ht="15">
      <c r="A20" s="14" t="s">
        <v>319</v>
      </c>
      <c r="B20" s="15">
        <f>IF(B$4&lt;Assumptions!$B$59,0,MIN(MAX(0,-B19+IF(B$4=Assumptions!$B$59,(B22+B23)*Assumptions!$B$71,0)),MAX(0,Assumptions!$B$34-B21)))</f>
        <v>0</v>
      </c>
      <c r="C20" s="15">
        <f>IF(C$4&lt;Assumptions!$B$59,0,MIN(MAX(0,-C19+IF(C$4=Assumptions!$B$59,(C22+C23)*Assumptions!$B$71,0)),MAX(0,Assumptions!$B$34-C21)))</f>
        <v>0</v>
      </c>
      <c r="D20" s="15">
        <f>IF(D$4&lt;Assumptions!$B$59,0,MIN(MAX(0,-D19+IF(D$4=Assumptions!$B$59,(D22+D23)*Assumptions!$B$71,0)),MAX(0,Assumptions!$B$34-D21)))</f>
        <v>0</v>
      </c>
      <c r="E20" s="15">
        <f>IF(E$4&lt;Assumptions!$B$59,0,MIN(MAX(0,-E19+IF(E$4=Assumptions!$B$59,(E22+E23)*Assumptions!$B$71,0)),MAX(0,Assumptions!$B$34-E21)))</f>
        <v>0</v>
      </c>
      <c r="F20" s="15">
        <f>IF(F$4&lt;Assumptions!$B$59,0,MIN(MAX(0,-F19+IF(F$4=Assumptions!$B$59,(F22+F23)*Assumptions!$B$71,0)),MAX(0,Assumptions!$B$34-F21)))</f>
        <v>0</v>
      </c>
      <c r="G20" s="15">
        <f>IF(G$4&lt;Assumptions!$B$59,0,MIN(MAX(0,-G19+IF(G$4=Assumptions!$B$59,(G22+G23)*Assumptions!$B$71,0)),MAX(0,Assumptions!$B$34-G21)))</f>
        <v>0</v>
      </c>
      <c r="H20" s="15">
        <f>IF(H$4&lt;Assumptions!$B$59,0,MIN(MAX(0,-H19+IF(H$4=Assumptions!$B$59,(H22+H23)*Assumptions!$B$71,0)),MAX(0,Assumptions!$B$34-H21)))</f>
        <v>0</v>
      </c>
      <c r="I20" s="15">
        <f>IF(I$4&lt;Assumptions!$B$59,0,MIN(MAX(0,-I19+IF(I$4=Assumptions!$B$59,(I22+I23)*Assumptions!$B$71,0)),MAX(0,Assumptions!$B$34-I21)))</f>
        <v>0</v>
      </c>
      <c r="J20" s="15">
        <f>IF(J$4&lt;Assumptions!$B$59,0,MIN(MAX(0,-J19+IF(J$4=Assumptions!$B$59,(J22+J23)*Assumptions!$B$71,0)),MAX(0,Assumptions!$B$34-J21)))</f>
        <v>0</v>
      </c>
      <c r="K20" s="15">
        <f>IF(K$4&lt;Assumptions!$B$59,0,MIN(MAX(0,-K19+IF(K$4=Assumptions!$B$59,(K22+K23)*Assumptions!$B$71,0)),MAX(0,Assumptions!$B$34-K21)))</f>
        <v>0</v>
      </c>
      <c r="L20" s="15">
        <f>IF(L$4&lt;Assumptions!$B$59,0,MIN(MAX(0,-L19+IF(L$4=Assumptions!$B$59,(L22+L23)*Assumptions!$B$71,0)),MAX(0,Assumptions!$B$34-L21)))</f>
        <v>0</v>
      </c>
      <c r="M20" s="15">
        <f>IF(M$4&lt;Assumptions!$B$59,0,MIN(MAX(0,-M19+IF(M$4=Assumptions!$B$59,(M22+M23)*Assumptions!$B$71,0)),MAX(0,Assumptions!$B$34-M21)))</f>
        <v>0</v>
      </c>
      <c r="N20" s="15">
        <f>IF(N$4&lt;Assumptions!$B$59,0,MIN(MAX(0,-N19+IF(N$4=Assumptions!$B$59,(N22+N23)*Assumptions!$B$71,0)),MAX(0,Assumptions!$B$34-N21)))</f>
        <v>0</v>
      </c>
      <c r="O20" s="15">
        <f>IF(O$4&lt;Assumptions!$B$59,0,MIN(MAX(0,-O19+IF(O$4=Assumptions!$B$59,(O22+O23)*Assumptions!$B$71,0)),MAX(0,Assumptions!$B$34-O21)))</f>
        <v>0</v>
      </c>
      <c r="P20" s="15">
        <f>IF(P$4&lt;Assumptions!$B$59,0,MIN(MAX(0,-P19+IF(P$4=Assumptions!$B$59,(P22+P23)*Assumptions!$B$71,0)),MAX(0,Assumptions!$B$34-P21)))</f>
        <v>0</v>
      </c>
      <c r="Q20" s="15">
        <f>IF(Q$4&lt;Assumptions!$B$59,0,MIN(MAX(0,-Q19+IF(Q$4=Assumptions!$B$59,(Q22+Q23)*Assumptions!$B$71,0)),MAX(0,Assumptions!$B$34-Q21)))</f>
        <v>0</v>
      </c>
      <c r="R20" s="15">
        <f>IF(R$4&lt;Assumptions!$B$59,0,MIN(MAX(0,-R19+IF(R$4=Assumptions!$B$59,(R22+R23)*Assumptions!$B$71,0)),MAX(0,Assumptions!$B$34-R21)))</f>
        <v>0</v>
      </c>
      <c r="S20" s="15">
        <f>IF(S$4&lt;Assumptions!$B$59,0,MIN(MAX(0,-S19+IF(S$4=Assumptions!$B$59,(S22+S23)*Assumptions!$B$71,0)),MAX(0,Assumptions!$B$34-S21)))</f>
        <v>801881.04384782619</v>
      </c>
      <c r="T20" s="15">
        <f>IF(T$4&lt;Assumptions!$B$59,0,MIN(MAX(0,-T19+IF(T$4=Assumptions!$B$59,(T22+T23)*Assumptions!$B$71,0)),MAX(0,Assumptions!$B$34-T21)))</f>
        <v>915098.78599868668</v>
      </c>
      <c r="U20" s="15">
        <f>IF(U$4&lt;Assumptions!$B$59,0,MIN(MAX(0,-U19+IF(U$4=Assumptions!$B$59,(U22+U23)*Assumptions!$B$71,0)),MAX(0,Assumptions!$B$34-U21)))</f>
        <v>902835.54041117837</v>
      </c>
      <c r="V20" s="15">
        <f>IF(V$4&lt;Assumptions!$B$59,0,MIN(MAX(0,-V19+IF(V$4=Assumptions!$B$59,(V22+V23)*Assumptions!$B$71,0)),MAX(0,Assumptions!$B$34-V21)))</f>
        <v>877258.89103874832</v>
      </c>
      <c r="W20" s="15">
        <f>IF(W$4&lt;Assumptions!$B$59,0,MIN(MAX(0,-W19+IF(W$4=Assumptions!$B$59,(W22+W23)*Assumptions!$B$71,0)),MAX(0,Assumptions!$B$34-W21)))</f>
        <v>863177.1946077405</v>
      </c>
      <c r="X20" s="15">
        <f>IF(X$4&lt;Assumptions!$B$59,0,MIN(MAX(0,-X19+IF(X$4=Assumptions!$B$59,(X22+X23)*Assumptions!$B$71,0)),MAX(0,Assumptions!$B$34-X21)))</f>
        <v>850589.43907403876</v>
      </c>
      <c r="Y20" s="15">
        <f>IF(Y$4&lt;Assumptions!$B$59,0,MIN(MAX(0,-Y19+IF(Y$4=Assumptions!$B$59,(Y22+Y23)*Assumptions!$B$71,0)),MAX(0,Assumptions!$B$34-Y21)))</f>
        <v>0</v>
      </c>
      <c r="Z20" s="15">
        <f>SUM(B20:Y20)</f>
        <v>5210840.8949782187</v>
      </c>
    </row>
    <row r="21" spans="1:26" ht="15">
      <c r="A21" s="14" t="s">
        <v>320</v>
      </c>
      <c r="B21" s="15">
        <f>0</f>
        <v>0</v>
      </c>
      <c r="C21" s="15">
        <f t="shared" ref="C21:Y21" si="2">B49</f>
        <v>0</v>
      </c>
      <c r="D21" s="15">
        <f t="shared" si="2"/>
        <v>0</v>
      </c>
      <c r="E21" s="15">
        <f t="shared" si="2"/>
        <v>0</v>
      </c>
      <c r="F21" s="15">
        <f t="shared" si="2"/>
        <v>0</v>
      </c>
      <c r="G21" s="15">
        <f t="shared" si="2"/>
        <v>0</v>
      </c>
      <c r="H21" s="15">
        <f t="shared" si="2"/>
        <v>0</v>
      </c>
      <c r="I21" s="15">
        <f t="shared" si="2"/>
        <v>0</v>
      </c>
      <c r="J21" s="15">
        <f t="shared" si="2"/>
        <v>0</v>
      </c>
      <c r="K21" s="15">
        <f t="shared" si="2"/>
        <v>0</v>
      </c>
      <c r="L21" s="15">
        <f t="shared" si="2"/>
        <v>0</v>
      </c>
      <c r="M21" s="15">
        <f t="shared" si="2"/>
        <v>0</v>
      </c>
      <c r="N21" s="15">
        <f t="shared" si="2"/>
        <v>0</v>
      </c>
      <c r="O21" s="15">
        <f t="shared" si="2"/>
        <v>0</v>
      </c>
      <c r="P21" s="15">
        <f t="shared" si="2"/>
        <v>0</v>
      </c>
      <c r="Q21" s="15">
        <f t="shared" si="2"/>
        <v>0</v>
      </c>
      <c r="R21" s="15">
        <f t="shared" si="2"/>
        <v>0</v>
      </c>
      <c r="S21" s="15">
        <f t="shared" si="2"/>
        <v>0</v>
      </c>
      <c r="T21" s="15">
        <f t="shared" si="2"/>
        <v>801881.04384782619</v>
      </c>
      <c r="U21" s="15">
        <f t="shared" si="2"/>
        <v>1716979.829846513</v>
      </c>
      <c r="V21" s="15">
        <f t="shared" si="2"/>
        <v>2619815.3702576915</v>
      </c>
      <c r="W21" s="15">
        <f t="shared" si="2"/>
        <v>3497074.2612964399</v>
      </c>
      <c r="X21" s="15">
        <f t="shared" si="2"/>
        <v>4360251.4559041802</v>
      </c>
      <c r="Y21" s="15">
        <f t="shared" si="2"/>
        <v>5210840.8949782187</v>
      </c>
      <c r="Z21" s="15">
        <f>Y21</f>
        <v>5210840.8949782187</v>
      </c>
    </row>
    <row r="22" spans="1:26" ht="15">
      <c r="A22" s="14" t="s">
        <v>321</v>
      </c>
      <c r="B22" s="15">
        <f>0</f>
        <v>0</v>
      </c>
      <c r="C22" s="15">
        <f t="shared" ref="C22:Y22" si="3">B50</f>
        <v>3000000</v>
      </c>
      <c r="D22" s="15">
        <f t="shared" si="3"/>
        <v>3000000</v>
      </c>
      <c r="E22" s="15">
        <f t="shared" si="3"/>
        <v>3000000</v>
      </c>
      <c r="F22" s="15">
        <f t="shared" si="3"/>
        <v>141680.55163043411</v>
      </c>
      <c r="G22" s="15">
        <f t="shared" si="3"/>
        <v>141680.55163043411</v>
      </c>
      <c r="H22" s="15">
        <f t="shared" si="3"/>
        <v>141680.55163043411</v>
      </c>
      <c r="I22" s="15">
        <f t="shared" si="3"/>
        <v>141680.55163043411</v>
      </c>
      <c r="J22" s="15">
        <f t="shared" si="3"/>
        <v>141680.55163043411</v>
      </c>
      <c r="K22" s="15">
        <f t="shared" si="3"/>
        <v>141680.55163043411</v>
      </c>
      <c r="L22" s="15">
        <f t="shared" si="3"/>
        <v>141680.55163043411</v>
      </c>
      <c r="M22" s="15">
        <f t="shared" si="3"/>
        <v>141680.55163043411</v>
      </c>
      <c r="N22" s="15">
        <f t="shared" si="3"/>
        <v>141680.55163043411</v>
      </c>
      <c r="O22" s="15">
        <f t="shared" si="3"/>
        <v>141680.55163043411</v>
      </c>
      <c r="P22" s="15">
        <f t="shared" si="3"/>
        <v>141680.55163043411</v>
      </c>
      <c r="Q22" s="15">
        <f t="shared" si="3"/>
        <v>141680.55163043411</v>
      </c>
      <c r="R22" s="15">
        <f t="shared" si="3"/>
        <v>141680.55163043411</v>
      </c>
      <c r="S22" s="15">
        <f t="shared" si="3"/>
        <v>141680.55163043411</v>
      </c>
      <c r="T22" s="15">
        <f t="shared" si="3"/>
        <v>141680.55163043411</v>
      </c>
      <c r="U22" s="15">
        <f t="shared" si="3"/>
        <v>141680.55163043411</v>
      </c>
      <c r="V22" s="15">
        <f t="shared" si="3"/>
        <v>141680.55163043411</v>
      </c>
      <c r="W22" s="15">
        <f t="shared" si="3"/>
        <v>141680.55163043411</v>
      </c>
      <c r="X22" s="15">
        <f t="shared" si="3"/>
        <v>141680.55163043411</v>
      </c>
      <c r="Y22" s="15">
        <f t="shared" si="3"/>
        <v>141680.55163043411</v>
      </c>
      <c r="Z22" s="15">
        <f>Y22</f>
        <v>141680.55163043411</v>
      </c>
    </row>
    <row r="23" spans="1:26">
      <c r="A23" s="27" t="s">
        <v>322</v>
      </c>
      <c r="B23" s="29">
        <f>IF(B$4=Assumptions!$B$66,Assumptions!$B$67,0)</f>
        <v>3000000</v>
      </c>
      <c r="C23" s="29">
        <f>IF(C$4=Assumptions!$B$66,Assumptions!$B$67,0)</f>
        <v>0</v>
      </c>
      <c r="D23" s="29">
        <f>IF(D$4=Assumptions!$B$66,Assumptions!$B$67,0)</f>
        <v>0</v>
      </c>
      <c r="E23" s="29">
        <f>IF(E$4=Assumptions!$B$66,Assumptions!$B$67,0)</f>
        <v>0</v>
      </c>
      <c r="F23" s="29">
        <f>IF(F$4=Assumptions!$B$66,Assumptions!$B$67,0)</f>
        <v>0</v>
      </c>
      <c r="G23" s="29">
        <f>IF(G$4=Assumptions!$B$66,Assumptions!$B$67,0)</f>
        <v>0</v>
      </c>
      <c r="H23" s="29">
        <f>IF(H$4=Assumptions!$B$66,Assumptions!$B$67,0)</f>
        <v>0</v>
      </c>
      <c r="I23" s="29">
        <f>IF(I$4=Assumptions!$B$66,Assumptions!$B$67,0)</f>
        <v>0</v>
      </c>
      <c r="J23" s="29">
        <f>IF(J$4=Assumptions!$B$66,Assumptions!$B$67,0)</f>
        <v>0</v>
      </c>
      <c r="K23" s="29">
        <f>IF(K$4=Assumptions!$B$66,Assumptions!$B$67,0)</f>
        <v>0</v>
      </c>
      <c r="L23" s="29">
        <f>IF(L$4=Assumptions!$B$66,Assumptions!$B$67,0)</f>
        <v>0</v>
      </c>
      <c r="M23" s="29">
        <f>IF(M$4=Assumptions!$B$66,Assumptions!$B$67,0)</f>
        <v>0</v>
      </c>
      <c r="N23" s="29">
        <f>IF(N$4=Assumptions!$B$66,Assumptions!$B$67,0)</f>
        <v>0</v>
      </c>
      <c r="O23" s="29">
        <f>IF(O$4=Assumptions!$B$66,Assumptions!$B$67,0)</f>
        <v>0</v>
      </c>
      <c r="P23" s="29">
        <f>IF(P$4=Assumptions!$B$66,Assumptions!$B$67,0)</f>
        <v>0</v>
      </c>
      <c r="Q23" s="29">
        <f>IF(Q$4=Assumptions!$B$66,Assumptions!$B$67,0)</f>
        <v>0</v>
      </c>
      <c r="R23" s="29">
        <f>IF(R$4=Assumptions!$B$66,Assumptions!$B$67,0)</f>
        <v>0</v>
      </c>
      <c r="S23" s="29">
        <f>IF(S$4=Assumptions!$B$66,Assumptions!$B$67,0)</f>
        <v>0</v>
      </c>
      <c r="T23" s="29">
        <f>IF(T$4=Assumptions!$B$66,Assumptions!$B$67,0)</f>
        <v>0</v>
      </c>
      <c r="U23" s="29">
        <f>IF(U$4=Assumptions!$B$66,Assumptions!$B$67,0)</f>
        <v>0</v>
      </c>
      <c r="V23" s="29">
        <f>IF(V$4=Assumptions!$B$66,Assumptions!$B$67,0)</f>
        <v>0</v>
      </c>
      <c r="W23" s="29">
        <f>IF(W$4=Assumptions!$B$66,Assumptions!$B$67,0)</f>
        <v>0</v>
      </c>
      <c r="X23" s="29">
        <f>IF(X$4=Assumptions!$B$66,Assumptions!$B$67,0)</f>
        <v>0</v>
      </c>
      <c r="Y23" s="29">
        <f>IF(Y$4=Assumptions!$B$66,Assumptions!$B$67,0)</f>
        <v>0</v>
      </c>
      <c r="Z23" s="29">
        <f>SUM(B23:Y23)</f>
        <v>3000000</v>
      </c>
    </row>
    <row r="24" spans="1:26" ht="15">
      <c r="A24" s="27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5">
      <c r="A25" s="27" t="s">
        <v>323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>
      <c r="A26" s="27" t="s">
        <v>146</v>
      </c>
      <c r="B26" s="29">
        <f>Assumptions!$B$69</f>
        <v>0</v>
      </c>
      <c r="C26" s="29">
        <f>0</f>
        <v>0</v>
      </c>
      <c r="D26" s="29">
        <f>0</f>
        <v>0</v>
      </c>
      <c r="E26" s="29">
        <f>0</f>
        <v>0</v>
      </c>
      <c r="F26" s="29">
        <f>0</f>
        <v>0</v>
      </c>
      <c r="G26" s="29">
        <f>0</f>
        <v>0</v>
      </c>
      <c r="H26" s="29">
        <f>0</f>
        <v>0</v>
      </c>
      <c r="I26" s="29">
        <f>0</f>
        <v>0</v>
      </c>
      <c r="J26" s="29">
        <f>0</f>
        <v>0</v>
      </c>
      <c r="K26" s="29">
        <f>0</f>
        <v>0</v>
      </c>
      <c r="L26" s="29">
        <f>0</f>
        <v>0</v>
      </c>
      <c r="M26" s="29">
        <f>0</f>
        <v>0</v>
      </c>
      <c r="N26" s="29">
        <f>0</f>
        <v>0</v>
      </c>
      <c r="O26" s="29">
        <f>0</f>
        <v>0</v>
      </c>
      <c r="P26" s="29">
        <f>0</f>
        <v>0</v>
      </c>
      <c r="Q26" s="29">
        <f>0</f>
        <v>0</v>
      </c>
      <c r="R26" s="29">
        <f>0</f>
        <v>0</v>
      </c>
      <c r="S26" s="29">
        <f>0</f>
        <v>0</v>
      </c>
      <c r="T26" s="29">
        <f>0</f>
        <v>0</v>
      </c>
      <c r="U26" s="29">
        <f>0</f>
        <v>0</v>
      </c>
      <c r="V26" s="29">
        <f>0</f>
        <v>0</v>
      </c>
      <c r="W26" s="29">
        <f>0</f>
        <v>0</v>
      </c>
      <c r="X26" s="29">
        <f>0</f>
        <v>0</v>
      </c>
      <c r="Y26" s="29">
        <f>0</f>
        <v>0</v>
      </c>
      <c r="Z26" s="29">
        <f t="shared" ref="Z26:Z36" si="4">SUM(B26:Y26)</f>
        <v>0</v>
      </c>
    </row>
    <row r="27" spans="1:26">
      <c r="A27" s="1" t="s">
        <v>324</v>
      </c>
      <c r="B27" s="11">
        <f>'Project Cost'!$B$16*B$8</f>
        <v>0</v>
      </c>
      <c r="C27" s="11">
        <f>'Project Cost'!$B$16*C$8</f>
        <v>0</v>
      </c>
      <c r="D27" s="11">
        <f>'Project Cost'!$B$16*D$8</f>
        <v>0</v>
      </c>
      <c r="E27" s="11">
        <f>'Project Cost'!$B$16*E$8</f>
        <v>0</v>
      </c>
      <c r="F27" s="11">
        <f>'Project Cost'!$B$16*F$8</f>
        <v>0</v>
      </c>
      <c r="G27" s="11">
        <f>'Project Cost'!$B$16*G$8</f>
        <v>0</v>
      </c>
      <c r="H27" s="11">
        <f>'Project Cost'!$B$16*H$8</f>
        <v>0</v>
      </c>
      <c r="I27" s="11">
        <f>'Project Cost'!$B$16*I$8</f>
        <v>0</v>
      </c>
      <c r="J27" s="11">
        <f>'Project Cost'!$B$16*J$8</f>
        <v>0</v>
      </c>
      <c r="K27" s="11">
        <f>'Project Cost'!$B$16*K$8</f>
        <v>0</v>
      </c>
      <c r="L27" s="11">
        <f>'Project Cost'!$B$16*L$8</f>
        <v>0</v>
      </c>
      <c r="M27" s="11">
        <f>'Project Cost'!$B$16*M$8</f>
        <v>0</v>
      </c>
      <c r="N27" s="11">
        <f>'Project Cost'!$B$16*N$8</f>
        <v>237292.72499999998</v>
      </c>
      <c r="O27" s="11">
        <f>'Project Cost'!$B$16*O$8</f>
        <v>395487.875</v>
      </c>
      <c r="P27" s="11">
        <f>'Project Cost'!$B$16*P$8</f>
        <v>553683.02500000002</v>
      </c>
      <c r="Q27" s="11">
        <f>'Project Cost'!$B$16*Q$8</f>
        <v>632780.6</v>
      </c>
      <c r="R27" s="11">
        <f>'Project Cost'!$B$16*R$8</f>
        <v>711878.17499999993</v>
      </c>
      <c r="S27" s="11">
        <f>'Project Cost'!$B$16*S$8</f>
        <v>711878.17499999993</v>
      </c>
      <c r="T27" s="11">
        <f>'Project Cost'!$B$16*T$8</f>
        <v>790975.75</v>
      </c>
      <c r="U27" s="11">
        <f>'Project Cost'!$B$16*U$8</f>
        <v>790975.75</v>
      </c>
      <c r="V27" s="11">
        <f>'Project Cost'!$B$16*V$8</f>
        <v>790975.75</v>
      </c>
      <c r="W27" s="11">
        <f>'Project Cost'!$B$16*W$8</f>
        <v>790975.75</v>
      </c>
      <c r="X27" s="11">
        <f>'Project Cost'!$B$16*X$8</f>
        <v>790975.75</v>
      </c>
      <c r="Y27" s="11">
        <f>'Project Cost'!$B$16*Y$8</f>
        <v>711878.17499999993</v>
      </c>
      <c r="Z27" s="11">
        <f t="shared" si="4"/>
        <v>7909757.4999999991</v>
      </c>
    </row>
    <row r="28" spans="1:26">
      <c r="A28" s="1" t="s">
        <v>325</v>
      </c>
      <c r="B28" s="11">
        <f>'Project Cost'!$B$31*B$9</f>
        <v>0</v>
      </c>
      <c r="C28" s="11">
        <f>'Project Cost'!$B$31*C$9</f>
        <v>0</v>
      </c>
      <c r="D28" s="11">
        <f>'Project Cost'!$B$31*D$9</f>
        <v>0</v>
      </c>
      <c r="E28" s="11">
        <f>'Project Cost'!$B$31*E$9</f>
        <v>0</v>
      </c>
      <c r="F28" s="11">
        <f>'Project Cost'!$B$31*F$9</f>
        <v>0</v>
      </c>
      <c r="G28" s="11">
        <f>'Project Cost'!$B$31*G$9</f>
        <v>0</v>
      </c>
      <c r="H28" s="11">
        <f>'Project Cost'!$B$31*H$9</f>
        <v>0</v>
      </c>
      <c r="I28" s="11">
        <f>'Project Cost'!$B$31*I$9</f>
        <v>0</v>
      </c>
      <c r="J28" s="11">
        <f>'Project Cost'!$B$31*J$9</f>
        <v>0</v>
      </c>
      <c r="K28" s="11">
        <f>'Project Cost'!$B$31*K$9</f>
        <v>0</v>
      </c>
      <c r="L28" s="11">
        <f>'Project Cost'!$B$31*L$9</f>
        <v>0</v>
      </c>
      <c r="M28" s="11">
        <f>'Project Cost'!$B$31*M$9</f>
        <v>0</v>
      </c>
      <c r="N28" s="11">
        <f>'Project Cost'!$B$31*N$9</f>
        <v>222280.65</v>
      </c>
      <c r="O28" s="11">
        <f>'Project Cost'!$B$31*O$9</f>
        <v>296374.2</v>
      </c>
      <c r="P28" s="11">
        <f>'Project Cost'!$B$31*P$9</f>
        <v>296374.2</v>
      </c>
      <c r="Q28" s="11">
        <f>'Project Cost'!$B$31*Q$9</f>
        <v>222280.65</v>
      </c>
      <c r="R28" s="11">
        <f>'Project Cost'!$B$31*R$9</f>
        <v>148187.1</v>
      </c>
      <c r="S28" s="11">
        <f>'Project Cost'!$B$31*S$9</f>
        <v>118549.68000000001</v>
      </c>
      <c r="T28" s="11">
        <f>'Project Cost'!$B$31*T$9</f>
        <v>74093.55</v>
      </c>
      <c r="U28" s="11">
        <f>'Project Cost'!$B$31*U$9</f>
        <v>59274.840000000004</v>
      </c>
      <c r="V28" s="11">
        <f>'Project Cost'!$B$31*V$9</f>
        <v>29637.420000000002</v>
      </c>
      <c r="W28" s="11">
        <f>'Project Cost'!$B$31*W$9</f>
        <v>14818.710000000001</v>
      </c>
      <c r="X28" s="11">
        <f>'Project Cost'!$B$31*X$9</f>
        <v>0</v>
      </c>
      <c r="Y28" s="11">
        <f>'Project Cost'!$B$31*Y$9</f>
        <v>0</v>
      </c>
      <c r="Z28" s="11">
        <f t="shared" si="4"/>
        <v>1481871</v>
      </c>
    </row>
    <row r="29" spans="1:26">
      <c r="A29" s="1" t="s">
        <v>326</v>
      </c>
      <c r="B29" s="11">
        <f>'Shovel Ready Plan'!B20</f>
        <v>83561.994791666657</v>
      </c>
      <c r="C29" s="11">
        <f>'Shovel Ready Plan'!C20</f>
        <v>67561.994791666657</v>
      </c>
      <c r="D29" s="11">
        <f>'Shovel Ready Plan'!D20</f>
        <v>91214.454791666663</v>
      </c>
      <c r="E29" s="11">
        <f>'Shovel Ready Plan'!E20</f>
        <v>75214.454791666663</v>
      </c>
      <c r="F29" s="11">
        <f>'Shovel Ready Plan'!F20</f>
        <v>106866.91479166666</v>
      </c>
      <c r="G29" s="11">
        <f>'Shovel Ready Plan'!G20</f>
        <v>106866.91479166666</v>
      </c>
      <c r="H29" s="11">
        <f>'Shovel Ready Plan'!H20</f>
        <v>106866.91479166666</v>
      </c>
      <c r="I29" s="11">
        <f>'Shovel Ready Plan'!I20</f>
        <v>106866.91479166666</v>
      </c>
      <c r="J29" s="11">
        <f>'Shovel Ready Plan'!J20</f>
        <v>96866.914791666655</v>
      </c>
      <c r="K29" s="11">
        <f>'Shovel Ready Plan'!K20</f>
        <v>133919.37479166666</v>
      </c>
      <c r="L29" s="11">
        <f>'Shovel Ready Plan'!L20</f>
        <v>133919.37479166666</v>
      </c>
      <c r="M29" s="11">
        <f>'Shovel Ready Plan'!M20</f>
        <v>104066.91479166666</v>
      </c>
      <c r="N29" s="11">
        <f>'Shovel Ready Plan'!N20</f>
        <v>84206.273458333322</v>
      </c>
      <c r="O29" s="11">
        <f>'Shovel Ready Plan'!O20</f>
        <v>32298.176458333332</v>
      </c>
      <c r="P29" s="11">
        <f>'Shovel Ready Plan'!P20</f>
        <v>35462.079458333334</v>
      </c>
      <c r="Q29" s="11">
        <f>'Shovel Ready Plan'!Q20</f>
        <v>37044.030958333329</v>
      </c>
      <c r="R29" s="11">
        <f>'Shovel Ready Plan'!R20</f>
        <v>37044.030958333329</v>
      </c>
      <c r="S29" s="11">
        <f>'Shovel Ready Plan'!S20</f>
        <v>35462.079458333334</v>
      </c>
      <c r="T29" s="11">
        <f>'Shovel Ready Plan'!T20</f>
        <v>32298.176458333332</v>
      </c>
      <c r="U29" s="11">
        <f>'Shovel Ready Plan'!U20</f>
        <v>29134.273458333329</v>
      </c>
      <c r="V29" s="11">
        <f>'Shovel Ready Plan'!V20</f>
        <v>27552.321958333334</v>
      </c>
      <c r="W29" s="11">
        <f>'Shovel Ready Plan'!W20</f>
        <v>22806.467458333333</v>
      </c>
      <c r="X29" s="11">
        <f>'Shovel Ready Plan'!X20</f>
        <v>19642.564458333331</v>
      </c>
      <c r="Y29" s="11">
        <f>'Shovel Ready Plan'!Y20</f>
        <v>18060.612958333331</v>
      </c>
      <c r="Z29" s="11">
        <f t="shared" si="4"/>
        <v>1624804.2249999996</v>
      </c>
    </row>
    <row r="30" spans="1:26" ht="28.5">
      <c r="A30" s="1" t="s">
        <v>327</v>
      </c>
      <c r="B30" s="11">
        <f>IF(B$4&lt;=24,Assumptions!$B$52/24,0)+IF(B$4&lt;=Assumptions!$B$58,(Assumptions!$B$46+Assumptions!$B$53+Assumptions!$B$54)/Assumptions!$B$58,0)</f>
        <v>14775</v>
      </c>
      <c r="C30" s="11">
        <f>IF(C$4&lt;=24,Assumptions!$B$52/24,0)+IF(C$4&lt;=Assumptions!$B$58,(Assumptions!$B$46+Assumptions!$B$53+Assumptions!$B$54)/Assumptions!$B$58,0)</f>
        <v>14775</v>
      </c>
      <c r="D30" s="11">
        <f>IF(D$4&lt;=24,Assumptions!$B$52/24,0)+IF(D$4&lt;=Assumptions!$B$58,(Assumptions!$B$46+Assumptions!$B$53+Assumptions!$B$54)/Assumptions!$B$58,0)</f>
        <v>14775</v>
      </c>
      <c r="E30" s="11">
        <f>IF(E$4&lt;=24,Assumptions!$B$52/24,0)+IF(E$4&lt;=Assumptions!$B$58,(Assumptions!$B$46+Assumptions!$B$53+Assumptions!$B$54)/Assumptions!$B$58,0)</f>
        <v>14775</v>
      </c>
      <c r="F30" s="11">
        <f>IF(F$4&lt;=24,Assumptions!$B$52/24,0)+IF(F$4&lt;=Assumptions!$B$58,(Assumptions!$B$46+Assumptions!$B$53+Assumptions!$B$54)/Assumptions!$B$58,0)</f>
        <v>795</v>
      </c>
      <c r="G30" s="11">
        <f>IF(G$4&lt;=24,Assumptions!$B$52/24,0)+IF(G$4&lt;=Assumptions!$B$58,(Assumptions!$B$46+Assumptions!$B$53+Assumptions!$B$54)/Assumptions!$B$58,0)</f>
        <v>795</v>
      </c>
      <c r="H30" s="11">
        <f>IF(H$4&lt;=24,Assumptions!$B$52/24,0)+IF(H$4&lt;=Assumptions!$B$58,(Assumptions!$B$46+Assumptions!$B$53+Assumptions!$B$54)/Assumptions!$B$58,0)</f>
        <v>795</v>
      </c>
      <c r="I30" s="11">
        <f>IF(I$4&lt;=24,Assumptions!$B$52/24,0)+IF(I$4&lt;=Assumptions!$B$58,(Assumptions!$B$46+Assumptions!$B$53+Assumptions!$B$54)/Assumptions!$B$58,0)</f>
        <v>795</v>
      </c>
      <c r="J30" s="11">
        <f>IF(J$4&lt;=24,Assumptions!$B$52/24,0)+IF(J$4&lt;=Assumptions!$B$58,(Assumptions!$B$46+Assumptions!$B$53+Assumptions!$B$54)/Assumptions!$B$58,0)</f>
        <v>795</v>
      </c>
      <c r="K30" s="11">
        <f>IF(K$4&lt;=24,Assumptions!$B$52/24,0)+IF(K$4&lt;=Assumptions!$B$58,(Assumptions!$B$46+Assumptions!$B$53+Assumptions!$B$54)/Assumptions!$B$58,0)</f>
        <v>795</v>
      </c>
      <c r="L30" s="11">
        <f>IF(L$4&lt;=24,Assumptions!$B$52/24,0)+IF(L$4&lt;=Assumptions!$B$58,(Assumptions!$B$46+Assumptions!$B$53+Assumptions!$B$54)/Assumptions!$B$58,0)</f>
        <v>795</v>
      </c>
      <c r="M30" s="11">
        <f>IF(M$4&lt;=24,Assumptions!$B$52/24,0)+IF(M$4&lt;=Assumptions!$B$58,(Assumptions!$B$46+Assumptions!$B$53+Assumptions!$B$54)/Assumptions!$B$58,0)</f>
        <v>795</v>
      </c>
      <c r="N30" s="11">
        <f>IF(N$4&lt;=24,Assumptions!$B$52/24,0)+IF(N$4&lt;=Assumptions!$B$58,(Assumptions!$B$46+Assumptions!$B$53+Assumptions!$B$54)/Assumptions!$B$58,0)</f>
        <v>795</v>
      </c>
      <c r="O30" s="11">
        <f>IF(O$4&lt;=24,Assumptions!$B$52/24,0)+IF(O$4&lt;=Assumptions!$B$58,(Assumptions!$B$46+Assumptions!$B$53+Assumptions!$B$54)/Assumptions!$B$58,0)</f>
        <v>795</v>
      </c>
      <c r="P30" s="11">
        <f>IF(P$4&lt;=24,Assumptions!$B$52/24,0)+IF(P$4&lt;=Assumptions!$B$58,(Assumptions!$B$46+Assumptions!$B$53+Assumptions!$B$54)/Assumptions!$B$58,0)</f>
        <v>795</v>
      </c>
      <c r="Q30" s="11">
        <f>IF(Q$4&lt;=24,Assumptions!$B$52/24,0)+IF(Q$4&lt;=Assumptions!$B$58,(Assumptions!$B$46+Assumptions!$B$53+Assumptions!$B$54)/Assumptions!$B$58,0)</f>
        <v>795</v>
      </c>
      <c r="R30" s="11">
        <f>IF(R$4&lt;=24,Assumptions!$B$52/24,0)+IF(R$4&lt;=Assumptions!$B$58,(Assumptions!$B$46+Assumptions!$B$53+Assumptions!$B$54)/Assumptions!$B$58,0)</f>
        <v>795</v>
      </c>
      <c r="S30" s="11">
        <f>IF(S$4&lt;=24,Assumptions!$B$52/24,0)+IF(S$4&lt;=Assumptions!$B$58,(Assumptions!$B$46+Assumptions!$B$53+Assumptions!$B$54)/Assumptions!$B$58,0)</f>
        <v>795</v>
      </c>
      <c r="T30" s="11">
        <f>IF(T$4&lt;=24,Assumptions!$B$52/24,0)+IF(T$4&lt;=Assumptions!$B$58,(Assumptions!$B$46+Assumptions!$B$53+Assumptions!$B$54)/Assumptions!$B$58,0)</f>
        <v>795</v>
      </c>
      <c r="U30" s="11">
        <f>IF(U$4&lt;=24,Assumptions!$B$52/24,0)+IF(U$4&lt;=Assumptions!$B$58,(Assumptions!$B$46+Assumptions!$B$53+Assumptions!$B$54)/Assumptions!$B$58,0)</f>
        <v>795</v>
      </c>
      <c r="V30" s="11">
        <f>IF(V$4&lt;=24,Assumptions!$B$52/24,0)+IF(V$4&lt;=Assumptions!$B$58,(Assumptions!$B$46+Assumptions!$B$53+Assumptions!$B$54)/Assumptions!$B$58,0)</f>
        <v>795</v>
      </c>
      <c r="W30" s="11">
        <f>IF(W$4&lt;=24,Assumptions!$B$52/24,0)+IF(W$4&lt;=Assumptions!$B$58,(Assumptions!$B$46+Assumptions!$B$53+Assumptions!$B$54)/Assumptions!$B$58,0)</f>
        <v>795</v>
      </c>
      <c r="X30" s="11">
        <f>IF(X$4&lt;=24,Assumptions!$B$52/24,0)+IF(X$4&lt;=Assumptions!$B$58,(Assumptions!$B$46+Assumptions!$B$53+Assumptions!$B$54)/Assumptions!$B$58,0)</f>
        <v>795</v>
      </c>
      <c r="Y30" s="11">
        <f>IF(Y$4&lt;=24,Assumptions!$B$52/24,0)+IF(Y$4&lt;=Assumptions!$B$58,(Assumptions!$B$46+Assumptions!$B$53+Assumptions!$B$54)/Assumptions!$B$58,0)</f>
        <v>795</v>
      </c>
      <c r="Z30" s="11">
        <f t="shared" si="4"/>
        <v>75000</v>
      </c>
    </row>
    <row r="31" spans="1:26">
      <c r="A31" s="1" t="s">
        <v>328</v>
      </c>
      <c r="B31" s="11">
        <f>'Capital Raise Schedule'!B10</f>
        <v>22500</v>
      </c>
      <c r="C31" s="11">
        <f>'Capital Raise Schedule'!C10</f>
        <v>45000</v>
      </c>
      <c r="D31" s="11">
        <f>'Capital Raise Schedule'!D10</f>
        <v>67500</v>
      </c>
      <c r="E31" s="11">
        <f>'Capital Raise Schedule'!E10</f>
        <v>90000</v>
      </c>
      <c r="F31" s="11">
        <f>'Capital Raise Schedule'!F10</f>
        <v>0</v>
      </c>
      <c r="G31" s="11">
        <f>'Capital Raise Schedule'!G10</f>
        <v>0</v>
      </c>
      <c r="H31" s="11">
        <f>'Capital Raise Schedule'!H10</f>
        <v>0</v>
      </c>
      <c r="I31" s="11">
        <f>'Capital Raise Schedule'!I10</f>
        <v>0</v>
      </c>
      <c r="J31" s="11">
        <f>'Capital Raise Schedule'!J10</f>
        <v>0</v>
      </c>
      <c r="K31" s="11">
        <f>'Capital Raise Schedule'!K10</f>
        <v>0</v>
      </c>
      <c r="L31" s="11">
        <f>'Capital Raise Schedule'!L10</f>
        <v>0</v>
      </c>
      <c r="M31" s="11">
        <f>'Capital Raise Schedule'!M10</f>
        <v>0</v>
      </c>
      <c r="N31" s="11">
        <f>'Capital Raise Schedule'!N10</f>
        <v>0</v>
      </c>
      <c r="O31" s="11">
        <f>'Capital Raise Schedule'!O10</f>
        <v>0</v>
      </c>
      <c r="P31" s="11">
        <f>'Capital Raise Schedule'!P10</f>
        <v>0</v>
      </c>
      <c r="Q31" s="11">
        <f>'Capital Raise Schedule'!Q10</f>
        <v>0</v>
      </c>
      <c r="R31" s="11">
        <f>'Capital Raise Schedule'!R10</f>
        <v>0</v>
      </c>
      <c r="S31" s="11">
        <f>'Capital Raise Schedule'!S10</f>
        <v>0</v>
      </c>
      <c r="T31" s="11">
        <f>'Capital Raise Schedule'!T10</f>
        <v>0</v>
      </c>
      <c r="U31" s="11">
        <f>'Capital Raise Schedule'!U10</f>
        <v>0</v>
      </c>
      <c r="V31" s="11">
        <f>'Capital Raise Schedule'!V10</f>
        <v>0</v>
      </c>
      <c r="W31" s="11">
        <f>'Capital Raise Schedule'!W10</f>
        <v>0</v>
      </c>
      <c r="X31" s="11">
        <f>'Capital Raise Schedule'!X10</f>
        <v>0</v>
      </c>
      <c r="Y31" s="11">
        <f>'Capital Raise Schedule'!Y10</f>
        <v>0</v>
      </c>
      <c r="Z31" s="11">
        <f t="shared" si="4"/>
        <v>225000</v>
      </c>
    </row>
    <row r="32" spans="1:26">
      <c r="A32" s="1" t="s">
        <v>329</v>
      </c>
      <c r="B32" s="11">
        <f>IF(B$4=Assumptions!$B$59,Assumptions!$B$34*Assumptions!$B$36,0)</f>
        <v>0</v>
      </c>
      <c r="C32" s="11">
        <f>IF(C$4=Assumptions!$B$59,Assumptions!$B$34*Assumptions!$B$36,0)</f>
        <v>0</v>
      </c>
      <c r="D32" s="11">
        <f>IF(D$4=Assumptions!$B$59,Assumptions!$B$34*Assumptions!$B$36,0)</f>
        <v>0</v>
      </c>
      <c r="E32" s="11">
        <f>IF(E$4=Assumptions!$B$59,Assumptions!$B$34*Assumptions!$B$36,0)</f>
        <v>0</v>
      </c>
      <c r="F32" s="11">
        <f>IF(F$4=Assumptions!$B$59,Assumptions!$B$34*Assumptions!$B$36,0)</f>
        <v>0</v>
      </c>
      <c r="G32" s="11">
        <f>IF(G$4=Assumptions!$B$59,Assumptions!$B$34*Assumptions!$B$36,0)</f>
        <v>0</v>
      </c>
      <c r="H32" s="11">
        <f>IF(H$4=Assumptions!$B$59,Assumptions!$B$34*Assumptions!$B$36,0)</f>
        <v>0</v>
      </c>
      <c r="I32" s="11">
        <f>IF(I$4=Assumptions!$B$59,Assumptions!$B$34*Assumptions!$B$36,0)</f>
        <v>0</v>
      </c>
      <c r="J32" s="11">
        <f>IF(J$4=Assumptions!$B$59,Assumptions!$B$34*Assumptions!$B$36,0)</f>
        <v>0</v>
      </c>
      <c r="K32" s="11">
        <f>IF(K$4=Assumptions!$B$59,Assumptions!$B$34*Assumptions!$B$36,0)</f>
        <v>0</v>
      </c>
      <c r="L32" s="11">
        <f>IF(L$4=Assumptions!$B$59,Assumptions!$B$34*Assumptions!$B$36,0)</f>
        <v>0</v>
      </c>
      <c r="M32" s="11">
        <f>IF(M$4=Assumptions!$B$59,Assumptions!$B$34*Assumptions!$B$36,0)</f>
        <v>0</v>
      </c>
      <c r="N32" s="11">
        <f>IF(N$4=Assumptions!$B$59,Assumptions!$B$34*Assumptions!$B$36,0)</f>
        <v>75000</v>
      </c>
      <c r="O32" s="11">
        <f>IF(O$4=Assumptions!$B$59,Assumptions!$B$34*Assumptions!$B$36,0)</f>
        <v>0</v>
      </c>
      <c r="P32" s="11">
        <f>IF(P$4=Assumptions!$B$59,Assumptions!$B$34*Assumptions!$B$36,0)</f>
        <v>0</v>
      </c>
      <c r="Q32" s="11">
        <f>IF(Q$4=Assumptions!$B$59,Assumptions!$B$34*Assumptions!$B$36,0)</f>
        <v>0</v>
      </c>
      <c r="R32" s="11">
        <f>IF(R$4=Assumptions!$B$59,Assumptions!$B$34*Assumptions!$B$36,0)</f>
        <v>0</v>
      </c>
      <c r="S32" s="11">
        <f>IF(S$4=Assumptions!$B$59,Assumptions!$B$34*Assumptions!$B$36,0)</f>
        <v>0</v>
      </c>
      <c r="T32" s="11">
        <f>IF(T$4=Assumptions!$B$59,Assumptions!$B$34*Assumptions!$B$36,0)</f>
        <v>0</v>
      </c>
      <c r="U32" s="11">
        <f>IF(U$4=Assumptions!$B$59,Assumptions!$B$34*Assumptions!$B$36,0)</f>
        <v>0</v>
      </c>
      <c r="V32" s="11">
        <f>IF(V$4=Assumptions!$B$59,Assumptions!$B$34*Assumptions!$B$36,0)</f>
        <v>0</v>
      </c>
      <c r="W32" s="11">
        <f>IF(W$4=Assumptions!$B$59,Assumptions!$B$34*Assumptions!$B$36,0)</f>
        <v>0</v>
      </c>
      <c r="X32" s="11">
        <f>IF(X$4=Assumptions!$B$59,Assumptions!$B$34*Assumptions!$B$36,0)</f>
        <v>0</v>
      </c>
      <c r="Y32" s="11">
        <f>IF(Y$4=Assumptions!$B$59,Assumptions!$B$34*Assumptions!$B$36,0)</f>
        <v>0</v>
      </c>
      <c r="Z32" s="11">
        <f t="shared" si="4"/>
        <v>75000</v>
      </c>
    </row>
    <row r="33" spans="1:26">
      <c r="A33" s="1" t="s">
        <v>330</v>
      </c>
      <c r="B33" s="11">
        <f>IF(B$4&gt;=Assumptions!$B$66,Assumptions!$B$38/12,0)</f>
        <v>10507.747499999999</v>
      </c>
      <c r="C33" s="11">
        <f>IF(C$4&gt;=Assumptions!$B$66,Assumptions!$B$38/12,0)</f>
        <v>10507.747499999999</v>
      </c>
      <c r="D33" s="11">
        <f>IF(D$4&gt;=Assumptions!$B$66,Assumptions!$B$38/12,0)</f>
        <v>10507.747499999999</v>
      </c>
      <c r="E33" s="11">
        <f>IF(E$4&gt;=Assumptions!$B$66,Assumptions!$B$38/12,0)</f>
        <v>10507.747499999999</v>
      </c>
      <c r="F33" s="11">
        <f>IF(F$4&gt;=Assumptions!$B$66,Assumptions!$B$38/12,0)</f>
        <v>10507.747499999999</v>
      </c>
      <c r="G33" s="11">
        <f>IF(G$4&gt;=Assumptions!$B$66,Assumptions!$B$38/12,0)</f>
        <v>10507.747499999999</v>
      </c>
      <c r="H33" s="11">
        <f>IF(H$4&gt;=Assumptions!$B$66,Assumptions!$B$38/12,0)</f>
        <v>10507.747499999999</v>
      </c>
      <c r="I33" s="11">
        <f>IF(I$4&gt;=Assumptions!$B$66,Assumptions!$B$38/12,0)</f>
        <v>10507.747499999999</v>
      </c>
      <c r="J33" s="11">
        <f>IF(J$4&gt;=Assumptions!$B$66,Assumptions!$B$38/12,0)</f>
        <v>10507.747499999999</v>
      </c>
      <c r="K33" s="11">
        <f>IF(K$4&gt;=Assumptions!$B$66,Assumptions!$B$38/12,0)</f>
        <v>10507.747499999999</v>
      </c>
      <c r="L33" s="11">
        <f>IF(L$4&gt;=Assumptions!$B$66,Assumptions!$B$38/12,0)</f>
        <v>10507.747499999999</v>
      </c>
      <c r="M33" s="11">
        <f>IF(M$4&gt;=Assumptions!$B$66,Assumptions!$B$38/12,0)</f>
        <v>10507.747499999999</v>
      </c>
      <c r="N33" s="11">
        <f>IF(N$4&gt;=Assumptions!$B$66,Assumptions!$B$38/12,0)</f>
        <v>10507.747499999999</v>
      </c>
      <c r="O33" s="11">
        <f>IF(O$4&gt;=Assumptions!$B$66,Assumptions!$B$38/12,0)</f>
        <v>10507.747499999999</v>
      </c>
      <c r="P33" s="11">
        <f>IF(P$4&gt;=Assumptions!$B$66,Assumptions!$B$38/12,0)</f>
        <v>10507.747499999999</v>
      </c>
      <c r="Q33" s="11">
        <f>IF(Q$4&gt;=Assumptions!$B$66,Assumptions!$B$38/12,0)</f>
        <v>10507.747499999999</v>
      </c>
      <c r="R33" s="11">
        <f>IF(R$4&gt;=Assumptions!$B$66,Assumptions!$B$38/12,0)</f>
        <v>10507.747499999999</v>
      </c>
      <c r="S33" s="11">
        <f>IF(S$4&gt;=Assumptions!$B$66,Assumptions!$B$38/12,0)</f>
        <v>10507.747499999999</v>
      </c>
      <c r="T33" s="11">
        <f>IF(T$4&gt;=Assumptions!$B$66,Assumptions!$B$38/12,0)</f>
        <v>10507.747499999999</v>
      </c>
      <c r="U33" s="11">
        <f>IF(U$4&gt;=Assumptions!$B$66,Assumptions!$B$38/12,0)</f>
        <v>10507.747499999999</v>
      </c>
      <c r="V33" s="11">
        <f>IF(V$4&gt;=Assumptions!$B$66,Assumptions!$B$38/12,0)</f>
        <v>10507.747499999999</v>
      </c>
      <c r="W33" s="11">
        <f>IF(W$4&gt;=Assumptions!$B$66,Assumptions!$B$38/12,0)</f>
        <v>10507.747499999999</v>
      </c>
      <c r="X33" s="11">
        <f>IF(X$4&gt;=Assumptions!$B$66,Assumptions!$B$38/12,0)</f>
        <v>10507.747499999999</v>
      </c>
      <c r="Y33" s="11">
        <f>IF(Y$4&gt;=Assumptions!$B$66,Assumptions!$B$38/12,0)</f>
        <v>10507.747499999999</v>
      </c>
      <c r="Z33" s="11">
        <f t="shared" si="4"/>
        <v>252185.93999999997</v>
      </c>
    </row>
    <row r="34" spans="1:26">
      <c r="A34" s="1" t="s">
        <v>331</v>
      </c>
      <c r="B34" s="11">
        <f>'Sales Schedule'!B31</f>
        <v>0</v>
      </c>
      <c r="C34" s="11">
        <f>'Sales Schedule'!C31</f>
        <v>0</v>
      </c>
      <c r="D34" s="11">
        <f>'Sales Schedule'!D31</f>
        <v>0</v>
      </c>
      <c r="E34" s="11">
        <f>'Sales Schedule'!E31</f>
        <v>0</v>
      </c>
      <c r="F34" s="11">
        <f>'Sales Schedule'!F31</f>
        <v>0</v>
      </c>
      <c r="G34" s="11">
        <f>'Sales Schedule'!G31</f>
        <v>0</v>
      </c>
      <c r="H34" s="11">
        <f>'Sales Schedule'!H31</f>
        <v>0</v>
      </c>
      <c r="I34" s="11">
        <f>'Sales Schedule'!I31</f>
        <v>0</v>
      </c>
      <c r="J34" s="11">
        <f>'Sales Schedule'!J31</f>
        <v>0</v>
      </c>
      <c r="K34" s="11">
        <f>'Sales Schedule'!K31</f>
        <v>0</v>
      </c>
      <c r="L34" s="11">
        <f>'Sales Schedule'!L31</f>
        <v>0</v>
      </c>
      <c r="M34" s="11">
        <f>'Sales Schedule'!M31</f>
        <v>0</v>
      </c>
      <c r="N34" s="11">
        <f>'Sales Schedule'!N31</f>
        <v>0</v>
      </c>
      <c r="O34" s="11">
        <f>'Sales Schedule'!O31</f>
        <v>0</v>
      </c>
      <c r="P34" s="11">
        <f>'Sales Schedule'!P31</f>
        <v>0</v>
      </c>
      <c r="Q34" s="11">
        <f>'Sales Schedule'!Q31</f>
        <v>0</v>
      </c>
      <c r="R34" s="11">
        <f>'Sales Schedule'!R31</f>
        <v>0</v>
      </c>
      <c r="S34" s="11">
        <f>'Sales Schedule'!S31</f>
        <v>0</v>
      </c>
      <c r="T34" s="11">
        <f>'Sales Schedule'!T31</f>
        <v>0</v>
      </c>
      <c r="U34" s="11">
        <f>'Sales Schedule'!U31</f>
        <v>0</v>
      </c>
      <c r="V34" s="11">
        <f>'Sales Schedule'!V31</f>
        <v>0</v>
      </c>
      <c r="W34" s="11">
        <f>'Sales Schedule'!W31</f>
        <v>0</v>
      </c>
      <c r="X34" s="11">
        <f>'Sales Schedule'!X31</f>
        <v>0</v>
      </c>
      <c r="Y34" s="11">
        <f>'Sales Schedule'!Y31</f>
        <v>1039500</v>
      </c>
      <c r="Z34" s="11">
        <f t="shared" si="4"/>
        <v>1039500</v>
      </c>
    </row>
    <row r="35" spans="1:26" ht="28.5">
      <c r="A35" s="1" t="s">
        <v>332</v>
      </c>
      <c r="B35" s="11">
        <f>IF(B$5&gt;DATE(2027,1,31),B22*Assumptions!$B$68,0)</f>
        <v>0</v>
      </c>
      <c r="C35" s="11">
        <f>IF(C$5&gt;DATE(2027,1,31),C22*Assumptions!$B$68,0)</f>
        <v>0</v>
      </c>
      <c r="D35" s="11">
        <f>IF(D$5&gt;DATE(2027,1,31),D22*Assumptions!$B$68,0)</f>
        <v>0</v>
      </c>
      <c r="E35" s="11">
        <f>IF(E$5&gt;DATE(2027,1,31),E22*Assumptions!$B$68,0)</f>
        <v>0</v>
      </c>
      <c r="F35" s="11">
        <f>IF(F$5&gt;DATE(2027,1,31),F22*Assumptions!$B$68,0)</f>
        <v>1416.8055163043412</v>
      </c>
      <c r="G35" s="11">
        <f>IF(G$5&gt;DATE(2027,1,31),G22*Assumptions!$B$68,0)</f>
        <v>1416.8055163043412</v>
      </c>
      <c r="H35" s="11">
        <f>IF(H$5&gt;DATE(2027,1,31),H22*Assumptions!$B$68,0)</f>
        <v>1416.8055163043412</v>
      </c>
      <c r="I35" s="11">
        <f>IF(I$5&gt;DATE(2027,1,31),I22*Assumptions!$B$68,0)</f>
        <v>1416.8055163043412</v>
      </c>
      <c r="J35" s="11">
        <f>IF(J$5&gt;DATE(2027,1,31),J22*Assumptions!$B$68,0)</f>
        <v>1416.8055163043412</v>
      </c>
      <c r="K35" s="11">
        <f>IF(K$5&gt;DATE(2027,1,31),K22*Assumptions!$B$68,0)</f>
        <v>1416.8055163043412</v>
      </c>
      <c r="L35" s="11">
        <f>IF(L$5&gt;DATE(2027,1,31),L22*Assumptions!$B$68,0)</f>
        <v>1416.8055163043412</v>
      </c>
      <c r="M35" s="11">
        <f>IF(M$5&gt;DATE(2027,1,31),M22*Assumptions!$B$68,0)</f>
        <v>1416.8055163043412</v>
      </c>
      <c r="N35" s="11">
        <f>IF(N$5&gt;DATE(2027,1,31),N22*Assumptions!$B$68,0)</f>
        <v>1416.8055163043412</v>
      </c>
      <c r="O35" s="11">
        <f>IF(O$5&gt;DATE(2027,1,31),O22*Assumptions!$B$68,0)</f>
        <v>1416.8055163043412</v>
      </c>
      <c r="P35" s="11">
        <f>IF(P$5&gt;DATE(2027,1,31),P22*Assumptions!$B$68,0)</f>
        <v>1416.8055163043412</v>
      </c>
      <c r="Q35" s="11">
        <f>IF(Q$5&gt;DATE(2027,1,31),Q22*Assumptions!$B$68,0)</f>
        <v>1416.8055163043412</v>
      </c>
      <c r="R35" s="11">
        <f>IF(R$5&gt;DATE(2027,1,31),R22*Assumptions!$B$68,0)</f>
        <v>1416.8055163043412</v>
      </c>
      <c r="S35" s="11">
        <f>IF(S$5&gt;DATE(2027,1,31),S22*Assumptions!$B$68,0)</f>
        <v>1416.8055163043412</v>
      </c>
      <c r="T35" s="11">
        <f>IF(T$5&gt;DATE(2027,1,31),T22*Assumptions!$B$68,0)</f>
        <v>1416.8055163043412</v>
      </c>
      <c r="U35" s="11">
        <f>IF(U$5&gt;DATE(2027,1,31),U22*Assumptions!$B$68,0)</f>
        <v>1416.8055163043412</v>
      </c>
      <c r="V35" s="11">
        <f>IF(V$5&gt;DATE(2027,1,31),V22*Assumptions!$B$68,0)</f>
        <v>1416.8055163043412</v>
      </c>
      <c r="W35" s="11">
        <f>IF(W$5&gt;DATE(2027,1,31),W22*Assumptions!$B$68,0)</f>
        <v>1416.8055163043412</v>
      </c>
      <c r="X35" s="11">
        <f>IF(X$5&gt;DATE(2027,1,31),X22*Assumptions!$B$68,0)</f>
        <v>1416.8055163043412</v>
      </c>
      <c r="Y35" s="11">
        <f>IF(Y$5&gt;DATE(2027,1,31),Y22*Assumptions!$B$68,0)</f>
        <v>1416.8055163043412</v>
      </c>
      <c r="Z35" s="11">
        <f t="shared" si="4"/>
        <v>28336.110326086837</v>
      </c>
    </row>
    <row r="36" spans="1:26">
      <c r="A36" s="1" t="s">
        <v>333</v>
      </c>
      <c r="B36" s="11">
        <f>B21*Assumptions!$B$35/12</f>
        <v>0</v>
      </c>
      <c r="C36" s="11">
        <f>C21*Assumptions!$B$35/12</f>
        <v>0</v>
      </c>
      <c r="D36" s="11">
        <f>D21*Assumptions!$B$35/12</f>
        <v>0</v>
      </c>
      <c r="E36" s="11">
        <f>E21*Assumptions!$B$35/12</f>
        <v>0</v>
      </c>
      <c r="F36" s="11">
        <f>F21*Assumptions!$B$35/12</f>
        <v>0</v>
      </c>
      <c r="G36" s="11">
        <f>G21*Assumptions!$B$35/12</f>
        <v>0</v>
      </c>
      <c r="H36" s="11">
        <f>H21*Assumptions!$B$35/12</f>
        <v>0</v>
      </c>
      <c r="I36" s="11">
        <f>I21*Assumptions!$B$35/12</f>
        <v>0</v>
      </c>
      <c r="J36" s="11">
        <f>J21*Assumptions!$B$35/12</f>
        <v>0</v>
      </c>
      <c r="K36" s="11">
        <f>K21*Assumptions!$B$35/12</f>
        <v>0</v>
      </c>
      <c r="L36" s="11">
        <f>L21*Assumptions!$B$35/12</f>
        <v>0</v>
      </c>
      <c r="M36" s="11">
        <f>M21*Assumptions!$B$35/12</f>
        <v>0</v>
      </c>
      <c r="N36" s="11">
        <f>N21*Assumptions!$B$35/12</f>
        <v>0</v>
      </c>
      <c r="O36" s="11">
        <f>O21*Assumptions!$B$35/12</f>
        <v>0</v>
      </c>
      <c r="P36" s="11">
        <f>P21*Assumptions!$B$35/12</f>
        <v>0</v>
      </c>
      <c r="Q36" s="11">
        <f>Q21*Assumptions!$B$35/12</f>
        <v>0</v>
      </c>
      <c r="R36" s="11">
        <f>R21*Assumptions!$B$35/12</f>
        <v>0</v>
      </c>
      <c r="S36" s="11">
        <f>S21*Assumptions!$B$35/12</f>
        <v>0</v>
      </c>
      <c r="T36" s="11">
        <f>T21*Assumptions!$B$35/12</f>
        <v>5011.7565240489139</v>
      </c>
      <c r="U36" s="11">
        <f>U21*Assumptions!$B$35/12</f>
        <v>10731.123936540705</v>
      </c>
      <c r="V36" s="11">
        <f>V21*Assumptions!$B$35/12</f>
        <v>16373.84606411057</v>
      </c>
      <c r="W36" s="11">
        <f>W21*Assumptions!$B$35/12</f>
        <v>21856.714133102749</v>
      </c>
      <c r="X36" s="11">
        <f>X21*Assumptions!$B$35/12</f>
        <v>27251.571599401126</v>
      </c>
      <c r="Y36" s="11">
        <f>Y21*Assumptions!$B$35/12</f>
        <v>32567.755593613867</v>
      </c>
      <c r="Z36" s="11">
        <f t="shared" si="4"/>
        <v>113792.76785081794</v>
      </c>
    </row>
    <row r="37" spans="1:26" ht="15">
      <c r="A37" s="14" t="s">
        <v>334</v>
      </c>
      <c r="B37" s="15">
        <f>0</f>
        <v>0</v>
      </c>
      <c r="C37" s="15">
        <f>0</f>
        <v>0</v>
      </c>
      <c r="D37" s="15">
        <f>0</f>
        <v>0</v>
      </c>
      <c r="E37" s="15">
        <f>0</f>
        <v>0</v>
      </c>
      <c r="F37" s="15">
        <f>0</f>
        <v>0</v>
      </c>
      <c r="G37" s="15">
        <f>0</f>
        <v>0</v>
      </c>
      <c r="H37" s="15">
        <f>0</f>
        <v>0</v>
      </c>
      <c r="I37" s="15">
        <f>0</f>
        <v>0</v>
      </c>
      <c r="J37" s="15">
        <f>0</f>
        <v>0</v>
      </c>
      <c r="K37" s="15">
        <f>0</f>
        <v>0</v>
      </c>
      <c r="L37" s="15">
        <f>0</f>
        <v>0</v>
      </c>
      <c r="M37" s="15">
        <f>0</f>
        <v>0</v>
      </c>
      <c r="N37" s="15">
        <f>0</f>
        <v>0</v>
      </c>
      <c r="O37" s="15">
        <f>0</f>
        <v>0</v>
      </c>
      <c r="P37" s="15">
        <f>0</f>
        <v>0</v>
      </c>
      <c r="Q37" s="15">
        <f>0</f>
        <v>0</v>
      </c>
      <c r="R37" s="15">
        <f>0</f>
        <v>0</v>
      </c>
      <c r="S37" s="15">
        <f>0</f>
        <v>0</v>
      </c>
      <c r="T37" s="15">
        <f>0</f>
        <v>0</v>
      </c>
      <c r="U37" s="15">
        <f>0</f>
        <v>0</v>
      </c>
      <c r="V37" s="15">
        <f>0</f>
        <v>0</v>
      </c>
      <c r="W37" s="15">
        <f>0</f>
        <v>0</v>
      </c>
      <c r="X37" s="15">
        <f>0</f>
        <v>0</v>
      </c>
      <c r="Y37" s="15">
        <f>0</f>
        <v>0</v>
      </c>
      <c r="Z37" s="15">
        <f>0</f>
        <v>0</v>
      </c>
    </row>
    <row r="38" spans="1:26" ht="15">
      <c r="A38" s="44" t="s">
        <v>335</v>
      </c>
      <c r="B38" s="45">
        <f t="shared" ref="B38:Y38" si="5">B19+B20</f>
        <v>318655.25770833332</v>
      </c>
      <c r="C38" s="45">
        <f t="shared" si="5"/>
        <v>1080810.5154166669</v>
      </c>
      <c r="D38" s="45">
        <f t="shared" si="5"/>
        <v>2246813.3131250003</v>
      </c>
      <c r="E38" s="45">
        <f t="shared" si="5"/>
        <v>3856316.1108333338</v>
      </c>
      <c r="F38" s="45">
        <f t="shared" si="5"/>
        <v>878410.19465579698</v>
      </c>
      <c r="G38" s="45">
        <f t="shared" si="5"/>
        <v>758823.72684782604</v>
      </c>
      <c r="H38" s="45">
        <f t="shared" si="5"/>
        <v>639237.2590398551</v>
      </c>
      <c r="I38" s="45">
        <f t="shared" si="5"/>
        <v>519650.7912318841</v>
      </c>
      <c r="J38" s="45">
        <f t="shared" si="5"/>
        <v>410064.3234239131</v>
      </c>
      <c r="K38" s="45">
        <f t="shared" si="5"/>
        <v>263425.39561594208</v>
      </c>
      <c r="L38" s="45">
        <f t="shared" si="5"/>
        <v>116786.46780797109</v>
      </c>
      <c r="M38" s="45">
        <f t="shared" si="5"/>
        <v>0</v>
      </c>
      <c r="N38" s="45">
        <f t="shared" si="5"/>
        <v>3526500.7985253623</v>
      </c>
      <c r="O38" s="45">
        <f t="shared" si="5"/>
        <v>2789620.9940507244</v>
      </c>
      <c r="P38" s="45">
        <f t="shared" si="5"/>
        <v>1891382.1365760867</v>
      </c>
      <c r="Q38" s="45">
        <f t="shared" si="5"/>
        <v>986557.30260144908</v>
      </c>
      <c r="R38" s="45">
        <f t="shared" si="5"/>
        <v>76728.443626811495</v>
      </c>
      <c r="S38" s="45">
        <f t="shared" si="5"/>
        <v>0</v>
      </c>
      <c r="T38" s="45">
        <f t="shared" si="5"/>
        <v>0</v>
      </c>
      <c r="U38" s="45">
        <f t="shared" si="5"/>
        <v>0</v>
      </c>
      <c r="V38" s="45">
        <f t="shared" si="5"/>
        <v>0</v>
      </c>
      <c r="W38" s="45">
        <f t="shared" si="5"/>
        <v>0</v>
      </c>
      <c r="X38" s="45">
        <f t="shared" si="5"/>
        <v>0</v>
      </c>
      <c r="Y38" s="45">
        <f t="shared" si="5"/>
        <v>14817273.903431749</v>
      </c>
      <c r="Z38" s="45">
        <f t="shared" ref="Z38:Z46" si="6">SUM(B38:Y38)</f>
        <v>35177056.934518702</v>
      </c>
    </row>
    <row r="39" spans="1:26" ht="30">
      <c r="A39" s="14" t="s">
        <v>336</v>
      </c>
      <c r="B39" s="15">
        <f>0</f>
        <v>0</v>
      </c>
      <c r="C39" s="15">
        <f>0</f>
        <v>0</v>
      </c>
      <c r="D39" s="15">
        <f>0</f>
        <v>0</v>
      </c>
      <c r="E39" s="15">
        <f>MIN(E22+E23,MAX(0,(E38-(SUM(F29:M30)+SUM(F33:M33))-(Assumptions!$B$59-Assumptions!$B$58-1)*Assumptions!$B$68*(E22+E23))/(1-(Assumptions!$B$59-Assumptions!$B$58-1)*Assumptions!$B$68)))</f>
        <v>2858319.4483695659</v>
      </c>
      <c r="F39" s="15">
        <f>0</f>
        <v>0</v>
      </c>
      <c r="G39" s="15">
        <f>0</f>
        <v>0</v>
      </c>
      <c r="H39" s="15">
        <f>0</f>
        <v>0</v>
      </c>
      <c r="I39" s="15">
        <f>0</f>
        <v>0</v>
      </c>
      <c r="J39" s="15">
        <f>0</f>
        <v>0</v>
      </c>
      <c r="K39" s="15">
        <f>0</f>
        <v>0</v>
      </c>
      <c r="L39" s="15">
        <f>0</f>
        <v>0</v>
      </c>
      <c r="M39" s="15">
        <f>0</f>
        <v>0</v>
      </c>
      <c r="N39" s="15">
        <f>0</f>
        <v>0</v>
      </c>
      <c r="O39" s="15">
        <f>0</f>
        <v>0</v>
      </c>
      <c r="P39" s="15">
        <f>0</f>
        <v>0</v>
      </c>
      <c r="Q39" s="15">
        <f>0</f>
        <v>0</v>
      </c>
      <c r="R39" s="15">
        <f>0</f>
        <v>0</v>
      </c>
      <c r="S39" s="15">
        <f>0</f>
        <v>0</v>
      </c>
      <c r="T39" s="15">
        <f>0</f>
        <v>0</v>
      </c>
      <c r="U39" s="15">
        <f>0</f>
        <v>0</v>
      </c>
      <c r="V39" s="15">
        <f>0</f>
        <v>0</v>
      </c>
      <c r="W39" s="15">
        <f>0</f>
        <v>0</v>
      </c>
      <c r="X39" s="15">
        <f>0</f>
        <v>0</v>
      </c>
      <c r="Y39" s="15">
        <f>0</f>
        <v>0</v>
      </c>
      <c r="Z39" s="15">
        <f t="shared" si="6"/>
        <v>2858319.4483695659</v>
      </c>
    </row>
    <row r="40" spans="1:26" ht="30">
      <c r="A40" s="44" t="s">
        <v>337</v>
      </c>
      <c r="B40" s="45">
        <f>IF(B$4=Assumptions!$B$59,MIN((B22+B23-B39)*Assumptions!$B$71,MAX(0,B38-B39)),0)</f>
        <v>0</v>
      </c>
      <c r="C40" s="45">
        <f>IF(C$4=Assumptions!$B$59,MIN((C22+C23-C39)*Assumptions!$B$71,MAX(0,C38-C39)),0)</f>
        <v>0</v>
      </c>
      <c r="D40" s="45">
        <f>IF(D$4=Assumptions!$B$59,MIN((D22+D23-D39)*Assumptions!$B$71,MAX(0,D38-D39)),0)</f>
        <v>0</v>
      </c>
      <c r="E40" s="45">
        <f>IF(E$4=Assumptions!$B$59,MIN((E22+E23-E39)*Assumptions!$B$71,MAX(0,E38-E39)),0)</f>
        <v>0</v>
      </c>
      <c r="F40" s="45">
        <f>IF(F$4=Assumptions!$B$59,MIN((F22+F23-F39)*Assumptions!$B$71,MAX(0,F38-F39)),0)</f>
        <v>0</v>
      </c>
      <c r="G40" s="45">
        <f>IF(G$4=Assumptions!$B$59,MIN((G22+G23-G39)*Assumptions!$B$71,MAX(0,G38-G39)),0)</f>
        <v>0</v>
      </c>
      <c r="H40" s="45">
        <f>IF(H$4=Assumptions!$B$59,MIN((H22+H23-H39)*Assumptions!$B$71,MAX(0,H38-H39)),0)</f>
        <v>0</v>
      </c>
      <c r="I40" s="45">
        <f>IF(I$4=Assumptions!$B$59,MIN((I22+I23-I39)*Assumptions!$B$71,MAX(0,I38-I39)),0)</f>
        <v>0</v>
      </c>
      <c r="J40" s="45">
        <f>IF(J$4=Assumptions!$B$59,MIN((J22+J23-J39)*Assumptions!$B$71,MAX(0,J38-J39)),0)</f>
        <v>0</v>
      </c>
      <c r="K40" s="45">
        <f>IF(K$4=Assumptions!$B$59,MIN((K22+K23-K39)*Assumptions!$B$71,MAX(0,K38-K39)),0)</f>
        <v>0</v>
      </c>
      <c r="L40" s="45">
        <f>IF(L$4=Assumptions!$B$59,MIN((L22+L23-L39)*Assumptions!$B$71,MAX(0,L38-L39)),0)</f>
        <v>0</v>
      </c>
      <c r="M40" s="45">
        <f>IF(M$4=Assumptions!$B$59,MIN((M22+M23-M39)*Assumptions!$B$71,MAX(0,M38-M39)),0)</f>
        <v>0</v>
      </c>
      <c r="N40" s="45">
        <f>IF(N$4=Assumptions!$B$59,MIN((N22+N23-N39)*Assumptions!$B$71,MAX(0,N38-N39)),0)</f>
        <v>0</v>
      </c>
      <c r="O40" s="45">
        <f>IF(O$4=Assumptions!$B$59,MIN((O22+O23-O39)*Assumptions!$B$71,MAX(0,O38-O39)),0)</f>
        <v>0</v>
      </c>
      <c r="P40" s="45">
        <f>IF(P$4=Assumptions!$B$59,MIN((P22+P23-P39)*Assumptions!$B$71,MAX(0,P38-P39)),0)</f>
        <v>0</v>
      </c>
      <c r="Q40" s="45">
        <f>IF(Q$4=Assumptions!$B$59,MIN((Q22+Q23-Q39)*Assumptions!$B$71,MAX(0,Q38-Q39)),0)</f>
        <v>0</v>
      </c>
      <c r="R40" s="45">
        <f>IF(R$4=Assumptions!$B$59,MIN((R22+R23-R39)*Assumptions!$B$71,MAX(0,R38-R39)),0)</f>
        <v>0</v>
      </c>
      <c r="S40" s="45">
        <f>IF(S$4=Assumptions!$B$59,MIN((S22+S23-S39)*Assumptions!$B$71,MAX(0,S38-S39)),0)</f>
        <v>0</v>
      </c>
      <c r="T40" s="45">
        <f>IF(T$4=Assumptions!$B$59,MIN((T22+T23-T39)*Assumptions!$B$71,MAX(0,T38-T39)),0)</f>
        <v>0</v>
      </c>
      <c r="U40" s="45">
        <f>IF(U$4=Assumptions!$B$59,MIN((U22+U23-U39)*Assumptions!$B$71,MAX(0,U38-U39)),0)</f>
        <v>0</v>
      </c>
      <c r="V40" s="45">
        <f>IF(V$4=Assumptions!$B$59,MIN((V22+V23-V39)*Assumptions!$B$71,MAX(0,V38-V39)),0)</f>
        <v>0</v>
      </c>
      <c r="W40" s="45">
        <f>IF(W$4=Assumptions!$B$59,MIN((W22+W23-W39)*Assumptions!$B$71,MAX(0,W38-W39)),0)</f>
        <v>0</v>
      </c>
      <c r="X40" s="45">
        <f>IF(X$4=Assumptions!$B$59,MIN((X22+X23-X39)*Assumptions!$B$71,MAX(0,X38-X39)),0)</f>
        <v>0</v>
      </c>
      <c r="Y40" s="45">
        <f>IF(Y$4=Assumptions!$B$59,MIN((Y22+Y23-Y39)*Assumptions!$B$71,MAX(0,Y38-Y39)),0)</f>
        <v>0</v>
      </c>
      <c r="Z40" s="45">
        <f t="shared" si="6"/>
        <v>0</v>
      </c>
    </row>
    <row r="41" spans="1:26" ht="15">
      <c r="A41" s="44" t="s">
        <v>338</v>
      </c>
      <c r="B41" s="45">
        <f t="shared" ref="B41:Y41" si="7">B38-B39-B40</f>
        <v>318655.25770833332</v>
      </c>
      <c r="C41" s="45">
        <f t="shared" si="7"/>
        <v>1080810.5154166669</v>
      </c>
      <c r="D41" s="45">
        <f t="shared" si="7"/>
        <v>2246813.3131250003</v>
      </c>
      <c r="E41" s="45">
        <f t="shared" si="7"/>
        <v>997996.66246376792</v>
      </c>
      <c r="F41" s="45">
        <f t="shared" si="7"/>
        <v>878410.19465579698</v>
      </c>
      <c r="G41" s="45">
        <f t="shared" si="7"/>
        <v>758823.72684782604</v>
      </c>
      <c r="H41" s="45">
        <f t="shared" si="7"/>
        <v>639237.2590398551</v>
      </c>
      <c r="I41" s="45">
        <f t="shared" si="7"/>
        <v>519650.7912318841</v>
      </c>
      <c r="J41" s="45">
        <f t="shared" si="7"/>
        <v>410064.3234239131</v>
      </c>
      <c r="K41" s="45">
        <f t="shared" si="7"/>
        <v>263425.39561594208</v>
      </c>
      <c r="L41" s="45">
        <f t="shared" si="7"/>
        <v>116786.46780797109</v>
      </c>
      <c r="M41" s="45">
        <f t="shared" si="7"/>
        <v>0</v>
      </c>
      <c r="N41" s="45">
        <f t="shared" si="7"/>
        <v>3526500.7985253623</v>
      </c>
      <c r="O41" s="45">
        <f t="shared" si="7"/>
        <v>2789620.9940507244</v>
      </c>
      <c r="P41" s="45">
        <f t="shared" si="7"/>
        <v>1891382.1365760867</v>
      </c>
      <c r="Q41" s="45">
        <f t="shared" si="7"/>
        <v>986557.30260144908</v>
      </c>
      <c r="R41" s="45">
        <f t="shared" si="7"/>
        <v>76728.443626811495</v>
      </c>
      <c r="S41" s="45">
        <f t="shared" si="7"/>
        <v>0</v>
      </c>
      <c r="T41" s="45">
        <f t="shared" si="7"/>
        <v>0</v>
      </c>
      <c r="U41" s="45">
        <f t="shared" si="7"/>
        <v>0</v>
      </c>
      <c r="V41" s="45">
        <f t="shared" si="7"/>
        <v>0</v>
      </c>
      <c r="W41" s="45">
        <f t="shared" si="7"/>
        <v>0</v>
      </c>
      <c r="X41" s="45">
        <f t="shared" si="7"/>
        <v>0</v>
      </c>
      <c r="Y41" s="45">
        <f t="shared" si="7"/>
        <v>14817273.903431749</v>
      </c>
      <c r="Z41" s="45">
        <f t="shared" si="6"/>
        <v>32318737.486149132</v>
      </c>
    </row>
    <row r="42" spans="1:26" ht="15">
      <c r="A42" s="44" t="s">
        <v>339</v>
      </c>
      <c r="B42" s="45">
        <f t="shared" ref="B42:Y42" si="8">IF(B17+B18&gt;0,MIN(B21+B20,MAX(0,B41)),0)</f>
        <v>0</v>
      </c>
      <c r="C42" s="45">
        <f t="shared" si="8"/>
        <v>0</v>
      </c>
      <c r="D42" s="45">
        <f t="shared" si="8"/>
        <v>0</v>
      </c>
      <c r="E42" s="45">
        <f t="shared" si="8"/>
        <v>0</v>
      </c>
      <c r="F42" s="45">
        <f t="shared" si="8"/>
        <v>0</v>
      </c>
      <c r="G42" s="45">
        <f t="shared" si="8"/>
        <v>0</v>
      </c>
      <c r="H42" s="45">
        <f t="shared" si="8"/>
        <v>0</v>
      </c>
      <c r="I42" s="45">
        <f t="shared" si="8"/>
        <v>0</v>
      </c>
      <c r="J42" s="45">
        <f t="shared" si="8"/>
        <v>0</v>
      </c>
      <c r="K42" s="45">
        <f t="shared" si="8"/>
        <v>0</v>
      </c>
      <c r="L42" s="45">
        <f t="shared" si="8"/>
        <v>0</v>
      </c>
      <c r="M42" s="45">
        <f t="shared" si="8"/>
        <v>0</v>
      </c>
      <c r="N42" s="45">
        <f t="shared" si="8"/>
        <v>0</v>
      </c>
      <c r="O42" s="45">
        <f t="shared" si="8"/>
        <v>0</v>
      </c>
      <c r="P42" s="45">
        <f t="shared" si="8"/>
        <v>0</v>
      </c>
      <c r="Q42" s="45">
        <f t="shared" si="8"/>
        <v>0</v>
      </c>
      <c r="R42" s="45">
        <f t="shared" si="8"/>
        <v>0</v>
      </c>
      <c r="S42" s="45">
        <f t="shared" si="8"/>
        <v>0</v>
      </c>
      <c r="T42" s="45">
        <f t="shared" si="8"/>
        <v>0</v>
      </c>
      <c r="U42" s="45">
        <f t="shared" si="8"/>
        <v>0</v>
      </c>
      <c r="V42" s="45">
        <f t="shared" si="8"/>
        <v>0</v>
      </c>
      <c r="W42" s="45">
        <f t="shared" si="8"/>
        <v>0</v>
      </c>
      <c r="X42" s="45">
        <f t="shared" si="8"/>
        <v>0</v>
      </c>
      <c r="Y42" s="45">
        <f t="shared" si="8"/>
        <v>5210840.8949782187</v>
      </c>
      <c r="Z42" s="45">
        <f t="shared" si="6"/>
        <v>5210840.8949782187</v>
      </c>
    </row>
    <row r="43" spans="1:26" ht="15">
      <c r="A43" s="14" t="s">
        <v>340</v>
      </c>
      <c r="B43" s="15">
        <f>IF(B$4=Assumptions!$B$45,MIN((B22+B23-B39-B40)*Assumptions!$B$72,MAX(0,B41-B42)),0)</f>
        <v>0</v>
      </c>
      <c r="C43" s="15">
        <f>IF(C$4=Assumptions!$B$45,MIN((C22+C23-C39-C40)*Assumptions!$B$72,MAX(0,C41-C42)),0)</f>
        <v>0</v>
      </c>
      <c r="D43" s="15">
        <f>IF(D$4=Assumptions!$B$45,MIN((D22+D23-D39-D40)*Assumptions!$B$72,MAX(0,D41-D42)),0)</f>
        <v>0</v>
      </c>
      <c r="E43" s="15">
        <f>IF(E$4=Assumptions!$B$45,MIN((E22+E23-E39-E40)*Assumptions!$B$72,MAX(0,E41-E42)),0)</f>
        <v>0</v>
      </c>
      <c r="F43" s="15">
        <f>IF(F$4=Assumptions!$B$45,MIN((F22+F23-F39-F40)*Assumptions!$B$72,MAX(0,F41-F42)),0)</f>
        <v>0</v>
      </c>
      <c r="G43" s="15">
        <f>IF(G$4=Assumptions!$B$45,MIN((G22+G23-G39-G40)*Assumptions!$B$72,MAX(0,G41-G42)),0)</f>
        <v>0</v>
      </c>
      <c r="H43" s="15">
        <f>IF(H$4=Assumptions!$B$45,MIN((H22+H23-H39-H40)*Assumptions!$B$72,MAX(0,H41-H42)),0)</f>
        <v>0</v>
      </c>
      <c r="I43" s="15">
        <f>IF(I$4=Assumptions!$B$45,MIN((I22+I23-I39-I40)*Assumptions!$B$72,MAX(0,I41-I42)),0)</f>
        <v>0</v>
      </c>
      <c r="J43" s="15">
        <f>IF(J$4=Assumptions!$B$45,MIN((J22+J23-J39-J40)*Assumptions!$B$72,MAX(0,J41-J42)),0)</f>
        <v>0</v>
      </c>
      <c r="K43" s="15">
        <f>IF(K$4=Assumptions!$B$45,MIN((K22+K23-K39-K40)*Assumptions!$B$72,MAX(0,K41-K42)),0)</f>
        <v>0</v>
      </c>
      <c r="L43" s="15">
        <f>IF(L$4=Assumptions!$B$45,MIN((L22+L23-L39-L40)*Assumptions!$B$72,MAX(0,L41-L42)),0)</f>
        <v>0</v>
      </c>
      <c r="M43" s="15">
        <f>IF(M$4=Assumptions!$B$45,MIN((M22+M23-M39-M40)*Assumptions!$B$72,MAX(0,M41-M42)),0)</f>
        <v>0</v>
      </c>
      <c r="N43" s="15">
        <f>IF(N$4=Assumptions!$B$45,MIN((N22+N23-N39-N40)*Assumptions!$B$72,MAX(0,N41-N42)),0)</f>
        <v>0</v>
      </c>
      <c r="O43" s="15">
        <f>IF(O$4=Assumptions!$B$45,MIN((O22+O23-O39-O40)*Assumptions!$B$72,MAX(0,O41-O42)),0)</f>
        <v>0</v>
      </c>
      <c r="P43" s="15">
        <f>IF(P$4=Assumptions!$B$45,MIN((P22+P23-P39-P40)*Assumptions!$B$72,MAX(0,P41-P42)),0)</f>
        <v>0</v>
      </c>
      <c r="Q43" s="15">
        <f>IF(Q$4=Assumptions!$B$45,MIN((Q22+Q23-Q39-Q40)*Assumptions!$B$72,MAX(0,Q41-Q42)),0)</f>
        <v>0</v>
      </c>
      <c r="R43" s="15">
        <f>IF(R$4=Assumptions!$B$45,MIN((R22+R23-R39-R40)*Assumptions!$B$72,MAX(0,R41-R42)),0)</f>
        <v>0</v>
      </c>
      <c r="S43" s="15">
        <f>IF(S$4=Assumptions!$B$45,MIN((S22+S23-S39-S40)*Assumptions!$B$72,MAX(0,S41-S42)),0)</f>
        <v>0</v>
      </c>
      <c r="T43" s="15">
        <f>IF(T$4=Assumptions!$B$45,MIN((T22+T23-T39-T40)*Assumptions!$B$72,MAX(0,T41-T42)),0)</f>
        <v>0</v>
      </c>
      <c r="U43" s="15">
        <f>IF(U$4=Assumptions!$B$45,MIN((U22+U23-U39-U40)*Assumptions!$B$72,MAX(0,U41-U42)),0)</f>
        <v>0</v>
      </c>
      <c r="V43" s="15">
        <f>IF(V$4=Assumptions!$B$45,MIN((V22+V23-V39-V40)*Assumptions!$B$72,MAX(0,V41-V42)),0)</f>
        <v>0</v>
      </c>
      <c r="W43" s="15">
        <f>IF(W$4=Assumptions!$B$45,MIN((W22+W23-W39-W40)*Assumptions!$B$72,MAX(0,W41-W42)),0)</f>
        <v>0</v>
      </c>
      <c r="X43" s="15">
        <f>IF(X$4=Assumptions!$B$45,MIN((X22+X23-X39-X40)*Assumptions!$B$72,MAX(0,X41-X42)),0)</f>
        <v>0</v>
      </c>
      <c r="Y43" s="15">
        <f>IF(Y$4=Assumptions!$B$45,MIN((Y22+Y23-Y39-Y40)*Assumptions!$B$72,MAX(0,Y41-Y42)),0)</f>
        <v>141680.55163043411</v>
      </c>
      <c r="Z43" s="15">
        <f t="shared" si="6"/>
        <v>141680.55163043411</v>
      </c>
    </row>
    <row r="44" spans="1:26" ht="15">
      <c r="A44" s="44" t="s">
        <v>341</v>
      </c>
      <c r="B44" s="45">
        <f t="shared" ref="B44:Y44" si="9">B41-B42-B43</f>
        <v>318655.25770833332</v>
      </c>
      <c r="C44" s="45">
        <f t="shared" si="9"/>
        <v>1080810.5154166669</v>
      </c>
      <c r="D44" s="45">
        <f t="shared" si="9"/>
        <v>2246813.3131250003</v>
      </c>
      <c r="E44" s="45">
        <f t="shared" si="9"/>
        <v>997996.66246376792</v>
      </c>
      <c r="F44" s="45">
        <f t="shared" si="9"/>
        <v>878410.19465579698</v>
      </c>
      <c r="G44" s="45">
        <f t="shared" si="9"/>
        <v>758823.72684782604</v>
      </c>
      <c r="H44" s="45">
        <f t="shared" si="9"/>
        <v>639237.2590398551</v>
      </c>
      <c r="I44" s="45">
        <f t="shared" si="9"/>
        <v>519650.7912318841</v>
      </c>
      <c r="J44" s="45">
        <f t="shared" si="9"/>
        <v>410064.3234239131</v>
      </c>
      <c r="K44" s="45">
        <f t="shared" si="9"/>
        <v>263425.39561594208</v>
      </c>
      <c r="L44" s="45">
        <f t="shared" si="9"/>
        <v>116786.46780797109</v>
      </c>
      <c r="M44" s="45">
        <f t="shared" si="9"/>
        <v>0</v>
      </c>
      <c r="N44" s="45">
        <f t="shared" si="9"/>
        <v>3526500.7985253623</v>
      </c>
      <c r="O44" s="45">
        <f t="shared" si="9"/>
        <v>2789620.9940507244</v>
      </c>
      <c r="P44" s="45">
        <f t="shared" si="9"/>
        <v>1891382.1365760867</v>
      </c>
      <c r="Q44" s="45">
        <f t="shared" si="9"/>
        <v>986557.30260144908</v>
      </c>
      <c r="R44" s="45">
        <f t="shared" si="9"/>
        <v>76728.443626811495</v>
      </c>
      <c r="S44" s="45">
        <f t="shared" si="9"/>
        <v>0</v>
      </c>
      <c r="T44" s="45">
        <f t="shared" si="9"/>
        <v>0</v>
      </c>
      <c r="U44" s="45">
        <f t="shared" si="9"/>
        <v>0</v>
      </c>
      <c r="V44" s="45">
        <f t="shared" si="9"/>
        <v>0</v>
      </c>
      <c r="W44" s="45">
        <f t="shared" si="9"/>
        <v>0</v>
      </c>
      <c r="X44" s="45">
        <f t="shared" si="9"/>
        <v>0</v>
      </c>
      <c r="Y44" s="45">
        <f t="shared" si="9"/>
        <v>9464752.4568230957</v>
      </c>
      <c r="Z44" s="45">
        <f t="shared" si="6"/>
        <v>26966216.039540481</v>
      </c>
    </row>
    <row r="45" spans="1:26" ht="15">
      <c r="A45" s="1" t="s">
        <v>342</v>
      </c>
      <c r="B45" s="11">
        <f>IF(B$4=Assumptions!$B$45,MAX(0,B44),0)</f>
        <v>0</v>
      </c>
      <c r="C45" s="11">
        <f>IF(C$4=Assumptions!$B$45,MAX(0,C44),0)</f>
        <v>0</v>
      </c>
      <c r="D45" s="11">
        <f>IF(D$4=Assumptions!$B$45,MAX(0,D44),0)</f>
        <v>0</v>
      </c>
      <c r="E45" s="11">
        <f>IF(E$4=Assumptions!$B$45,MAX(0,E44),0)</f>
        <v>0</v>
      </c>
      <c r="F45" s="11">
        <f>IF(F$4=Assumptions!$B$45,MAX(0,F44),0)</f>
        <v>0</v>
      </c>
      <c r="G45" s="11">
        <f>IF(G$4=Assumptions!$B$45,MAX(0,G44),0)</f>
        <v>0</v>
      </c>
      <c r="H45" s="11">
        <f>IF(H$4=Assumptions!$B$45,MAX(0,H44),0)</f>
        <v>0</v>
      </c>
      <c r="I45" s="11">
        <f>IF(I$4=Assumptions!$B$45,MAX(0,I44),0)</f>
        <v>0</v>
      </c>
      <c r="J45" s="11">
        <f>IF(J$4=Assumptions!$B$45,MAX(0,J44),0)</f>
        <v>0</v>
      </c>
      <c r="K45" s="11">
        <f>IF(K$4=Assumptions!$B$45,MAX(0,K44),0)</f>
        <v>0</v>
      </c>
      <c r="L45" s="11">
        <f>IF(L$4=Assumptions!$B$45,MAX(0,L44),0)</f>
        <v>0</v>
      </c>
      <c r="M45" s="11">
        <f>IF(M$4=Assumptions!$B$45,MAX(0,M44),0)</f>
        <v>0</v>
      </c>
      <c r="N45" s="11">
        <f>IF(N$4=Assumptions!$B$45,MAX(0,N44),0)</f>
        <v>0</v>
      </c>
      <c r="O45" s="11">
        <f>IF(O$4=Assumptions!$B$45,MAX(0,O44),0)</f>
        <v>0</v>
      </c>
      <c r="P45" s="11">
        <f>IF(P$4=Assumptions!$B$45,MAX(0,P44),0)</f>
        <v>0</v>
      </c>
      <c r="Q45" s="11">
        <f>IF(Q$4=Assumptions!$B$45,MAX(0,Q44),0)</f>
        <v>0</v>
      </c>
      <c r="R45" s="11">
        <f>IF(R$4=Assumptions!$B$45,MAX(0,R44),0)</f>
        <v>0</v>
      </c>
      <c r="S45" s="11">
        <f>IF(S$4=Assumptions!$B$45,MAX(0,S44),0)</f>
        <v>0</v>
      </c>
      <c r="T45" s="11">
        <f>IF(T$4=Assumptions!$B$45,MAX(0,T44),0)</f>
        <v>0</v>
      </c>
      <c r="U45" s="11">
        <f>IF(U$4=Assumptions!$B$45,MAX(0,U44),0)</f>
        <v>0</v>
      </c>
      <c r="V45" s="11">
        <f>IF(V$4=Assumptions!$B$45,MAX(0,V44),0)</f>
        <v>0</v>
      </c>
      <c r="W45" s="11">
        <f>IF(W$4=Assumptions!$B$45,MAX(0,W44),0)</f>
        <v>0</v>
      </c>
      <c r="X45" s="11">
        <f>IF(X$4=Assumptions!$B$45,MAX(0,X44),0)</f>
        <v>0</v>
      </c>
      <c r="Y45" s="11">
        <f>IF(Y$4=Assumptions!$B$45,MAX(0,Y44),0)</f>
        <v>9464752.4568230957</v>
      </c>
      <c r="Z45" s="11">
        <f t="shared" si="6"/>
        <v>9464752.4568230957</v>
      </c>
    </row>
    <row r="46" spans="1:26" ht="15">
      <c r="A46" s="14" t="s">
        <v>343</v>
      </c>
      <c r="B46" s="15">
        <f t="shared" ref="B46:Y46" si="10">SUM(B26:B36)+B39+B40+B42+B43+B45</f>
        <v>131344.74229166665</v>
      </c>
      <c r="C46" s="15">
        <f t="shared" si="10"/>
        <v>137844.74229166665</v>
      </c>
      <c r="D46" s="15">
        <f t="shared" si="10"/>
        <v>183997.20229166665</v>
      </c>
      <c r="E46" s="15">
        <f t="shared" si="10"/>
        <v>3048816.6506612324</v>
      </c>
      <c r="F46" s="15">
        <f t="shared" si="10"/>
        <v>119586.467807971</v>
      </c>
      <c r="G46" s="15">
        <f t="shared" si="10"/>
        <v>119586.467807971</v>
      </c>
      <c r="H46" s="15">
        <f t="shared" si="10"/>
        <v>119586.467807971</v>
      </c>
      <c r="I46" s="15">
        <f t="shared" si="10"/>
        <v>119586.467807971</v>
      </c>
      <c r="J46" s="15">
        <f t="shared" si="10"/>
        <v>109586.467807971</v>
      </c>
      <c r="K46" s="15">
        <f t="shared" si="10"/>
        <v>146638.92780797099</v>
      </c>
      <c r="L46" s="15">
        <f t="shared" si="10"/>
        <v>146638.92780797099</v>
      </c>
      <c r="M46" s="15">
        <f t="shared" si="10"/>
        <v>116786.467807971</v>
      </c>
      <c r="N46" s="15">
        <f t="shared" si="10"/>
        <v>631499.20147463772</v>
      </c>
      <c r="O46" s="15">
        <f t="shared" si="10"/>
        <v>736879.80447463773</v>
      </c>
      <c r="P46" s="15">
        <f t="shared" si="10"/>
        <v>898238.8574746378</v>
      </c>
      <c r="Q46" s="15">
        <f t="shared" si="10"/>
        <v>904824.83397463767</v>
      </c>
      <c r="R46" s="15">
        <f t="shared" si="10"/>
        <v>909828.85897463758</v>
      </c>
      <c r="S46" s="15">
        <f t="shared" si="10"/>
        <v>878609.48747463769</v>
      </c>
      <c r="T46" s="15">
        <f t="shared" si="10"/>
        <v>915098.78599868668</v>
      </c>
      <c r="U46" s="15">
        <f t="shared" si="10"/>
        <v>902835.54041117837</v>
      </c>
      <c r="V46" s="15">
        <f t="shared" si="10"/>
        <v>877258.89103874832</v>
      </c>
      <c r="W46" s="15">
        <f t="shared" si="10"/>
        <v>863177.1946077405</v>
      </c>
      <c r="X46" s="15">
        <f t="shared" si="10"/>
        <v>850589.43907403876</v>
      </c>
      <c r="Y46" s="15">
        <f t="shared" si="10"/>
        <v>16632000</v>
      </c>
      <c r="Z46" s="15">
        <f t="shared" si="6"/>
        <v>30500840.894978218</v>
      </c>
    </row>
    <row r="47" spans="1:26" ht="15">
      <c r="A47" s="44" t="s">
        <v>344</v>
      </c>
      <c r="B47" s="45">
        <f t="shared" ref="B47:Y47" si="11">B13+SUM(B14:B18)+B20-B46</f>
        <v>318655.25770833332</v>
      </c>
      <c r="C47" s="45">
        <f t="shared" si="11"/>
        <v>1080810.5154166669</v>
      </c>
      <c r="D47" s="45">
        <f t="shared" si="11"/>
        <v>2246813.3131250003</v>
      </c>
      <c r="E47" s="45">
        <f t="shared" si="11"/>
        <v>997996.66246376792</v>
      </c>
      <c r="F47" s="45">
        <f t="shared" si="11"/>
        <v>878410.19465579698</v>
      </c>
      <c r="G47" s="45">
        <f t="shared" si="11"/>
        <v>758823.72684782604</v>
      </c>
      <c r="H47" s="45">
        <f t="shared" si="11"/>
        <v>639237.2590398551</v>
      </c>
      <c r="I47" s="45">
        <f t="shared" si="11"/>
        <v>519650.7912318841</v>
      </c>
      <c r="J47" s="45">
        <f t="shared" si="11"/>
        <v>410064.3234239131</v>
      </c>
      <c r="K47" s="45">
        <f t="shared" si="11"/>
        <v>263425.39561594208</v>
      </c>
      <c r="L47" s="45">
        <f t="shared" si="11"/>
        <v>116786.46780797109</v>
      </c>
      <c r="M47" s="45">
        <f t="shared" si="11"/>
        <v>0</v>
      </c>
      <c r="N47" s="45">
        <f t="shared" si="11"/>
        <v>3526500.7985253623</v>
      </c>
      <c r="O47" s="45">
        <f t="shared" si="11"/>
        <v>2789620.9940507244</v>
      </c>
      <c r="P47" s="45">
        <f t="shared" si="11"/>
        <v>1891382.1365760867</v>
      </c>
      <c r="Q47" s="45">
        <f t="shared" si="11"/>
        <v>986557.30260144908</v>
      </c>
      <c r="R47" s="45">
        <f t="shared" si="11"/>
        <v>76728.443626811495</v>
      </c>
      <c r="S47" s="45">
        <f t="shared" si="11"/>
        <v>0</v>
      </c>
      <c r="T47" s="45">
        <f t="shared" si="11"/>
        <v>0</v>
      </c>
      <c r="U47" s="45">
        <f t="shared" si="11"/>
        <v>0</v>
      </c>
      <c r="V47" s="45">
        <f t="shared" si="11"/>
        <v>0</v>
      </c>
      <c r="W47" s="45">
        <f t="shared" si="11"/>
        <v>0</v>
      </c>
      <c r="X47" s="45">
        <f t="shared" si="11"/>
        <v>0</v>
      </c>
      <c r="Y47" s="45">
        <f t="shared" si="11"/>
        <v>0</v>
      </c>
      <c r="Z47" s="45">
        <f>Y47</f>
        <v>0</v>
      </c>
    </row>
    <row r="48" spans="1:26">
      <c r="A48" s="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">
      <c r="A49" s="44" t="s">
        <v>345</v>
      </c>
      <c r="B49" s="45">
        <f t="shared" ref="B49:Y49" si="12">B21+B20-B42</f>
        <v>0</v>
      </c>
      <c r="C49" s="45">
        <f t="shared" si="12"/>
        <v>0</v>
      </c>
      <c r="D49" s="45">
        <f t="shared" si="12"/>
        <v>0</v>
      </c>
      <c r="E49" s="45">
        <f t="shared" si="12"/>
        <v>0</v>
      </c>
      <c r="F49" s="45">
        <f t="shared" si="12"/>
        <v>0</v>
      </c>
      <c r="G49" s="45">
        <f t="shared" si="12"/>
        <v>0</v>
      </c>
      <c r="H49" s="45">
        <f t="shared" si="12"/>
        <v>0</v>
      </c>
      <c r="I49" s="45">
        <f t="shared" si="12"/>
        <v>0</v>
      </c>
      <c r="J49" s="45">
        <f t="shared" si="12"/>
        <v>0</v>
      </c>
      <c r="K49" s="45">
        <f t="shared" si="12"/>
        <v>0</v>
      </c>
      <c r="L49" s="45">
        <f t="shared" si="12"/>
        <v>0</v>
      </c>
      <c r="M49" s="45">
        <f t="shared" si="12"/>
        <v>0</v>
      </c>
      <c r="N49" s="45">
        <f t="shared" si="12"/>
        <v>0</v>
      </c>
      <c r="O49" s="45">
        <f t="shared" si="12"/>
        <v>0</v>
      </c>
      <c r="P49" s="45">
        <f t="shared" si="12"/>
        <v>0</v>
      </c>
      <c r="Q49" s="45">
        <f t="shared" si="12"/>
        <v>0</v>
      </c>
      <c r="R49" s="45">
        <f t="shared" si="12"/>
        <v>0</v>
      </c>
      <c r="S49" s="45">
        <f t="shared" si="12"/>
        <v>801881.04384782619</v>
      </c>
      <c r="T49" s="45">
        <f t="shared" si="12"/>
        <v>1716979.829846513</v>
      </c>
      <c r="U49" s="45">
        <f t="shared" si="12"/>
        <v>2619815.3702576915</v>
      </c>
      <c r="V49" s="45">
        <f t="shared" si="12"/>
        <v>3497074.2612964399</v>
      </c>
      <c r="W49" s="45">
        <f t="shared" si="12"/>
        <v>4360251.4559041802</v>
      </c>
      <c r="X49" s="45">
        <f t="shared" si="12"/>
        <v>5210840.8949782187</v>
      </c>
      <c r="Y49" s="45">
        <f t="shared" si="12"/>
        <v>0</v>
      </c>
      <c r="Z49" s="45">
        <f>Y49</f>
        <v>0</v>
      </c>
    </row>
    <row r="50" spans="1:26" ht="15">
      <c r="A50" s="44" t="s">
        <v>346</v>
      </c>
      <c r="B50" s="45">
        <f t="shared" ref="B50:Y50" si="13">B22+B23-B39-B40-B43</f>
        <v>3000000</v>
      </c>
      <c r="C50" s="45">
        <f t="shared" si="13"/>
        <v>3000000</v>
      </c>
      <c r="D50" s="45">
        <f t="shared" si="13"/>
        <v>3000000</v>
      </c>
      <c r="E50" s="45">
        <f t="shared" si="13"/>
        <v>141680.55163043411</v>
      </c>
      <c r="F50" s="45">
        <f t="shared" si="13"/>
        <v>141680.55163043411</v>
      </c>
      <c r="G50" s="45">
        <f t="shared" si="13"/>
        <v>141680.55163043411</v>
      </c>
      <c r="H50" s="45">
        <f t="shared" si="13"/>
        <v>141680.55163043411</v>
      </c>
      <c r="I50" s="45">
        <f t="shared" si="13"/>
        <v>141680.55163043411</v>
      </c>
      <c r="J50" s="45">
        <f t="shared" si="13"/>
        <v>141680.55163043411</v>
      </c>
      <c r="K50" s="45">
        <f t="shared" si="13"/>
        <v>141680.55163043411</v>
      </c>
      <c r="L50" s="45">
        <f t="shared" si="13"/>
        <v>141680.55163043411</v>
      </c>
      <c r="M50" s="45">
        <f t="shared" si="13"/>
        <v>141680.55163043411</v>
      </c>
      <c r="N50" s="45">
        <f t="shared" si="13"/>
        <v>141680.55163043411</v>
      </c>
      <c r="O50" s="45">
        <f t="shared" si="13"/>
        <v>141680.55163043411</v>
      </c>
      <c r="P50" s="45">
        <f t="shared" si="13"/>
        <v>141680.55163043411</v>
      </c>
      <c r="Q50" s="45">
        <f t="shared" si="13"/>
        <v>141680.55163043411</v>
      </c>
      <c r="R50" s="45">
        <f t="shared" si="13"/>
        <v>141680.55163043411</v>
      </c>
      <c r="S50" s="45">
        <f t="shared" si="13"/>
        <v>141680.55163043411</v>
      </c>
      <c r="T50" s="45">
        <f t="shared" si="13"/>
        <v>141680.55163043411</v>
      </c>
      <c r="U50" s="45">
        <f t="shared" si="13"/>
        <v>141680.55163043411</v>
      </c>
      <c r="V50" s="45">
        <f t="shared" si="13"/>
        <v>141680.55163043411</v>
      </c>
      <c r="W50" s="45">
        <f t="shared" si="13"/>
        <v>141680.55163043411</v>
      </c>
      <c r="X50" s="45">
        <f t="shared" si="13"/>
        <v>141680.55163043411</v>
      </c>
      <c r="Y50" s="45">
        <f t="shared" si="13"/>
        <v>0</v>
      </c>
      <c r="Z50" s="45">
        <f>Y50</f>
        <v>0</v>
      </c>
    </row>
    <row r="51" spans="1:26">
      <c r="A51" s="1" t="s">
        <v>347</v>
      </c>
      <c r="B51" s="11">
        <f>Assumptions!$B$34-B49</f>
        <v>7500000</v>
      </c>
      <c r="C51" s="11">
        <f>Assumptions!$B$34-C49</f>
        <v>7500000</v>
      </c>
      <c r="D51" s="11">
        <f>Assumptions!$B$34-D49</f>
        <v>7500000</v>
      </c>
      <c r="E51" s="11">
        <f>Assumptions!$B$34-E49</f>
        <v>7500000</v>
      </c>
      <c r="F51" s="11">
        <f>Assumptions!$B$34-F49</f>
        <v>7500000</v>
      </c>
      <c r="G51" s="11">
        <f>Assumptions!$B$34-G49</f>
        <v>7500000</v>
      </c>
      <c r="H51" s="11">
        <f>Assumptions!$B$34-H49</f>
        <v>7500000</v>
      </c>
      <c r="I51" s="11">
        <f>Assumptions!$B$34-I49</f>
        <v>7500000</v>
      </c>
      <c r="J51" s="11">
        <f>Assumptions!$B$34-J49</f>
        <v>7500000</v>
      </c>
      <c r="K51" s="11">
        <f>Assumptions!$B$34-K49</f>
        <v>7500000</v>
      </c>
      <c r="L51" s="11">
        <f>Assumptions!$B$34-L49</f>
        <v>7500000</v>
      </c>
      <c r="M51" s="11">
        <f>Assumptions!$B$34-M49</f>
        <v>7500000</v>
      </c>
      <c r="N51" s="11">
        <f>Assumptions!$B$34-N49</f>
        <v>7500000</v>
      </c>
      <c r="O51" s="11">
        <f>Assumptions!$B$34-O49</f>
        <v>7500000</v>
      </c>
      <c r="P51" s="11">
        <f>Assumptions!$B$34-P49</f>
        <v>7500000</v>
      </c>
      <c r="Q51" s="11">
        <f>Assumptions!$B$34-Q49</f>
        <v>7500000</v>
      </c>
      <c r="R51" s="11">
        <f>Assumptions!$B$34-R49</f>
        <v>7500000</v>
      </c>
      <c r="S51" s="11">
        <f>Assumptions!$B$34-S49</f>
        <v>6698118.9561521737</v>
      </c>
      <c r="T51" s="11">
        <f>Assumptions!$B$34-T49</f>
        <v>5783020.1701534875</v>
      </c>
      <c r="U51" s="11">
        <f>Assumptions!$B$34-U49</f>
        <v>4880184.6297423085</v>
      </c>
      <c r="V51" s="11">
        <f>Assumptions!$B$34-V49</f>
        <v>4002925.7387035601</v>
      </c>
      <c r="W51" s="11">
        <f>Assumptions!$B$34-W49</f>
        <v>3139748.5440958198</v>
      </c>
      <c r="X51" s="11">
        <f>Assumptions!$B$34-X49</f>
        <v>2289159.1050217813</v>
      </c>
      <c r="Y51" s="11">
        <f>Assumptions!$B$34-Y49</f>
        <v>7500000</v>
      </c>
      <c r="Z51" s="11">
        <f>Y51</f>
        <v>7500000</v>
      </c>
    </row>
    <row r="52" spans="1:26">
      <c r="A52" s="1" t="s">
        <v>348</v>
      </c>
      <c r="B52" s="11">
        <f t="shared" ref="B52:Y52" si="14">MAX(0,ROUND(-B47,2))</f>
        <v>0</v>
      </c>
      <c r="C52" s="11">
        <f t="shared" si="14"/>
        <v>0</v>
      </c>
      <c r="D52" s="11">
        <f t="shared" si="14"/>
        <v>0</v>
      </c>
      <c r="E52" s="11">
        <f t="shared" si="14"/>
        <v>0</v>
      </c>
      <c r="F52" s="11">
        <f t="shared" si="14"/>
        <v>0</v>
      </c>
      <c r="G52" s="11">
        <f t="shared" si="14"/>
        <v>0</v>
      </c>
      <c r="H52" s="11">
        <f t="shared" si="14"/>
        <v>0</v>
      </c>
      <c r="I52" s="11">
        <f t="shared" si="14"/>
        <v>0</v>
      </c>
      <c r="J52" s="11">
        <f t="shared" si="14"/>
        <v>0</v>
      </c>
      <c r="K52" s="11">
        <f t="shared" si="14"/>
        <v>0</v>
      </c>
      <c r="L52" s="11">
        <f t="shared" si="14"/>
        <v>0</v>
      </c>
      <c r="M52" s="11">
        <f t="shared" si="14"/>
        <v>0</v>
      </c>
      <c r="N52" s="11">
        <f t="shared" si="14"/>
        <v>0</v>
      </c>
      <c r="O52" s="11">
        <f t="shared" si="14"/>
        <v>0</v>
      </c>
      <c r="P52" s="11">
        <f t="shared" si="14"/>
        <v>0</v>
      </c>
      <c r="Q52" s="11">
        <f t="shared" si="14"/>
        <v>0</v>
      </c>
      <c r="R52" s="11">
        <f t="shared" si="14"/>
        <v>0</v>
      </c>
      <c r="S52" s="11">
        <f t="shared" si="14"/>
        <v>0</v>
      </c>
      <c r="T52" s="11">
        <f t="shared" si="14"/>
        <v>0</v>
      </c>
      <c r="U52" s="11">
        <f t="shared" si="14"/>
        <v>0</v>
      </c>
      <c r="V52" s="11">
        <f t="shared" si="14"/>
        <v>0</v>
      </c>
      <c r="W52" s="11">
        <f t="shared" si="14"/>
        <v>0</v>
      </c>
      <c r="X52" s="11">
        <f t="shared" si="14"/>
        <v>0</v>
      </c>
      <c r="Y52" s="11">
        <f t="shared" si="14"/>
        <v>0</v>
      </c>
      <c r="Z52" s="11">
        <f>Y52</f>
        <v>0</v>
      </c>
    </row>
  </sheetData>
  <mergeCells count="8">
    <mergeCell ref="A24:Z24"/>
    <mergeCell ref="A26:Z26"/>
    <mergeCell ref="A25:Z25"/>
    <mergeCell ref="A1:Z1"/>
    <mergeCell ref="A2:Z2"/>
    <mergeCell ref="A7:Z7"/>
    <mergeCell ref="A12:Z12"/>
    <mergeCell ref="A23:Z23"/>
  </mergeCells>
  <conditionalFormatting sqref="B42:Z42">
    <cfRule type="cellIs" dxfId="11" priority="1" operator="greaterThan">
      <formula>0</formula>
    </cfRule>
  </conditionalFormatting>
  <conditionalFormatting sqref="B44:Z45">
    <cfRule type="cellIs" dxfId="10" priority="2" operator="greaterThan">
      <formula>0</formula>
    </cfRule>
  </conditionalFormatting>
  <conditionalFormatting sqref="B50:Z50">
    <cfRule type="cellIs" dxfId="9" priority="3" operator="greaterThan">
      <formula>0</formula>
    </cfRule>
  </conditionalFormatting>
  <conditionalFormatting sqref="B52:Z52">
    <cfRule type="cellIs" dxfId="8" priority="5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4"/>
  <sheetViews>
    <sheetView workbookViewId="0"/>
  </sheetViews>
  <sheetFormatPr defaultRowHeight="14.25"/>
  <cols>
    <col min="1" max="1" width="45" customWidth="1"/>
    <col min="2" max="2" width="19" customWidth="1"/>
    <col min="3" max="3" width="38" customWidth="1"/>
    <col min="4" max="4" width="19" customWidth="1"/>
    <col min="5" max="5" width="40" customWidth="1"/>
    <col min="6" max="6" width="19" customWidth="1"/>
    <col min="7" max="8" width="14" customWidth="1"/>
  </cols>
  <sheetData>
    <row r="1" spans="1:26" ht="19.5">
      <c r="A1" s="25" t="s">
        <v>349</v>
      </c>
      <c r="B1" s="25"/>
      <c r="C1" s="25"/>
      <c r="D1" s="25"/>
      <c r="E1" s="25"/>
      <c r="F1" s="25"/>
      <c r="G1" s="25"/>
      <c r="H1" s="2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>
      <c r="A3" s="27" t="s">
        <v>350</v>
      </c>
      <c r="B3" s="27"/>
      <c r="C3" s="27"/>
      <c r="D3" s="27"/>
      <c r="E3" s="27" t="s">
        <v>351</v>
      </c>
      <c r="F3" s="27"/>
      <c r="G3" s="27"/>
      <c r="H3" s="2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>
      <c r="A4" s="17" t="s">
        <v>352</v>
      </c>
      <c r="B4" s="17" t="s">
        <v>183</v>
      </c>
      <c r="C4" s="17" t="s">
        <v>353</v>
      </c>
      <c r="D4" s="17" t="s">
        <v>183</v>
      </c>
      <c r="E4" s="17" t="s">
        <v>354</v>
      </c>
      <c r="F4" s="17" t="s">
        <v>4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 t="s">
        <v>355</v>
      </c>
      <c r="B5" s="11">
        <f>'Project Cost'!$B$45</f>
        <v>15016432.725</v>
      </c>
      <c r="C5" s="1" t="s">
        <v>313</v>
      </c>
      <c r="D5" s="11">
        <f>'Capital Raise Schedule'!$Z$9</f>
        <v>4500000</v>
      </c>
      <c r="E5" s="1" t="s">
        <v>134</v>
      </c>
      <c r="F5" s="11">
        <f>'PPM Equity Raise'!$B$17</f>
        <v>4500000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8.5">
      <c r="A6" s="1" t="s">
        <v>327</v>
      </c>
      <c r="B6" s="11">
        <f>'Monthly Operations'!$Z$30</f>
        <v>75000</v>
      </c>
      <c r="C6" s="1" t="s">
        <v>356</v>
      </c>
      <c r="D6" s="11">
        <f>1000000</f>
        <v>1000000</v>
      </c>
      <c r="E6" s="1" t="s">
        <v>357</v>
      </c>
      <c r="F6" s="11">
        <f>'PPM Equity Raise'!$B$19</f>
        <v>4275000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 t="s">
        <v>328</v>
      </c>
      <c r="B7" s="11">
        <f>'Monthly Operations'!$Z$31</f>
        <v>225000</v>
      </c>
      <c r="C7" s="1" t="s">
        <v>358</v>
      </c>
      <c r="D7" s="11">
        <f>'Monthly Operations'!$Z$23</f>
        <v>3000000</v>
      </c>
      <c r="E7" s="1" t="s">
        <v>359</v>
      </c>
      <c r="F7" s="11">
        <f>Assumptions!$B$67</f>
        <v>3000000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 t="s">
        <v>360</v>
      </c>
      <c r="B8" s="11">
        <f>'Monthly Operations'!$Z$32</f>
        <v>75000</v>
      </c>
      <c r="C8" s="1" t="s">
        <v>361</v>
      </c>
      <c r="D8" s="11">
        <f>'Sales Schedule'!$Z$20</f>
        <v>4158000</v>
      </c>
      <c r="E8" s="1" t="s">
        <v>362</v>
      </c>
      <c r="F8" s="11">
        <f>'Monthly Operations'!$Z$39</f>
        <v>2858319.4483695659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 t="s">
        <v>363</v>
      </c>
      <c r="B9" s="11">
        <f>'Monthly Operations'!$Z$36</f>
        <v>113792.76785081794</v>
      </c>
      <c r="C9" s="1" t="s">
        <v>364</v>
      </c>
      <c r="D9" s="11">
        <f>'Sales Schedule'!$Z$29+'Sales Schedule'!$Z$30</f>
        <v>16632000</v>
      </c>
      <c r="E9" s="1" t="s">
        <v>365</v>
      </c>
      <c r="F9" s="11">
        <f>'Land Seller Financing'!$B$22</f>
        <v>141680.55163043411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>
      <c r="A10" s="1" t="s">
        <v>366</v>
      </c>
      <c r="B10" s="11">
        <f>'Monthly Operations'!$Z$33</f>
        <v>252185.93999999997</v>
      </c>
      <c r="C10" s="1" t="s">
        <v>367</v>
      </c>
      <c r="D10" s="11">
        <f>'Monthly Operations'!$Z$20</f>
        <v>5210840.8949782187</v>
      </c>
      <c r="E10" s="1" t="s">
        <v>340</v>
      </c>
      <c r="F10" s="11">
        <f>'Monthly Operations'!$Z$43</f>
        <v>141680.55163043411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>
      <c r="A11" s="44" t="s">
        <v>331</v>
      </c>
      <c r="B11" s="45">
        <f>'Monthly Operations'!$Z$34</f>
        <v>1039500</v>
      </c>
      <c r="C11" s="50" t="s">
        <v>368</v>
      </c>
      <c r="D11" s="51">
        <f>SUM(D5:D10)</f>
        <v>34500840.894978218</v>
      </c>
      <c r="E11" s="1" t="s">
        <v>346</v>
      </c>
      <c r="F11" s="11">
        <f>'Monthly Operations'!$Z$50</f>
        <v>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>
      <c r="A12" s="1" t="s">
        <v>369</v>
      </c>
      <c r="B12" s="11">
        <f>'Monthly Operations'!$Z$35</f>
        <v>28336.110326086837</v>
      </c>
      <c r="C12" s="1" t="s">
        <v>370</v>
      </c>
      <c r="D12" s="11">
        <f>D11-B17</f>
        <v>0</v>
      </c>
      <c r="E12" s="1" t="s">
        <v>70</v>
      </c>
      <c r="F12" s="11">
        <f>Assumptions!$B$34</f>
        <v>7500000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>
      <c r="A13" s="44" t="s">
        <v>371</v>
      </c>
      <c r="B13" s="45">
        <f>SUM(B5:B12)</f>
        <v>16825247.543176901</v>
      </c>
      <c r="C13" s="44" t="s">
        <v>372</v>
      </c>
      <c r="D13" s="45">
        <f>D11-D7</f>
        <v>31500840.894978218</v>
      </c>
      <c r="E13" s="1" t="s">
        <v>373</v>
      </c>
      <c r="F13" s="11">
        <f>MAX('Monthly Operations'!B49:Y49)</f>
        <v>5210840.8949782187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>
      <c r="A14" s="52" t="s">
        <v>339</v>
      </c>
      <c r="B14" s="53">
        <f>'Monthly Operations'!$Z$42</f>
        <v>5210840.8949782187</v>
      </c>
      <c r="C14" s="52"/>
      <c r="D14" s="52"/>
      <c r="E14" s="1" t="s">
        <v>374</v>
      </c>
      <c r="F14" s="7">
        <f>F13/'Project Cost'!$B$45</f>
        <v>0.34700923917189652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>
      <c r="A15" s="54" t="s">
        <v>375</v>
      </c>
      <c r="B15" s="55">
        <f>SUM('Monthly Operations'!$Z$39,'Monthly Operations'!$Z$40,'Monthly Operations'!$Z$43)</f>
        <v>3000000</v>
      </c>
      <c r="C15" s="56"/>
      <c r="D15" s="56"/>
      <c r="E15" s="27" t="s">
        <v>347</v>
      </c>
      <c r="F15" s="29">
        <f>Assumptions!$B$34-F13</f>
        <v>2289159.1050217813</v>
      </c>
      <c r="G15" s="27"/>
      <c r="H15" s="2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>
      <c r="A16" s="52" t="s">
        <v>342</v>
      </c>
      <c r="B16" s="53">
        <f>'Monthly Operations'!$Z$45</f>
        <v>9464752.4568230957</v>
      </c>
      <c r="C16" s="52"/>
      <c r="D16" s="52"/>
      <c r="E16" s="57" t="s">
        <v>376</v>
      </c>
      <c r="F16" s="58">
        <f>MAX('Monthly Operations'!B52:Y52)</f>
        <v>0</v>
      </c>
      <c r="G16" s="27"/>
      <c r="H16" s="2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>
      <c r="A17" s="54" t="s">
        <v>377</v>
      </c>
      <c r="B17" s="55">
        <f>SUM(B13:B16)</f>
        <v>34500840.89497821</v>
      </c>
      <c r="C17" s="56"/>
      <c r="D17" s="56"/>
      <c r="E17" s="17"/>
      <c r="F17" s="2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>
      <c r="A18" s="27"/>
      <c r="B18" s="49"/>
      <c r="C18" s="27"/>
      <c r="D18" s="27"/>
      <c r="E18" s="1"/>
      <c r="F18" s="1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>
      <c r="A19" s="17"/>
      <c r="B19" s="59"/>
      <c r="C19" s="1"/>
      <c r="D19" s="1"/>
      <c r="E19" s="1"/>
      <c r="F19" s="1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>
      <c r="A20" s="27" t="s">
        <v>378</v>
      </c>
      <c r="B20" s="29"/>
      <c r="C20" s="27"/>
      <c r="D20" s="27"/>
      <c r="E20" s="60" t="s">
        <v>379</v>
      </c>
      <c r="F20" s="61"/>
      <c r="G20" s="27"/>
      <c r="H20" s="2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>
      <c r="A21" s="17" t="s">
        <v>354</v>
      </c>
      <c r="B21" s="20" t="s">
        <v>380</v>
      </c>
      <c r="C21" s="1"/>
      <c r="D21" s="1"/>
      <c r="E21" s="17" t="s">
        <v>354</v>
      </c>
      <c r="F21" s="20" t="s">
        <v>4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 t="s">
        <v>381</v>
      </c>
      <c r="B22" s="10">
        <f>Assumptions!$B$11</f>
        <v>37125</v>
      </c>
      <c r="C22" s="1"/>
      <c r="D22" s="1"/>
      <c r="E22" s="21" t="s">
        <v>382</v>
      </c>
      <c r="F22" s="62">
        <f>Assumptions!$B$19</f>
        <v>20790000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 t="s">
        <v>383</v>
      </c>
      <c r="B23" s="6">
        <f>Assumptions!$B$18</f>
        <v>560</v>
      </c>
      <c r="C23" s="1"/>
      <c r="D23" s="1"/>
      <c r="E23" s="21" t="s">
        <v>371</v>
      </c>
      <c r="F23" s="62">
        <f>B13</f>
        <v>16825247.543176901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 t="s">
        <v>382</v>
      </c>
      <c r="B24" s="11">
        <f>Assumptions!$B$19</f>
        <v>20790000</v>
      </c>
      <c r="C24" s="1"/>
      <c r="D24" s="1"/>
      <c r="E24" s="21" t="s">
        <v>384</v>
      </c>
      <c r="F24" s="62">
        <f>F22-F23</f>
        <v>3964752.4568230994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385</v>
      </c>
      <c r="B25" s="11">
        <f>'Sales Schedule'!$Z$19</f>
        <v>6237000</v>
      </c>
      <c r="C25" s="1"/>
      <c r="D25" s="1"/>
      <c r="E25" s="21" t="s">
        <v>386</v>
      </c>
      <c r="F25" s="62">
        <f>'PPM Equity Raise'!$B$29</f>
        <v>4500000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>
      <c r="A26" s="27" t="s">
        <v>387</v>
      </c>
      <c r="B26" s="29">
        <f>'Sales Schedule'!$Z$20</f>
        <v>4158000</v>
      </c>
      <c r="C26" s="27"/>
      <c r="D26" s="27"/>
      <c r="E26" s="52" t="s">
        <v>388</v>
      </c>
      <c r="F26" s="53">
        <f>'Monthly Operations'!$Z$45</f>
        <v>9464752.4568230957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5">
      <c r="A27" s="17" t="s">
        <v>389</v>
      </c>
      <c r="B27" s="20">
        <f>'Sales Schedule'!$Z$29</f>
        <v>2079000</v>
      </c>
      <c r="C27" s="17"/>
      <c r="D27" s="17"/>
      <c r="E27" s="54" t="s">
        <v>390</v>
      </c>
      <c r="F27" s="55">
        <f>'PPM Equity Raise'!$B$37</f>
        <v>8021801.9654584769</v>
      </c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>
      <c r="A28" s="1" t="s">
        <v>391</v>
      </c>
      <c r="B28" s="11">
        <f>'Sales Schedule'!$Z$30</f>
        <v>14553000</v>
      </c>
      <c r="C28" s="11"/>
      <c r="D28" s="11"/>
      <c r="E28" s="62" t="s">
        <v>392</v>
      </c>
      <c r="F28" s="63">
        <f>'PPM Equity Raise'!$B$38</f>
        <v>0.78262265899077266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" t="s">
        <v>53</v>
      </c>
      <c r="B29" s="11">
        <f>-'Sales Schedule'!$Z$31</f>
        <v>-1039500</v>
      </c>
      <c r="C29" s="1"/>
      <c r="D29" s="1"/>
      <c r="E29" s="21" t="s">
        <v>393</v>
      </c>
      <c r="F29" s="64">
        <f>'PPM Equity Raise'!$B$39</f>
        <v>1.7826226589907725</v>
      </c>
      <c r="G29" s="1"/>
      <c r="H29" s="1"/>
    </row>
    <row r="30" spans="1:26">
      <c r="A30" s="1" t="s">
        <v>394</v>
      </c>
      <c r="B30" s="11">
        <f>B26+B27+B28+B29</f>
        <v>19750500</v>
      </c>
      <c r="C30" s="1"/>
      <c r="D30" s="1"/>
      <c r="E30" s="1" t="s">
        <v>395</v>
      </c>
      <c r="F30" s="7">
        <f>'PPM Equity Raise'!$B$40</f>
        <v>0.39113126092924366</v>
      </c>
      <c r="G30" s="1"/>
      <c r="H30" s="1"/>
    </row>
    <row r="31" spans="1:26">
      <c r="A31" s="1"/>
      <c r="B31" s="1"/>
      <c r="C31" s="1"/>
      <c r="D31" s="1"/>
      <c r="E31" s="1" t="s">
        <v>167</v>
      </c>
      <c r="F31" s="11">
        <f>'PPM Equity Raise'!$B$36</f>
        <v>442950.49136461923</v>
      </c>
      <c r="G31" s="1"/>
      <c r="H31" s="1"/>
    </row>
    <row r="32" spans="1:26">
      <c r="A32" s="1"/>
      <c r="B32" s="1"/>
      <c r="C32" s="1"/>
      <c r="D32" s="1"/>
      <c r="E32" s="1" t="s">
        <v>396</v>
      </c>
      <c r="F32" s="7">
        <f>F24/F22</f>
        <v>0.19070478387797496</v>
      </c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</sheetData>
  <mergeCells count="11">
    <mergeCell ref="A1:H1"/>
    <mergeCell ref="A3:D3"/>
    <mergeCell ref="A14:D14"/>
    <mergeCell ref="E3:H3"/>
    <mergeCell ref="E16:H16"/>
    <mergeCell ref="A26:Z26"/>
    <mergeCell ref="A16:D16"/>
    <mergeCell ref="A18:D18"/>
    <mergeCell ref="E15:H15"/>
    <mergeCell ref="A20:D20"/>
    <mergeCell ref="E20:H20"/>
  </mergeCells>
  <conditionalFormatting sqref="D10:D12">
    <cfRule type="expression" dxfId="7" priority="2">
      <formula>ABS(D10)&gt;1</formula>
    </cfRule>
  </conditionalFormatting>
  <conditionalFormatting sqref="F12:F14">
    <cfRule type="cellIs" dxfId="6" priority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"/>
  <sheetViews>
    <sheetView workbookViewId="0"/>
  </sheetViews>
  <sheetFormatPr defaultRowHeight="14.25"/>
  <cols>
    <col min="1" max="1" width="18" customWidth="1"/>
    <col min="2" max="10" width="16" customWidth="1"/>
  </cols>
  <sheetData>
    <row r="1" spans="1:10" ht="19.5">
      <c r="A1" s="25" t="s">
        <v>397</v>
      </c>
      <c r="B1" s="25"/>
      <c r="C1" s="25"/>
      <c r="D1" s="25"/>
      <c r="E1" s="25"/>
      <c r="F1" s="25"/>
      <c r="G1" s="25"/>
      <c r="H1" s="25"/>
      <c r="I1" s="23"/>
      <c r="J1" s="23"/>
    </row>
    <row r="2" spans="1:10">
      <c r="A2" s="26" t="s">
        <v>398</v>
      </c>
      <c r="B2" s="26"/>
      <c r="C2" s="26"/>
      <c r="D2" s="26"/>
      <c r="E2" s="26"/>
      <c r="F2" s="26"/>
      <c r="G2" s="26"/>
      <c r="H2" s="26"/>
      <c r="I2" s="24"/>
      <c r="J2" s="24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0">
      <c r="A4" s="17" t="s">
        <v>399</v>
      </c>
      <c r="B4" s="17" t="s">
        <v>383</v>
      </c>
      <c r="C4" s="17" t="s">
        <v>400</v>
      </c>
      <c r="D4" s="17" t="s">
        <v>53</v>
      </c>
      <c r="E4" s="17" t="s">
        <v>401</v>
      </c>
      <c r="F4" s="17" t="s">
        <v>402</v>
      </c>
      <c r="G4" s="17" t="s">
        <v>390</v>
      </c>
      <c r="H4" s="17" t="s">
        <v>403</v>
      </c>
      <c r="I4" s="17" t="s">
        <v>404</v>
      </c>
      <c r="J4" s="17" t="s">
        <v>167</v>
      </c>
    </row>
    <row r="5" spans="1:10">
      <c r="A5" s="1" t="s">
        <v>405</v>
      </c>
      <c r="B5" s="65">
        <v>450</v>
      </c>
      <c r="C5" s="11">
        <f>Assumptions!$B$11*B5</f>
        <v>16706250</v>
      </c>
      <c r="D5" s="11">
        <f>C5*Assumptions!$B$25</f>
        <v>835312.5</v>
      </c>
      <c r="E5" s="11">
        <f>'Monthly Operations'!$Z$45+(C5-Assumptions!$B$19)-(D5-'Monthly Operations'!$Z$34)</f>
        <v>5585189.9568230957</v>
      </c>
      <c r="F5" s="11">
        <f>MAX(0,E5-1000000)</f>
        <v>4585189.9568230957</v>
      </c>
      <c r="G5" s="11">
        <f>MIN('PPM Equity Raise'!$B$29,F5)+(MIN(MAX(0,F5-MIN('PPM Equity Raise'!$B$29,F5)),'PPM Equity Raise'!$B$29*0.7/0.9)*0.9+MIN(MAX(MAX(0,F5-MIN('PPM Equity Raise'!$B$29,F5))-'PPM Equity Raise'!$B$29*0.7/0.9,0),'PPM Equity Raise'!$B$29*0.3/0.8)*0.8+MIN(MAX(MAX(0,F5-MIN('PPM Equity Raise'!$B$29,F5))-'PPM Equity Raise'!$B$29*0.7/0.9-'PPM Equity Raise'!$B$29*0.3/0.8,0),'PPM Equity Raise'!$B$29*0.25/0.75)*0.75+MAX(MAX(0,F5-MIN('PPM Equity Raise'!$B$29,F5))-'PPM Equity Raise'!$B$29*0.7/0.9-'PPM Equity Raise'!$B$29*0.3/0.8-'PPM Equity Raise'!$B$29*0.25/0.75,0)*0.7)</f>
        <v>4576670.9611407863</v>
      </c>
      <c r="H5" s="12">
        <f>G5/'PPM Equity Raise'!$B$29</f>
        <v>1.0170379913646193</v>
      </c>
      <c r="I5" s="7">
        <f>(G5-'PPM Equity Raise'!$B$29)/'PPM Equity Raise'!$B$29</f>
        <v>1.7037991364619177E-2</v>
      </c>
      <c r="J5" s="11">
        <f>MAX(0,F5-MIN('PPM Equity Raise'!$B$29,F5))-(MIN(MAX(0,F5-MIN('PPM Equity Raise'!$B$29,F5)),'PPM Equity Raise'!$B$29*0.7/0.9)*0.9+MIN(MAX(MAX(0,F5-MIN('PPM Equity Raise'!$B$29,F5))-'PPM Equity Raise'!$B$29*0.7/0.9,0),'PPM Equity Raise'!$B$29*0.3/0.8)*0.8+MIN(MAX(MAX(0,F5-MIN('PPM Equity Raise'!$B$29,F5))-'PPM Equity Raise'!$B$29*0.7/0.9-'PPM Equity Raise'!$B$29*0.3/0.8,0),'PPM Equity Raise'!$B$29*0.25/0.75)*0.75+MAX(MAX(0,F5-MIN('PPM Equity Raise'!$B$29,F5))-'PPM Equity Raise'!$B$29*0.7/0.9-'PPM Equity Raise'!$B$29*0.3/0.8-'PPM Equity Raise'!$B$29*0.25/0.75,0)*0.7)</f>
        <v>8518.9956823095708</v>
      </c>
    </row>
    <row r="6" spans="1:10">
      <c r="A6" s="1" t="s">
        <v>406</v>
      </c>
      <c r="B6" s="65">
        <v>500</v>
      </c>
      <c r="C6" s="11">
        <f>Assumptions!$B$11*B6</f>
        <v>18562500</v>
      </c>
      <c r="D6" s="11">
        <f>C6*Assumptions!$B$25</f>
        <v>928125</v>
      </c>
      <c r="E6" s="11">
        <f>'Monthly Operations'!$Z$45+(C6-Assumptions!$B$19)-(D6-'Monthly Operations'!$Z$34)</f>
        <v>7348627.4568230957</v>
      </c>
      <c r="F6" s="11">
        <f>MAX(0,E6-1000000)</f>
        <v>6348627.4568230957</v>
      </c>
      <c r="G6" s="11">
        <f>MIN('PPM Equity Raise'!$B$29,F6)+(MIN(MAX(0,F6-MIN('PPM Equity Raise'!$B$29,F6)),'PPM Equity Raise'!$B$29*0.7/0.9)*0.9+MIN(MAX(MAX(0,F6-MIN('PPM Equity Raise'!$B$29,F6))-'PPM Equity Raise'!$B$29*0.7/0.9,0),'PPM Equity Raise'!$B$29*0.3/0.8)*0.8+MIN(MAX(MAX(0,F6-MIN('PPM Equity Raise'!$B$29,F6))-'PPM Equity Raise'!$B$29*0.7/0.9-'PPM Equity Raise'!$B$29*0.3/0.8,0),'PPM Equity Raise'!$B$29*0.25/0.75)*0.75+MAX(MAX(0,F6-MIN('PPM Equity Raise'!$B$29,F6))-'PPM Equity Raise'!$B$29*0.7/0.9-'PPM Equity Raise'!$B$29*0.3/0.8-'PPM Equity Raise'!$B$29*0.25/0.75,0)*0.7)</f>
        <v>6163764.7111407863</v>
      </c>
      <c r="H6" s="12">
        <f>G6/'PPM Equity Raise'!$B$29</f>
        <v>1.3697254913646191</v>
      </c>
      <c r="I6" s="7">
        <f>(G6-'PPM Equity Raise'!$B$29)/'PPM Equity Raise'!$B$29</f>
        <v>0.36972549136461919</v>
      </c>
      <c r="J6" s="11">
        <f>MAX(0,F6-MIN('PPM Equity Raise'!$B$29,F6))-(MIN(MAX(0,F6-MIN('PPM Equity Raise'!$B$29,F6)),'PPM Equity Raise'!$B$29*0.7/0.9)*0.9+MIN(MAX(MAX(0,F6-MIN('PPM Equity Raise'!$B$29,F6))-'PPM Equity Raise'!$B$29*0.7/0.9,0),'PPM Equity Raise'!$B$29*0.3/0.8)*0.8+MIN(MAX(MAX(0,F6-MIN('PPM Equity Raise'!$B$29,F6))-'PPM Equity Raise'!$B$29*0.7/0.9-'PPM Equity Raise'!$B$29*0.3/0.8,0),'PPM Equity Raise'!$B$29*0.25/0.75)*0.75+MAX(MAX(0,F6-MIN('PPM Equity Raise'!$B$29,F6))-'PPM Equity Raise'!$B$29*0.7/0.9-'PPM Equity Raise'!$B$29*0.3/0.8-'PPM Equity Raise'!$B$29*0.25/0.75,0)*0.7)</f>
        <v>184862.74568230961</v>
      </c>
    </row>
    <row r="7" spans="1:10">
      <c r="A7" s="1" t="s">
        <v>407</v>
      </c>
      <c r="B7" s="65">
        <v>560</v>
      </c>
      <c r="C7" s="11">
        <f>Assumptions!$B$11*B7</f>
        <v>20790000</v>
      </c>
      <c r="D7" s="11">
        <f>C7*Assumptions!$B$25</f>
        <v>1039500</v>
      </c>
      <c r="E7" s="11">
        <f>'Monthly Operations'!$Z$45+(C7-Assumptions!$B$19)-(D7-'Monthly Operations'!$Z$34)</f>
        <v>9464752.4568230957</v>
      </c>
      <c r="F7" s="11">
        <f>MAX(0,E7-1000000)</f>
        <v>8464752.4568230957</v>
      </c>
      <c r="G7" s="11">
        <f>MIN('PPM Equity Raise'!$B$29,F7)+(MIN(MAX(0,F7-MIN('PPM Equity Raise'!$B$29,F7)),'PPM Equity Raise'!$B$29*0.7/0.9)*0.9+MIN(MAX(MAX(0,F7-MIN('PPM Equity Raise'!$B$29,F7))-'PPM Equity Raise'!$B$29*0.7/0.9,0),'PPM Equity Raise'!$B$29*0.3/0.8)*0.8+MIN(MAX(MAX(0,F7-MIN('PPM Equity Raise'!$B$29,F7))-'PPM Equity Raise'!$B$29*0.7/0.9-'PPM Equity Raise'!$B$29*0.3/0.8,0),'PPM Equity Raise'!$B$29*0.25/0.75)*0.75+MAX(MAX(0,F7-MIN('PPM Equity Raise'!$B$29,F7))-'PPM Equity Raise'!$B$29*0.7/0.9-'PPM Equity Raise'!$B$29*0.3/0.8-'PPM Equity Raise'!$B$29*0.25/0.75,0)*0.7)</f>
        <v>8021801.9654584769</v>
      </c>
      <c r="H7" s="12">
        <f>G7/'PPM Equity Raise'!$B$29</f>
        <v>1.7826226589907725</v>
      </c>
      <c r="I7" s="7">
        <f>(G7-'PPM Equity Raise'!$B$29)/'PPM Equity Raise'!$B$29</f>
        <v>0.78262265899077266</v>
      </c>
      <c r="J7" s="11">
        <f>MAX(0,F7-MIN('PPM Equity Raise'!$B$29,F7))-(MIN(MAX(0,F7-MIN('PPM Equity Raise'!$B$29,F7)),'PPM Equity Raise'!$B$29*0.7/0.9)*0.9+MIN(MAX(MAX(0,F7-MIN('PPM Equity Raise'!$B$29,F7))-'PPM Equity Raise'!$B$29*0.7/0.9,0),'PPM Equity Raise'!$B$29*0.3/0.8)*0.8+MIN(MAX(MAX(0,F7-MIN('PPM Equity Raise'!$B$29,F7))-'PPM Equity Raise'!$B$29*0.7/0.9-'PPM Equity Raise'!$B$29*0.3/0.8,0),'PPM Equity Raise'!$B$29*0.25/0.75)*0.75+MAX(MAX(0,F7-MIN('PPM Equity Raise'!$B$29,F7))-'PPM Equity Raise'!$B$29*0.7/0.9-'PPM Equity Raise'!$B$29*0.3/0.8-'PPM Equity Raise'!$B$29*0.25/0.75,0)*0.7)</f>
        <v>442950.49136461923</v>
      </c>
    </row>
    <row r="8" spans="1:10">
      <c r="A8" s="1" t="s">
        <v>408</v>
      </c>
      <c r="B8" s="65">
        <v>575</v>
      </c>
      <c r="C8" s="11">
        <f>Assumptions!$B$11*B8</f>
        <v>21346875</v>
      </c>
      <c r="D8" s="11">
        <f>C8*Assumptions!$B$25</f>
        <v>1067343.75</v>
      </c>
      <c r="E8" s="11">
        <f>'Monthly Operations'!$Z$45+(C8-Assumptions!$B$19)-(D8-'Monthly Operations'!$Z$34)</f>
        <v>9993783.7068230957</v>
      </c>
      <c r="F8" s="11">
        <f>MAX(0,E8-1000000)</f>
        <v>8993783.7068230957</v>
      </c>
      <c r="G8" s="11">
        <f>MIN('PPM Equity Raise'!$B$29,F8)+(MIN(MAX(0,F8-MIN('PPM Equity Raise'!$B$29,F8)),'PPM Equity Raise'!$B$29*0.7/0.9)*0.9+MIN(MAX(MAX(0,F8-MIN('PPM Equity Raise'!$B$29,F8))-'PPM Equity Raise'!$B$29*0.7/0.9,0),'PPM Equity Raise'!$B$29*0.3/0.8)*0.8+MIN(MAX(MAX(0,F8-MIN('PPM Equity Raise'!$B$29,F8))-'PPM Equity Raise'!$B$29*0.7/0.9-'PPM Equity Raise'!$B$29*0.3/0.8,0),'PPM Equity Raise'!$B$29*0.25/0.75)*0.75+MAX(MAX(0,F8-MIN('PPM Equity Raise'!$B$29,F8))-'PPM Equity Raise'!$B$29*0.7/0.9-'PPM Equity Raise'!$B$29*0.3/0.8-'PPM Equity Raise'!$B$29*0.25/0.75,0)*0.7)</f>
        <v>8445026.9654584769</v>
      </c>
      <c r="H8" s="12">
        <f>G8/'PPM Equity Raise'!$B$29</f>
        <v>1.8766726589907727</v>
      </c>
      <c r="I8" s="7">
        <f>(G8-'PPM Equity Raise'!$B$29)/'PPM Equity Raise'!$B$29</f>
        <v>0.87667265899077262</v>
      </c>
      <c r="J8" s="11">
        <f>MAX(0,F8-MIN('PPM Equity Raise'!$B$29,F8))-(MIN(MAX(0,F8-MIN('PPM Equity Raise'!$B$29,F8)),'PPM Equity Raise'!$B$29*0.7/0.9)*0.9+MIN(MAX(MAX(0,F8-MIN('PPM Equity Raise'!$B$29,F8))-'PPM Equity Raise'!$B$29*0.7/0.9,0),'PPM Equity Raise'!$B$29*0.3/0.8)*0.8+MIN(MAX(MAX(0,F8-MIN('PPM Equity Raise'!$B$29,F8))-'PPM Equity Raise'!$B$29*0.7/0.9-'PPM Equity Raise'!$B$29*0.3/0.8,0),'PPM Equity Raise'!$B$29*0.25/0.75)*0.75+MAX(MAX(0,F8-MIN('PPM Equity Raise'!$B$29,F8))-'PPM Equity Raise'!$B$29*0.7/0.9-'PPM Equity Raise'!$B$29*0.3/0.8-'PPM Equity Raise'!$B$29*0.25/0.75,0)*0.7)</f>
        <v>548756.74136461923</v>
      </c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</sheetData>
  <mergeCells count="2">
    <mergeCell ref="A1:H1"/>
    <mergeCell ref="A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6"/>
  <sheetViews>
    <sheetView workbookViewId="0"/>
  </sheetViews>
  <sheetFormatPr defaultRowHeight="14.25"/>
  <cols>
    <col min="1" max="1" width="37" customWidth="1"/>
    <col min="2" max="2" width="19" customWidth="1"/>
    <col min="3" max="3" width="4" customWidth="1"/>
    <col min="4" max="4" width="41" customWidth="1"/>
    <col min="5" max="5" width="19" customWidth="1"/>
  </cols>
  <sheetData>
    <row r="1" spans="1:15" ht="19.5">
      <c r="A1" s="25" t="s">
        <v>409</v>
      </c>
      <c r="B1" s="25"/>
      <c r="C1" s="25"/>
      <c r="D1" s="25"/>
      <c r="E1" s="25"/>
      <c r="F1" s="25"/>
      <c r="G1" s="25"/>
      <c r="H1" s="25"/>
      <c r="I1" s="1"/>
      <c r="J1" s="1"/>
      <c r="K1" s="1"/>
      <c r="L1" s="1"/>
      <c r="M1" s="1"/>
      <c r="N1" s="1"/>
      <c r="O1" s="1"/>
    </row>
    <row r="2" spans="1:15">
      <c r="A2" s="26" t="s">
        <v>410</v>
      </c>
      <c r="B2" s="26"/>
      <c r="C2" s="26"/>
      <c r="D2" s="26"/>
      <c r="E2" s="26"/>
      <c r="F2" s="26"/>
      <c r="G2" s="26"/>
      <c r="H2" s="26"/>
      <c r="I2" s="1"/>
      <c r="J2" s="1"/>
      <c r="K2" s="1"/>
      <c r="L2" s="1"/>
      <c r="M2" s="1"/>
      <c r="N2" s="1"/>
      <c r="O2" s="1"/>
    </row>
    <row r="3" spans="1:15" ht="60">
      <c r="A3" s="1"/>
      <c r="B3" s="1"/>
      <c r="C3" s="1"/>
      <c r="D3" s="1"/>
      <c r="E3" s="1"/>
      <c r="F3" s="1"/>
      <c r="G3" s="1"/>
      <c r="H3" s="1"/>
      <c r="I3" s="1"/>
      <c r="J3" s="17" t="s">
        <v>270</v>
      </c>
      <c r="K3" s="17" t="s">
        <v>411</v>
      </c>
      <c r="L3" s="17" t="s">
        <v>412</v>
      </c>
      <c r="M3" s="17" t="s">
        <v>413</v>
      </c>
      <c r="N3" s="17" t="s">
        <v>414</v>
      </c>
      <c r="O3" s="17" t="s">
        <v>415</v>
      </c>
    </row>
    <row r="4" spans="1:15" ht="15">
      <c r="A4" s="17" t="s">
        <v>416</v>
      </c>
      <c r="B4" s="17" t="s">
        <v>4</v>
      </c>
      <c r="C4" s="1"/>
      <c r="D4" s="17" t="s">
        <v>417</v>
      </c>
      <c r="E4" s="17" t="s">
        <v>4</v>
      </c>
      <c r="F4" s="1"/>
      <c r="G4" s="1"/>
      <c r="H4" s="1"/>
      <c r="I4" s="1"/>
      <c r="J4" s="13">
        <f>'Monthly Operations'!B5</f>
        <v>46296</v>
      </c>
      <c r="K4" s="11">
        <f>'Monthly Operations'!B14</f>
        <v>450000</v>
      </c>
      <c r="L4" s="11">
        <f>'Monthly Operations'!B29+'Monthly Operations'!B30</f>
        <v>98336.994791666657</v>
      </c>
      <c r="M4" s="11">
        <f>'Monthly Operations'!B39+'Monthly Operations'!B40+'Monthly Operations'!B43</f>
        <v>0</v>
      </c>
      <c r="N4" s="11">
        <f>'Monthly Operations'!B50</f>
        <v>3000000</v>
      </c>
      <c r="O4" s="11">
        <f>'Monthly Operations'!B49</f>
        <v>0</v>
      </c>
    </row>
    <row r="5" spans="1:15">
      <c r="A5" s="1" t="s">
        <v>418</v>
      </c>
      <c r="B5" s="13">
        <f>Assumptions!$B$7</f>
        <v>46296</v>
      </c>
      <c r="C5" s="1"/>
      <c r="D5" s="1" t="s">
        <v>134</v>
      </c>
      <c r="E5" s="11">
        <f>'PPM Equity Raise'!$B$17</f>
        <v>4500000</v>
      </c>
      <c r="F5" s="1"/>
      <c r="G5" s="1"/>
      <c r="H5" s="1"/>
      <c r="I5" s="1"/>
      <c r="J5" s="13">
        <f>'Monthly Operations'!C5</f>
        <v>46327</v>
      </c>
      <c r="K5" s="11">
        <f>'Monthly Operations'!C14</f>
        <v>900000</v>
      </c>
      <c r="L5" s="11">
        <f>'Monthly Operations'!C29+'Monthly Operations'!C30</f>
        <v>82336.994791666657</v>
      </c>
      <c r="M5" s="11">
        <f>'Monthly Operations'!C39+'Monthly Operations'!C40+'Monthly Operations'!C43</f>
        <v>0</v>
      </c>
      <c r="N5" s="11">
        <f>'Monthly Operations'!C50</f>
        <v>3000000</v>
      </c>
      <c r="O5" s="11">
        <f>'Monthly Operations'!C49</f>
        <v>0</v>
      </c>
    </row>
    <row r="6" spans="1:15">
      <c r="A6" s="1" t="s">
        <v>419</v>
      </c>
      <c r="B6" s="10">
        <f>Assumptions!$B$66</f>
        <v>1</v>
      </c>
      <c r="C6" s="1"/>
      <c r="D6" s="1" t="s">
        <v>420</v>
      </c>
      <c r="E6" s="11">
        <f>'PPM Equity Raise'!$B$19</f>
        <v>4275000</v>
      </c>
      <c r="F6" s="1"/>
      <c r="G6" s="1"/>
      <c r="H6" s="1"/>
      <c r="I6" s="1"/>
      <c r="J6" s="13">
        <f>'Monthly Operations'!D5</f>
        <v>46357</v>
      </c>
      <c r="K6" s="11">
        <f>'Monthly Operations'!D14</f>
        <v>1350000</v>
      </c>
      <c r="L6" s="11">
        <f>'Monthly Operations'!D29+'Monthly Operations'!D30</f>
        <v>105989.45479166666</v>
      </c>
      <c r="M6" s="11">
        <f>'Monthly Operations'!D39+'Monthly Operations'!D40+'Monthly Operations'!D43</f>
        <v>0</v>
      </c>
      <c r="N6" s="11">
        <f>'Monthly Operations'!D50</f>
        <v>3000000</v>
      </c>
      <c r="O6" s="11">
        <f>'Monthly Operations'!D49</f>
        <v>0</v>
      </c>
    </row>
    <row r="7" spans="1:15">
      <c r="A7" s="1" t="s">
        <v>121</v>
      </c>
      <c r="B7" s="10">
        <f>Assumptions!$B$58</f>
        <v>4</v>
      </c>
      <c r="C7" s="1"/>
      <c r="D7" s="1" t="s">
        <v>359</v>
      </c>
      <c r="E7" s="11">
        <f>Assumptions!$B$67</f>
        <v>3000000</v>
      </c>
      <c r="F7" s="1"/>
      <c r="G7" s="1"/>
      <c r="H7" s="1"/>
      <c r="I7" s="1"/>
      <c r="J7" s="13">
        <f>'Monthly Operations'!E5</f>
        <v>46388</v>
      </c>
      <c r="K7" s="11">
        <f>'Monthly Operations'!E14</f>
        <v>1800000</v>
      </c>
      <c r="L7" s="11">
        <f>'Monthly Operations'!E29+'Monthly Operations'!E30</f>
        <v>89989.454791666663</v>
      </c>
      <c r="M7" s="11">
        <f>'Monthly Operations'!E39+'Monthly Operations'!E40+'Monthly Operations'!E43</f>
        <v>2858319.4483695659</v>
      </c>
      <c r="N7" s="11">
        <f>'Monthly Operations'!E50</f>
        <v>141680.55163043411</v>
      </c>
      <c r="O7" s="11">
        <f>'Monthly Operations'!E49</f>
        <v>0</v>
      </c>
    </row>
    <row r="8" spans="1:15">
      <c r="A8" s="1" t="s">
        <v>421</v>
      </c>
      <c r="B8" s="10">
        <f>Assumptions!$B$43</f>
        <v>12</v>
      </c>
      <c r="C8" s="1"/>
      <c r="D8" s="1" t="s">
        <v>422</v>
      </c>
      <c r="E8" s="11">
        <f>'Monthly Operations'!$Z$39</f>
        <v>2858319.4483695659</v>
      </c>
      <c r="F8" s="1"/>
      <c r="G8" s="1"/>
      <c r="H8" s="1"/>
      <c r="I8" s="1"/>
      <c r="J8" s="13">
        <f>'Monthly Operations'!F5</f>
        <v>46419</v>
      </c>
      <c r="K8" s="11">
        <f>'Monthly Operations'!F14</f>
        <v>0</v>
      </c>
      <c r="L8" s="11">
        <f>'Monthly Operations'!F29+'Monthly Operations'!F30</f>
        <v>107661.91479166666</v>
      </c>
      <c r="M8" s="11">
        <f>'Monthly Operations'!F39+'Monthly Operations'!F40+'Monthly Operations'!F43</f>
        <v>0</v>
      </c>
      <c r="N8" s="11">
        <f>'Monthly Operations'!F50</f>
        <v>141680.55163043411</v>
      </c>
      <c r="O8" s="11">
        <f>'Monthly Operations'!F49</f>
        <v>0</v>
      </c>
    </row>
    <row r="9" spans="1:15">
      <c r="A9" s="1" t="s">
        <v>78</v>
      </c>
      <c r="B9" s="10">
        <f>Assumptions!$B$59</f>
        <v>13</v>
      </c>
      <c r="C9" s="1"/>
      <c r="D9" s="1" t="s">
        <v>423</v>
      </c>
      <c r="E9" s="11">
        <f>'Land Seller Financing'!$B$22</f>
        <v>141680.55163043411</v>
      </c>
      <c r="F9" s="1"/>
      <c r="G9" s="1"/>
      <c r="H9" s="1"/>
      <c r="I9" s="1"/>
      <c r="J9" s="13">
        <f>'Monthly Operations'!G5</f>
        <v>46447</v>
      </c>
      <c r="K9" s="11">
        <f>'Monthly Operations'!G14</f>
        <v>0</v>
      </c>
      <c r="L9" s="11">
        <f>'Monthly Operations'!G29+'Monthly Operations'!G30</f>
        <v>107661.91479166666</v>
      </c>
      <c r="M9" s="11">
        <f>'Monthly Operations'!G39+'Monthly Operations'!G40+'Monthly Operations'!G43</f>
        <v>0</v>
      </c>
      <c r="N9" s="11">
        <f>'Monthly Operations'!G50</f>
        <v>141680.55163043411</v>
      </c>
      <c r="O9" s="11">
        <f>'Monthly Operations'!G49</f>
        <v>0</v>
      </c>
    </row>
    <row r="10" spans="1:15">
      <c r="A10" s="1" t="s">
        <v>424</v>
      </c>
      <c r="B10" s="10">
        <f>Assumptions!$B$44</f>
        <v>13</v>
      </c>
      <c r="C10" s="1"/>
      <c r="D10" s="1" t="s">
        <v>373</v>
      </c>
      <c r="E10" s="11">
        <f>MAX('Monthly Operations'!B49:Y49)</f>
        <v>5210840.8949782187</v>
      </c>
      <c r="F10" s="1"/>
      <c r="G10" s="1"/>
      <c r="H10" s="1"/>
      <c r="I10" s="1"/>
      <c r="J10" s="13">
        <f>'Monthly Operations'!H5</f>
        <v>46478</v>
      </c>
      <c r="K10" s="11">
        <f>'Monthly Operations'!H14</f>
        <v>0</v>
      </c>
      <c r="L10" s="11">
        <f>'Monthly Operations'!H29+'Monthly Operations'!H30</f>
        <v>107661.91479166666</v>
      </c>
      <c r="M10" s="11">
        <f>'Monthly Operations'!H39+'Monthly Operations'!H40+'Monthly Operations'!H43</f>
        <v>0</v>
      </c>
      <c r="N10" s="11">
        <f>'Monthly Operations'!H50</f>
        <v>141680.55163043411</v>
      </c>
      <c r="O10" s="11">
        <f>'Monthly Operations'!H49</f>
        <v>0</v>
      </c>
    </row>
    <row r="11" spans="1:15">
      <c r="A11" s="1" t="s">
        <v>425</v>
      </c>
      <c r="B11" s="10">
        <f>Assumptions!$B$45</f>
        <v>24</v>
      </c>
      <c r="C11" s="1"/>
      <c r="D11" s="1" t="s">
        <v>371</v>
      </c>
      <c r="E11" s="11">
        <f>'Financing &amp; Returns'!$B$13</f>
        <v>16825247.543176901</v>
      </c>
      <c r="F11" s="1"/>
      <c r="G11" s="1"/>
      <c r="H11" s="1"/>
      <c r="I11" s="1"/>
      <c r="J11" s="13">
        <f>'Monthly Operations'!I5</f>
        <v>46508</v>
      </c>
      <c r="K11" s="11">
        <f>'Monthly Operations'!I14</f>
        <v>0</v>
      </c>
      <c r="L11" s="11">
        <f>'Monthly Operations'!I29+'Monthly Operations'!I30</f>
        <v>107661.91479166666</v>
      </c>
      <c r="M11" s="11">
        <f>'Monthly Operations'!I39+'Monthly Operations'!I40+'Monthly Operations'!I43</f>
        <v>0</v>
      </c>
      <c r="N11" s="11">
        <f>'Monthly Operations'!I50</f>
        <v>141680.55163043411</v>
      </c>
      <c r="O11" s="11">
        <f>'Monthly Operations'!I49</f>
        <v>0</v>
      </c>
    </row>
    <row r="12" spans="1:15">
      <c r="A12" s="1" t="s">
        <v>38</v>
      </c>
      <c r="B12" s="11">
        <f>Assumptions!$B$19</f>
        <v>20790000</v>
      </c>
      <c r="C12" s="1"/>
      <c r="D12" s="1" t="s">
        <v>384</v>
      </c>
      <c r="E12" s="11">
        <f>'Financing &amp; Returns'!$F$24</f>
        <v>3964752.4568230994</v>
      </c>
      <c r="F12" s="1"/>
      <c r="G12" s="1"/>
      <c r="H12" s="1"/>
      <c r="I12" s="1"/>
      <c r="J12" s="13">
        <f>'Monthly Operations'!J5</f>
        <v>46539</v>
      </c>
      <c r="K12" s="11">
        <f>'Monthly Operations'!J14</f>
        <v>0</v>
      </c>
      <c r="L12" s="11">
        <f>'Monthly Operations'!J29+'Monthly Operations'!J30</f>
        <v>97661.914791666655</v>
      </c>
      <c r="M12" s="11">
        <f>'Monthly Operations'!J39+'Monthly Operations'!J40+'Monthly Operations'!J43</f>
        <v>0</v>
      </c>
      <c r="N12" s="11">
        <f>'Monthly Operations'!J50</f>
        <v>141680.55163043411</v>
      </c>
      <c r="O12" s="11">
        <f>'Monthly Operations'!J49</f>
        <v>0</v>
      </c>
    </row>
    <row r="13" spans="1:15" ht="15">
      <c r="A13" s="27"/>
      <c r="B13" s="29"/>
      <c r="C13" s="27"/>
      <c r="D13" s="27" t="s">
        <v>390</v>
      </c>
      <c r="E13" s="29">
        <f>'PPM Equity Raise'!$B$37</f>
        <v>8021801.9654584769</v>
      </c>
      <c r="F13" s="1"/>
      <c r="G13" s="1"/>
      <c r="H13" s="1"/>
      <c r="I13" s="1"/>
      <c r="J13" s="13">
        <f>'Monthly Operations'!K5</f>
        <v>46569</v>
      </c>
      <c r="K13" s="11">
        <f>'Monthly Operations'!K14</f>
        <v>0</v>
      </c>
      <c r="L13" s="11">
        <f>'Monthly Operations'!K29+'Monthly Operations'!K30</f>
        <v>134714.37479166666</v>
      </c>
      <c r="M13" s="11">
        <f>'Monthly Operations'!K39+'Monthly Operations'!K40+'Monthly Operations'!K43</f>
        <v>0</v>
      </c>
      <c r="N13" s="11">
        <f>'Monthly Operations'!K50</f>
        <v>141680.55163043411</v>
      </c>
      <c r="O13" s="11">
        <f>'Monthly Operations'!K49</f>
        <v>0</v>
      </c>
    </row>
    <row r="14" spans="1:15">
      <c r="A14" s="1"/>
      <c r="B14" s="11"/>
      <c r="C14" s="1"/>
      <c r="D14" s="1" t="s">
        <v>392</v>
      </c>
      <c r="E14" s="7">
        <f>'PPM Equity Raise'!$B$38</f>
        <v>0.78262265899077266</v>
      </c>
      <c r="F14" s="1"/>
      <c r="G14" s="1"/>
      <c r="H14" s="1"/>
      <c r="I14" s="1"/>
      <c r="J14" s="13">
        <f>'Monthly Operations'!L5</f>
        <v>46600</v>
      </c>
      <c r="K14" s="11">
        <f>'Monthly Operations'!L14</f>
        <v>0</v>
      </c>
      <c r="L14" s="11">
        <f>'Monthly Operations'!L29+'Monthly Operations'!L30</f>
        <v>134714.37479166666</v>
      </c>
      <c r="M14" s="11">
        <f>'Monthly Operations'!L39+'Monthly Operations'!L40+'Monthly Operations'!L43</f>
        <v>0</v>
      </c>
      <c r="N14" s="11">
        <f>'Monthly Operations'!L50</f>
        <v>141680.55163043411</v>
      </c>
      <c r="O14" s="11">
        <f>'Monthly Operations'!L49</f>
        <v>0</v>
      </c>
    </row>
    <row r="15" spans="1:15" ht="15">
      <c r="A15" s="27"/>
      <c r="B15" s="28"/>
      <c r="C15" s="27"/>
      <c r="D15" s="27" t="s">
        <v>393</v>
      </c>
      <c r="E15" s="66">
        <f>'PPM Equity Raise'!$B$39</f>
        <v>1.7826226589907725</v>
      </c>
      <c r="F15" s="1"/>
      <c r="G15" s="1"/>
      <c r="H15" s="1"/>
      <c r="I15" s="1"/>
      <c r="J15" s="13">
        <f>'Monthly Operations'!M5</f>
        <v>46631</v>
      </c>
      <c r="K15" s="11">
        <f>'Monthly Operations'!M14</f>
        <v>0</v>
      </c>
      <c r="L15" s="11">
        <f>'Monthly Operations'!M29+'Monthly Operations'!M30</f>
        <v>104861.91479166666</v>
      </c>
      <c r="M15" s="11">
        <f>'Monthly Operations'!M39+'Monthly Operations'!M40+'Monthly Operations'!M43</f>
        <v>0</v>
      </c>
      <c r="N15" s="11">
        <f>'Monthly Operations'!M50</f>
        <v>141680.55163043411</v>
      </c>
      <c r="O15" s="11">
        <f>'Monthly Operations'!M49</f>
        <v>0</v>
      </c>
    </row>
    <row r="16" spans="1:15">
      <c r="A16" s="1"/>
      <c r="B16" s="7"/>
      <c r="C16" s="1"/>
      <c r="D16" s="1" t="s">
        <v>395</v>
      </c>
      <c r="E16" s="7">
        <f>'PPM Equity Raise'!$B$40</f>
        <v>0.39113126092924366</v>
      </c>
      <c r="F16" s="1"/>
      <c r="G16" s="1"/>
      <c r="H16" s="1"/>
      <c r="I16" s="1"/>
      <c r="J16" s="13">
        <f>'Monthly Operations'!N5</f>
        <v>46661</v>
      </c>
      <c r="K16" s="11">
        <f>'Monthly Operations'!N14</f>
        <v>0</v>
      </c>
      <c r="L16" s="11">
        <f>'Monthly Operations'!N29+'Monthly Operations'!N30</f>
        <v>85001.273458333322</v>
      </c>
      <c r="M16" s="11">
        <f>'Monthly Operations'!N39+'Monthly Operations'!N40+'Monthly Operations'!N43</f>
        <v>0</v>
      </c>
      <c r="N16" s="11">
        <f>'Monthly Operations'!N50</f>
        <v>141680.55163043411</v>
      </c>
      <c r="O16" s="11">
        <f>'Monthly Operations'!N49</f>
        <v>0</v>
      </c>
    </row>
    <row r="17" spans="1:15" ht="15">
      <c r="A17" s="27"/>
      <c r="B17" s="29"/>
      <c r="C17" s="27"/>
      <c r="D17" s="27" t="s">
        <v>167</v>
      </c>
      <c r="E17" s="29">
        <f>'PPM Equity Raise'!$B$36</f>
        <v>442950.49136461923</v>
      </c>
      <c r="F17" s="1"/>
      <c r="G17" s="1"/>
      <c r="H17" s="1"/>
      <c r="I17" s="1"/>
      <c r="J17" s="13">
        <f>'Monthly Operations'!O5</f>
        <v>46692</v>
      </c>
      <c r="K17" s="11">
        <f>'Monthly Operations'!O14</f>
        <v>0</v>
      </c>
      <c r="L17" s="11">
        <f>'Monthly Operations'!O29+'Monthly Operations'!O30</f>
        <v>33093.176458333328</v>
      </c>
      <c r="M17" s="11">
        <f>'Monthly Operations'!O39+'Monthly Operations'!O40+'Monthly Operations'!O43</f>
        <v>0</v>
      </c>
      <c r="N17" s="11">
        <f>'Monthly Operations'!O50</f>
        <v>141680.55163043411</v>
      </c>
      <c r="O17" s="11">
        <f>'Monthly Operations'!O49</f>
        <v>0</v>
      </c>
    </row>
    <row r="18" spans="1:15">
      <c r="A18" s="1"/>
      <c r="B18" s="7"/>
      <c r="C18" s="1"/>
      <c r="D18" s="1" t="s">
        <v>396</v>
      </c>
      <c r="E18" s="7">
        <f>'Financing &amp; Returns'!$F$32</f>
        <v>0.19070478387797496</v>
      </c>
      <c r="F18" s="1"/>
      <c r="G18" s="1"/>
      <c r="H18" s="1"/>
      <c r="I18" s="1"/>
      <c r="J18" s="13">
        <f>'Monthly Operations'!P5</f>
        <v>46722</v>
      </c>
      <c r="K18" s="11">
        <f>'Monthly Operations'!P14</f>
        <v>0</v>
      </c>
      <c r="L18" s="11">
        <f>'Monthly Operations'!P29+'Monthly Operations'!P30</f>
        <v>36257.079458333334</v>
      </c>
      <c r="M18" s="11">
        <f>'Monthly Operations'!P39+'Monthly Operations'!P40+'Monthly Operations'!P43</f>
        <v>0</v>
      </c>
      <c r="N18" s="11">
        <f>'Monthly Operations'!P50</f>
        <v>141680.55163043411</v>
      </c>
      <c r="O18" s="11">
        <f>'Monthly Operations'!P49</f>
        <v>0</v>
      </c>
    </row>
    <row r="19" spans="1:15">
      <c r="A19" s="1"/>
      <c r="B19" s="7"/>
      <c r="C19" s="1"/>
      <c r="D19" s="1"/>
      <c r="E19" s="1"/>
      <c r="F19" s="1"/>
      <c r="G19" s="1"/>
      <c r="H19" s="1"/>
      <c r="I19" s="1"/>
      <c r="J19" s="13">
        <f>'Monthly Operations'!Q5</f>
        <v>46753</v>
      </c>
      <c r="K19" s="11">
        <f>'Monthly Operations'!Q14</f>
        <v>0</v>
      </c>
      <c r="L19" s="11">
        <f>'Monthly Operations'!Q29+'Monthly Operations'!Q30</f>
        <v>37839.030958333329</v>
      </c>
      <c r="M19" s="11">
        <f>'Monthly Operations'!Q39+'Monthly Operations'!Q40+'Monthly Operations'!Q43</f>
        <v>0</v>
      </c>
      <c r="N19" s="11">
        <f>'Monthly Operations'!Q50</f>
        <v>141680.55163043411</v>
      </c>
      <c r="O19" s="11">
        <f>'Monthly Operations'!Q49</f>
        <v>0</v>
      </c>
    </row>
    <row r="20" spans="1:15" ht="15">
      <c r="A20" s="27" t="s">
        <v>294</v>
      </c>
      <c r="B20" s="28"/>
      <c r="C20" s="1"/>
      <c r="D20" s="1"/>
      <c r="E20" s="1"/>
      <c r="F20" s="1"/>
      <c r="G20" s="1"/>
      <c r="H20" s="1"/>
      <c r="I20" s="1"/>
      <c r="J20" s="13">
        <f>'Monthly Operations'!R5</f>
        <v>46784</v>
      </c>
      <c r="K20" s="11">
        <f>'Monthly Operations'!R14</f>
        <v>0</v>
      </c>
      <c r="L20" s="11">
        <f>'Monthly Operations'!R29+'Monthly Operations'!R30</f>
        <v>37839.030958333329</v>
      </c>
      <c r="M20" s="11">
        <f>'Monthly Operations'!R39+'Monthly Operations'!R40+'Monthly Operations'!R43</f>
        <v>0</v>
      </c>
      <c r="N20" s="11">
        <f>'Monthly Operations'!R50</f>
        <v>141680.55163043411</v>
      </c>
      <c r="O20" s="11">
        <f>'Monthly Operations'!R49</f>
        <v>0</v>
      </c>
    </row>
    <row r="21" spans="1:15" ht="15">
      <c r="A21" s="1" t="s">
        <v>426</v>
      </c>
      <c r="B21" s="7">
        <f>'Capital Raise Schedule'!$Z$8</f>
        <v>1</v>
      </c>
      <c r="C21" s="1"/>
      <c r="D21" s="1"/>
      <c r="E21" s="1"/>
      <c r="F21" s="1"/>
      <c r="G21" s="1"/>
      <c r="H21" s="1"/>
      <c r="I21" s="1"/>
      <c r="J21" s="13">
        <f>'Monthly Operations'!S5</f>
        <v>46813</v>
      </c>
      <c r="K21" s="11">
        <f>'Monthly Operations'!S14</f>
        <v>0</v>
      </c>
      <c r="L21" s="11">
        <f>'Monthly Operations'!S29+'Monthly Operations'!S30</f>
        <v>36257.079458333334</v>
      </c>
      <c r="M21" s="11">
        <f>'Monthly Operations'!S39+'Monthly Operations'!S40+'Monthly Operations'!S43</f>
        <v>0</v>
      </c>
      <c r="N21" s="11">
        <f>'Monthly Operations'!S50</f>
        <v>141680.55163043411</v>
      </c>
      <c r="O21" s="11">
        <f>'Monthly Operations'!S49</f>
        <v>801881.04384782619</v>
      </c>
    </row>
    <row r="22" spans="1:15" ht="15">
      <c r="A22" s="1" t="s">
        <v>427</v>
      </c>
      <c r="B22" s="11">
        <f>'Shovel Ready Plan'!$B$24</f>
        <v>0</v>
      </c>
      <c r="C22" s="1"/>
      <c r="D22" s="1"/>
      <c r="E22" s="1"/>
      <c r="F22" s="1"/>
      <c r="G22" s="1"/>
      <c r="H22" s="1"/>
      <c r="I22" s="1"/>
      <c r="J22" s="13">
        <f>'Monthly Operations'!T5</f>
        <v>46844</v>
      </c>
      <c r="K22" s="11">
        <f>'Monthly Operations'!T14</f>
        <v>0</v>
      </c>
      <c r="L22" s="11">
        <f>'Monthly Operations'!T29+'Monthly Operations'!T30</f>
        <v>33093.176458333328</v>
      </c>
      <c r="M22" s="11">
        <f>'Monthly Operations'!T39+'Monthly Operations'!T40+'Monthly Operations'!T43</f>
        <v>0</v>
      </c>
      <c r="N22" s="11">
        <f>'Monthly Operations'!T50</f>
        <v>141680.55163043411</v>
      </c>
      <c r="O22" s="11">
        <f>'Monthly Operations'!T49</f>
        <v>1716979.829846513</v>
      </c>
    </row>
    <row r="23" spans="1:15">
      <c r="A23" s="1" t="s">
        <v>428</v>
      </c>
      <c r="B23" s="7">
        <f>'Sales Schedule'!$B$36</f>
        <v>0.99999999999999978</v>
      </c>
      <c r="C23" s="1"/>
      <c r="D23" s="1"/>
      <c r="E23" s="1"/>
      <c r="F23" s="1"/>
      <c r="G23" s="1"/>
      <c r="H23" s="1"/>
      <c r="I23" s="1"/>
      <c r="J23" s="13">
        <f>'Monthly Operations'!U5</f>
        <v>46874</v>
      </c>
      <c r="K23" s="11">
        <f>'Monthly Operations'!U14</f>
        <v>0</v>
      </c>
      <c r="L23" s="11">
        <f>'Monthly Operations'!U29+'Monthly Operations'!U30</f>
        <v>29929.273458333329</v>
      </c>
      <c r="M23" s="11">
        <f>'Monthly Operations'!U39+'Monthly Operations'!U40+'Monthly Operations'!U43</f>
        <v>0</v>
      </c>
      <c r="N23" s="11">
        <f>'Monthly Operations'!U50</f>
        <v>141680.55163043411</v>
      </c>
      <c r="O23" s="11">
        <f>'Monthly Operations'!U49</f>
        <v>2619815.3702576915</v>
      </c>
    </row>
    <row r="24" spans="1:15">
      <c r="A24" s="1" t="s">
        <v>429</v>
      </c>
      <c r="B24" s="7">
        <f>'Sales Schedule'!$B$37</f>
        <v>1</v>
      </c>
      <c r="C24" s="1"/>
      <c r="D24" s="1"/>
      <c r="E24" s="1"/>
      <c r="F24" s="1"/>
      <c r="G24" s="1"/>
      <c r="H24" s="1"/>
      <c r="I24" s="1"/>
      <c r="J24" s="13">
        <f>'Monthly Operations'!V5</f>
        <v>46905</v>
      </c>
      <c r="K24" s="11">
        <f>'Monthly Operations'!V14</f>
        <v>0</v>
      </c>
      <c r="L24" s="11">
        <f>'Monthly Operations'!V29+'Monthly Operations'!V30</f>
        <v>28347.321958333334</v>
      </c>
      <c r="M24" s="11">
        <f>'Monthly Operations'!V39+'Monthly Operations'!V40+'Monthly Operations'!V43</f>
        <v>0</v>
      </c>
      <c r="N24" s="11">
        <f>'Monthly Operations'!V50</f>
        <v>141680.55163043411</v>
      </c>
      <c r="O24" s="11">
        <f>'Monthly Operations'!V49</f>
        <v>3497074.2612964399</v>
      </c>
    </row>
    <row r="25" spans="1:15">
      <c r="A25" s="1" t="s">
        <v>430</v>
      </c>
      <c r="B25" s="7">
        <f>'Sales Schedule'!$B$38</f>
        <v>1</v>
      </c>
      <c r="C25" s="1"/>
      <c r="D25" s="1"/>
      <c r="E25" s="1"/>
      <c r="F25" s="1"/>
      <c r="G25" s="1"/>
      <c r="H25" s="1"/>
      <c r="I25" s="1"/>
      <c r="J25" s="13">
        <f>'Monthly Operations'!W5</f>
        <v>46935</v>
      </c>
      <c r="K25" s="11">
        <f>'Monthly Operations'!W14</f>
        <v>0</v>
      </c>
      <c r="L25" s="11">
        <f>'Monthly Operations'!W29+'Monthly Operations'!W30</f>
        <v>23601.467458333333</v>
      </c>
      <c r="M25" s="11">
        <f>'Monthly Operations'!W39+'Monthly Operations'!W40+'Monthly Operations'!W43</f>
        <v>0</v>
      </c>
      <c r="N25" s="11">
        <f>'Monthly Operations'!W50</f>
        <v>141680.55163043411</v>
      </c>
      <c r="O25" s="11">
        <f>'Monthly Operations'!W49</f>
        <v>4360251.4559041802</v>
      </c>
    </row>
    <row r="26" spans="1:15">
      <c r="A26" s="1" t="s">
        <v>376</v>
      </c>
      <c r="B26" s="11">
        <f>'Financing &amp; Returns'!$F$16</f>
        <v>0</v>
      </c>
      <c r="C26" s="1"/>
      <c r="D26" s="1"/>
      <c r="E26" s="1"/>
      <c r="F26" s="1"/>
      <c r="G26" s="1"/>
      <c r="H26" s="1"/>
      <c r="I26" s="1"/>
      <c r="J26" s="13">
        <f>'Monthly Operations'!X5</f>
        <v>46966</v>
      </c>
      <c r="K26" s="11">
        <f>'Monthly Operations'!X14</f>
        <v>0</v>
      </c>
      <c r="L26" s="11">
        <f>'Monthly Operations'!X29+'Monthly Operations'!X30</f>
        <v>20437.564458333331</v>
      </c>
      <c r="M26" s="11">
        <f>'Monthly Operations'!X39+'Monthly Operations'!X40+'Monthly Operations'!X43</f>
        <v>0</v>
      </c>
      <c r="N26" s="11">
        <f>'Monthly Operations'!X50</f>
        <v>141680.55163043411</v>
      </c>
      <c r="O26" s="11">
        <f>'Monthly Operations'!X49</f>
        <v>5210840.8949782187</v>
      </c>
    </row>
    <row r="27" spans="1:15">
      <c r="A27" s="1" t="s">
        <v>370</v>
      </c>
      <c r="B27" s="11">
        <f>'Financing &amp; Returns'!$D$12</f>
        <v>0</v>
      </c>
      <c r="C27" s="1"/>
      <c r="D27" s="1"/>
      <c r="E27" s="1"/>
      <c r="F27" s="1"/>
      <c r="G27" s="1"/>
      <c r="H27" s="1"/>
      <c r="I27" s="1"/>
      <c r="J27" s="13">
        <f>'Monthly Operations'!Y5</f>
        <v>46997</v>
      </c>
      <c r="K27" s="11">
        <f>'Monthly Operations'!Y14</f>
        <v>0</v>
      </c>
      <c r="L27" s="11">
        <f>'Monthly Operations'!Y29+'Monthly Operations'!Y30</f>
        <v>18855.612958333331</v>
      </c>
      <c r="M27" s="11">
        <f>'Monthly Operations'!Y39+'Monthly Operations'!Y40+'Monthly Operations'!Y43</f>
        <v>141680.55163043411</v>
      </c>
      <c r="N27" s="11">
        <f>'Monthly Operations'!Y50</f>
        <v>0</v>
      </c>
      <c r="O27" s="11">
        <f>'Monthly Operations'!Y49</f>
        <v>0</v>
      </c>
    </row>
    <row r="28" spans="1: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</sheetData>
  <mergeCells count="6">
    <mergeCell ref="A20:B20"/>
    <mergeCell ref="A1:H1"/>
    <mergeCell ref="A2:H2"/>
    <mergeCell ref="A13:E13"/>
    <mergeCell ref="A17:E17"/>
    <mergeCell ref="A15:E15"/>
  </mergeCells>
  <conditionalFormatting sqref="B16">
    <cfRule type="cellIs" dxfId="5" priority="1" operator="greaterThan">
      <formula>0</formula>
    </cfRule>
  </conditionalFormatting>
  <conditionalFormatting sqref="B20:B21">
    <cfRule type="expression" dxfId="4" priority="4">
      <formula>ABS(B20)+ABS(B21)&gt;1</formula>
    </cfRule>
  </conditionalFormatting>
  <conditionalFormatting sqref="B20:B22">
    <cfRule type="expression" dxfId="3" priority="3">
      <formula>ABS(B20)+ABS(B21)+ABS(B22)&gt;1</formula>
    </cfRule>
  </conditionalFormatting>
  <conditionalFormatting sqref="B21">
    <cfRule type="cellIs" dxfId="2" priority="2" operator="greaterThan">
      <formula>0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3"/>
  <sheetViews>
    <sheetView workbookViewId="0"/>
  </sheetViews>
  <sheetFormatPr defaultRowHeight="14.25"/>
  <cols>
    <col min="1" max="1" width="42" customWidth="1"/>
    <col min="2" max="2" width="20" customWidth="1"/>
    <col min="3" max="3" width="30" customWidth="1"/>
    <col min="4" max="4" width="52" customWidth="1"/>
    <col min="6" max="6" width="34" customWidth="1"/>
    <col min="7" max="7" width="40" customWidth="1"/>
    <col min="8" max="8" width="68" customWidth="1"/>
  </cols>
  <sheetData>
    <row r="1" spans="1:8" ht="19.5">
      <c r="A1" s="25" t="s">
        <v>431</v>
      </c>
      <c r="B1" s="25"/>
      <c r="C1" s="25"/>
      <c r="D1" s="25"/>
      <c r="E1" s="25"/>
      <c r="F1" s="25"/>
      <c r="G1" s="25"/>
      <c r="H1" s="25"/>
    </row>
    <row r="2" spans="1:8">
      <c r="A2" s="26" t="s">
        <v>432</v>
      </c>
      <c r="B2" s="26"/>
      <c r="C2" s="26"/>
      <c r="D2" s="26"/>
      <c r="E2" s="26"/>
      <c r="F2" s="26"/>
      <c r="G2" s="26"/>
      <c r="H2" s="26"/>
    </row>
    <row r="3" spans="1:8">
      <c r="A3" s="1"/>
      <c r="B3" s="1"/>
      <c r="C3" s="1"/>
      <c r="D3" s="1"/>
      <c r="E3" s="1"/>
      <c r="F3" s="1"/>
      <c r="G3" s="1"/>
      <c r="H3" s="1"/>
    </row>
    <row r="4" spans="1:8" ht="15">
      <c r="A4" s="27" t="s">
        <v>433</v>
      </c>
      <c r="B4" s="27"/>
      <c r="C4" s="27"/>
      <c r="D4" s="27"/>
      <c r="E4" s="1"/>
      <c r="F4" s="27" t="s">
        <v>434</v>
      </c>
      <c r="G4" s="27"/>
      <c r="H4" s="27"/>
    </row>
    <row r="5" spans="1:8" ht="15">
      <c r="A5" s="17" t="s">
        <v>435</v>
      </c>
      <c r="B5" s="17" t="s">
        <v>183</v>
      </c>
      <c r="C5" s="17" t="s">
        <v>436</v>
      </c>
      <c r="D5" s="17" t="s">
        <v>437</v>
      </c>
      <c r="E5" s="1"/>
      <c r="F5" s="17" t="s">
        <v>438</v>
      </c>
      <c r="G5" s="17" t="s">
        <v>439</v>
      </c>
      <c r="H5" s="17" t="s">
        <v>440</v>
      </c>
    </row>
    <row r="6" spans="1:8" ht="28.5">
      <c r="A6" s="1" t="s">
        <v>441</v>
      </c>
      <c r="B6" s="11">
        <f>Assumptions!$B$69</f>
        <v>0</v>
      </c>
      <c r="C6" s="11" t="s">
        <v>3</v>
      </c>
      <c r="D6" s="11" t="s">
        <v>442</v>
      </c>
      <c r="E6" s="1"/>
      <c r="F6" s="1" t="s">
        <v>443</v>
      </c>
      <c r="G6" s="1" t="s">
        <v>444</v>
      </c>
      <c r="H6" s="1" t="s">
        <v>445</v>
      </c>
    </row>
    <row r="7" spans="1:8" ht="28.5">
      <c r="A7" s="1" t="s">
        <v>446</v>
      </c>
      <c r="B7" s="11">
        <f>SUM('Shovel Ready Plan'!B20:M20)</f>
        <v>1213793.1375</v>
      </c>
      <c r="C7" s="11" t="s">
        <v>447</v>
      </c>
      <c r="D7" s="11" t="s">
        <v>448</v>
      </c>
      <c r="E7" s="1"/>
      <c r="F7" s="1" t="s">
        <v>449</v>
      </c>
      <c r="G7" s="1" t="s">
        <v>450</v>
      </c>
      <c r="H7" s="1" t="s">
        <v>451</v>
      </c>
    </row>
    <row r="8" spans="1:8" ht="28.5">
      <c r="A8" s="1" t="s">
        <v>452</v>
      </c>
      <c r="B8" s="11">
        <f>Assumptions!$B$46</f>
        <v>19960</v>
      </c>
      <c r="C8" s="11" t="s">
        <v>3</v>
      </c>
      <c r="D8" s="11" t="s">
        <v>453</v>
      </c>
      <c r="E8" s="1"/>
      <c r="F8" s="1" t="s">
        <v>454</v>
      </c>
      <c r="G8" s="1" t="s">
        <v>455</v>
      </c>
      <c r="H8" s="1" t="s">
        <v>456</v>
      </c>
    </row>
    <row r="9" spans="1:8" ht="28.5">
      <c r="A9" s="1" t="s">
        <v>457</v>
      </c>
      <c r="B9" s="11">
        <f>Assumptions!$B$52</f>
        <v>19080</v>
      </c>
      <c r="C9" s="11" t="s">
        <v>3</v>
      </c>
      <c r="D9" s="11" t="s">
        <v>458</v>
      </c>
      <c r="E9" s="1"/>
      <c r="F9" s="1" t="s">
        <v>459</v>
      </c>
      <c r="G9" s="1" t="s">
        <v>460</v>
      </c>
      <c r="H9" s="1" t="s">
        <v>461</v>
      </c>
    </row>
    <row r="10" spans="1:8" ht="28.5">
      <c r="A10" s="1" t="s">
        <v>462</v>
      </c>
      <c r="B10" s="11">
        <f>Assumptions!$B$53</f>
        <v>30000</v>
      </c>
      <c r="C10" s="11" t="s">
        <v>3</v>
      </c>
      <c r="D10" s="11" t="s">
        <v>463</v>
      </c>
      <c r="E10" s="1"/>
      <c r="F10" s="1" t="s">
        <v>464</v>
      </c>
      <c r="G10" s="1" t="s">
        <v>465</v>
      </c>
      <c r="H10" s="1" t="s">
        <v>466</v>
      </c>
    </row>
    <row r="11" spans="1:8" ht="28.5">
      <c r="A11" s="1" t="s">
        <v>467</v>
      </c>
      <c r="B11" s="11">
        <f>Assumptions!$B$54</f>
        <v>5960</v>
      </c>
      <c r="C11" s="11" t="s">
        <v>3</v>
      </c>
      <c r="D11" s="11" t="s">
        <v>468</v>
      </c>
      <c r="E11" s="1"/>
      <c r="F11" s="1" t="s">
        <v>469</v>
      </c>
      <c r="G11" s="1" t="s">
        <v>470</v>
      </c>
      <c r="H11" s="1" t="s">
        <v>471</v>
      </c>
    </row>
    <row r="12" spans="1:8" ht="28.5">
      <c r="A12" s="1" t="s">
        <v>472</v>
      </c>
      <c r="B12" s="11">
        <f>SUM('Monthly Operations'!B33:M33)</f>
        <v>126092.96999999999</v>
      </c>
      <c r="C12" s="11" t="s">
        <v>473</v>
      </c>
      <c r="D12" s="11" t="s">
        <v>474</v>
      </c>
      <c r="E12" s="1"/>
      <c r="F12" s="1" t="s">
        <v>475</v>
      </c>
      <c r="G12" s="1" t="s">
        <v>476</v>
      </c>
      <c r="H12" s="1" t="s">
        <v>477</v>
      </c>
    </row>
    <row r="13" spans="1:8" ht="30">
      <c r="A13" s="44" t="s">
        <v>478</v>
      </c>
      <c r="B13" s="45">
        <f>'Monthly Operations'!$Z$39</f>
        <v>2858319.4483695659</v>
      </c>
      <c r="C13" s="45" t="s">
        <v>473</v>
      </c>
      <c r="D13" s="45" t="s">
        <v>479</v>
      </c>
      <c r="E13" s="1"/>
      <c r="F13" s="1" t="s">
        <v>480</v>
      </c>
      <c r="G13" s="1" t="s">
        <v>481</v>
      </c>
      <c r="H13" s="1" t="s">
        <v>482</v>
      </c>
    </row>
    <row r="14" spans="1:8" ht="15">
      <c r="A14" s="67" t="s">
        <v>483</v>
      </c>
      <c r="B14" s="68">
        <f>SUM(B6:B13)</f>
        <v>4273205.5558695663</v>
      </c>
      <c r="C14" s="68" t="s">
        <v>484</v>
      </c>
      <c r="D14" s="68"/>
      <c r="E14" s="1"/>
      <c r="F14" s="1"/>
      <c r="G14" s="1"/>
      <c r="H14" s="1"/>
    </row>
    <row r="15" spans="1:8">
      <c r="A15" s="1" t="s">
        <v>134</v>
      </c>
      <c r="B15" s="11">
        <f>Assumptions!$B$64</f>
        <v>4500000</v>
      </c>
      <c r="C15" s="11" t="s">
        <v>3</v>
      </c>
      <c r="D15" s="11" t="s">
        <v>485</v>
      </c>
      <c r="E15" s="1"/>
      <c r="F15" s="1"/>
      <c r="G15" s="1"/>
      <c r="H15" s="1"/>
    </row>
    <row r="16" spans="1:8" ht="15">
      <c r="A16" s="69"/>
      <c r="B16" s="70"/>
      <c r="C16" s="70"/>
      <c r="D16" s="70"/>
      <c r="E16" s="1"/>
      <c r="F16" s="1"/>
      <c r="G16" s="1"/>
      <c r="H16" s="1"/>
    </row>
    <row r="17" spans="1:8" ht="15">
      <c r="A17" s="44" t="s">
        <v>134</v>
      </c>
      <c r="B17" s="45">
        <f>Assumptions!$B$64</f>
        <v>4500000</v>
      </c>
      <c r="C17" s="68"/>
      <c r="D17" s="68"/>
      <c r="E17" s="1"/>
      <c r="F17" s="1"/>
      <c r="G17" s="1"/>
      <c r="H17" s="1"/>
    </row>
    <row r="18" spans="1:8" ht="15">
      <c r="A18" s="67" t="s">
        <v>328</v>
      </c>
      <c r="B18" s="68">
        <f>B17*Assumptions!$B$48</f>
        <v>225000</v>
      </c>
      <c r="C18" s="68"/>
      <c r="D18" s="68"/>
      <c r="E18" s="1"/>
      <c r="F18" s="1"/>
      <c r="G18" s="1"/>
      <c r="H18" s="1"/>
    </row>
    <row r="19" spans="1:8" ht="15">
      <c r="A19" s="67" t="s">
        <v>486</v>
      </c>
      <c r="B19" s="68">
        <f>B17-B18</f>
        <v>4275000</v>
      </c>
      <c r="C19" s="68"/>
      <c r="D19" s="68"/>
      <c r="E19" s="1"/>
      <c r="F19" s="1"/>
      <c r="G19" s="1"/>
      <c r="H19" s="1"/>
    </row>
    <row r="20" spans="1:8">
      <c r="A20" s="1"/>
      <c r="B20" s="11"/>
      <c r="C20" s="11"/>
      <c r="D20" s="11"/>
      <c r="E20" s="1"/>
      <c r="F20" s="1"/>
      <c r="G20" s="1"/>
      <c r="H20" s="1"/>
    </row>
    <row r="21" spans="1:8" ht="15">
      <c r="A21" s="27" t="s">
        <v>487</v>
      </c>
      <c r="B21" s="29"/>
      <c r="C21" s="29"/>
      <c r="D21" s="29"/>
      <c r="E21" s="1"/>
      <c r="F21" s="1"/>
      <c r="G21" s="1"/>
      <c r="H21" s="1"/>
    </row>
    <row r="22" spans="1:8" ht="15">
      <c r="A22" s="17" t="s">
        <v>354</v>
      </c>
      <c r="B22" s="20" t="s">
        <v>488</v>
      </c>
      <c r="C22" s="20" t="s">
        <v>489</v>
      </c>
      <c r="D22" s="20" t="s">
        <v>490</v>
      </c>
      <c r="E22" s="1"/>
      <c r="F22" s="1"/>
      <c r="G22" s="1"/>
      <c r="H22" s="1"/>
    </row>
    <row r="23" spans="1:8">
      <c r="A23" s="1" t="s">
        <v>491</v>
      </c>
      <c r="B23" s="11">
        <f>Assumptions!$B$64</f>
        <v>4500000</v>
      </c>
      <c r="C23" s="11">
        <f>Assumptions!$B$64</f>
        <v>4500000</v>
      </c>
      <c r="D23" s="11">
        <f>Assumptions!$B$64</f>
        <v>4500000</v>
      </c>
      <c r="E23" s="1"/>
      <c r="F23" s="1"/>
      <c r="G23" s="1"/>
      <c r="H23" s="1"/>
    </row>
    <row r="24" spans="1:8">
      <c r="A24" s="1" t="s">
        <v>492</v>
      </c>
      <c r="B24" s="11">
        <f>B23*Assumptions!$B$56</f>
        <v>225000</v>
      </c>
      <c r="C24" s="11">
        <f>C23*Assumptions!$B$48</f>
        <v>225000</v>
      </c>
      <c r="D24" s="11">
        <f>D23*Assumptions!$B$57</f>
        <v>450000</v>
      </c>
      <c r="E24" s="1"/>
      <c r="F24" s="1"/>
      <c r="G24" s="1"/>
      <c r="H24" s="1"/>
    </row>
    <row r="25" spans="1:8">
      <c r="A25" s="1" t="s">
        <v>493</v>
      </c>
      <c r="B25" s="11">
        <f>B23-B24</f>
        <v>4275000</v>
      </c>
      <c r="C25" s="11">
        <f>C23-C24</f>
        <v>4275000</v>
      </c>
      <c r="D25" s="11">
        <f>D23-D24</f>
        <v>4050000</v>
      </c>
      <c r="E25" s="1"/>
      <c r="F25" s="1"/>
      <c r="G25" s="1"/>
      <c r="H25" s="1"/>
    </row>
    <row r="26" spans="1:8">
      <c r="A26" s="1"/>
      <c r="B26" s="11"/>
      <c r="C26" s="1"/>
      <c r="D26" s="1"/>
      <c r="E26" s="1"/>
      <c r="F26" s="1"/>
      <c r="G26" s="1"/>
      <c r="H26" s="1"/>
    </row>
    <row r="27" spans="1:8" ht="15">
      <c r="A27" s="27" t="s">
        <v>494</v>
      </c>
      <c r="B27" s="29"/>
      <c r="C27" s="27"/>
      <c r="D27" s="27"/>
      <c r="E27" s="1"/>
      <c r="F27" s="1"/>
      <c r="G27" s="1"/>
      <c r="H27" s="1"/>
    </row>
    <row r="28" spans="1:8" ht="15">
      <c r="A28" s="17" t="s">
        <v>354</v>
      </c>
      <c r="B28" s="20" t="s">
        <v>495</v>
      </c>
      <c r="C28" s="1"/>
      <c r="D28" s="1"/>
      <c r="E28" s="1"/>
      <c r="F28" s="1"/>
      <c r="G28" s="1"/>
      <c r="H28" s="1"/>
    </row>
    <row r="29" spans="1:8">
      <c r="A29" s="1" t="s">
        <v>496</v>
      </c>
      <c r="B29" s="11">
        <f>B17</f>
        <v>4500000</v>
      </c>
      <c r="C29" s="1"/>
      <c r="D29" s="1"/>
      <c r="E29" s="1"/>
      <c r="F29" s="1"/>
      <c r="G29" s="1"/>
      <c r="H29" s="1"/>
    </row>
    <row r="30" spans="1:8">
      <c r="A30" s="1" t="s">
        <v>497</v>
      </c>
      <c r="B30" s="11">
        <f>'Monthly Operations'!$Z$45</f>
        <v>9464752.4568230957</v>
      </c>
      <c r="C30" s="1"/>
      <c r="D30" s="1"/>
      <c r="E30" s="1"/>
      <c r="F30" s="1"/>
      <c r="G30" s="1"/>
      <c r="H30" s="1"/>
    </row>
    <row r="31" spans="1:8">
      <c r="A31" s="21" t="s">
        <v>498</v>
      </c>
      <c r="B31" s="62">
        <f>1000000</f>
        <v>1000000</v>
      </c>
      <c r="C31" s="1"/>
      <c r="D31" s="1"/>
      <c r="E31" s="1"/>
      <c r="F31" s="1"/>
      <c r="G31" s="1"/>
      <c r="H31" s="1"/>
    </row>
    <row r="32" spans="1:8">
      <c r="A32" s="21" t="s">
        <v>499</v>
      </c>
      <c r="B32" s="62">
        <f>MAX(0,B30-B31)</f>
        <v>8464752.4568230957</v>
      </c>
      <c r="C32" s="1"/>
      <c r="D32" s="1"/>
      <c r="E32" s="1"/>
      <c r="F32" s="1"/>
      <c r="G32" s="1"/>
      <c r="H32" s="1"/>
    </row>
    <row r="33" spans="1:8">
      <c r="A33" s="21" t="s">
        <v>500</v>
      </c>
      <c r="B33" s="62">
        <f>MIN(B29,B32)</f>
        <v>4500000</v>
      </c>
      <c r="C33" s="1"/>
      <c r="D33" s="1"/>
      <c r="E33" s="1"/>
      <c r="F33" s="1"/>
      <c r="G33" s="1"/>
      <c r="H33" s="1"/>
    </row>
    <row r="34" spans="1:8">
      <c r="A34" s="21" t="s">
        <v>501</v>
      </c>
      <c r="B34" s="62">
        <f>MAX(0,B32-B33)</f>
        <v>3964752.4568230957</v>
      </c>
      <c r="C34" s="1"/>
      <c r="D34" s="1"/>
      <c r="E34" s="1"/>
      <c r="F34" s="1"/>
      <c r="G34" s="1"/>
      <c r="H34" s="1"/>
    </row>
    <row r="35" spans="1:8">
      <c r="A35" s="1" t="s">
        <v>502</v>
      </c>
      <c r="B35" s="11">
        <f>MIN(B34,B29*0.7/0.9)*0.9+MIN(MAX(B34-B29*0.7/0.9,0),B29*0.3/0.8)*0.8+MIN(MAX(B34-B29*0.7/0.9-B29*0.3/0.8,0),B29*0.25/0.75)*0.75+MAX(B34-B29*0.7/0.9-B29*0.3/0.8-B29*0.25/0.75,0)*0.7</f>
        <v>3521801.9654584765</v>
      </c>
      <c r="C35" s="1"/>
      <c r="D35" s="1"/>
      <c r="E35" s="1"/>
      <c r="F35" s="1"/>
      <c r="G35" s="1"/>
      <c r="H35" s="1"/>
    </row>
    <row r="36" spans="1:8">
      <c r="A36" s="1" t="s">
        <v>167</v>
      </c>
      <c r="B36" s="11">
        <f>B34-B35</f>
        <v>442950.49136461923</v>
      </c>
      <c r="C36" s="1"/>
      <c r="D36" s="1"/>
      <c r="E36" s="1"/>
      <c r="F36" s="1"/>
      <c r="G36" s="1"/>
      <c r="H36" s="1"/>
    </row>
    <row r="37" spans="1:8">
      <c r="A37" s="21" t="s">
        <v>503</v>
      </c>
      <c r="B37" s="62">
        <f>B33+B35</f>
        <v>8021801.9654584769</v>
      </c>
      <c r="C37" s="1"/>
      <c r="D37" s="1"/>
      <c r="E37" s="1"/>
      <c r="F37" s="1"/>
      <c r="G37" s="1"/>
      <c r="H37" s="1"/>
    </row>
    <row r="38" spans="1:8">
      <c r="A38" s="21" t="s">
        <v>392</v>
      </c>
      <c r="B38" s="63">
        <f>(B37-B29)/B29</f>
        <v>0.78262265899077266</v>
      </c>
      <c r="C38" s="1"/>
      <c r="D38" s="1"/>
      <c r="E38" s="1"/>
      <c r="F38" s="1"/>
      <c r="G38" s="1"/>
      <c r="H38" s="1"/>
    </row>
    <row r="39" spans="1:8">
      <c r="A39" s="21" t="s">
        <v>393</v>
      </c>
      <c r="B39" s="64">
        <f>B37/B29</f>
        <v>1.7826226589907725</v>
      </c>
      <c r="C39" s="1"/>
      <c r="D39" s="1"/>
      <c r="E39" s="1"/>
      <c r="F39" s="1"/>
      <c r="G39" s="1"/>
      <c r="H39" s="1"/>
    </row>
    <row r="40" spans="1:8">
      <c r="A40" s="21" t="s">
        <v>395</v>
      </c>
      <c r="B40" s="63">
        <f>IFERROR((1+IRR('Capital Raise Schedule'!$B$14:$Y$14))^12-1,0)</f>
        <v>0.39113126092924366</v>
      </c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 ht="15">
      <c r="A42" s="27"/>
      <c r="B42" s="27"/>
      <c r="C42" s="27"/>
      <c r="D42" s="27"/>
      <c r="E42" s="1"/>
      <c r="F42" s="1"/>
      <c r="G42" s="1"/>
      <c r="H42" s="1"/>
    </row>
    <row r="43" spans="1:8" ht="15">
      <c r="A43" s="27" t="s">
        <v>504</v>
      </c>
      <c r="B43" s="29"/>
      <c r="C43" s="27"/>
      <c r="D43" s="27"/>
      <c r="E43" s="1"/>
      <c r="F43" s="1"/>
      <c r="G43" s="1"/>
      <c r="H43" s="1"/>
    </row>
    <row r="44" spans="1:8" ht="15">
      <c r="A44" s="17" t="s">
        <v>505</v>
      </c>
      <c r="B44" s="22" t="s">
        <v>506</v>
      </c>
      <c r="C44" s="17" t="s">
        <v>167</v>
      </c>
      <c r="D44" s="17" t="s">
        <v>507</v>
      </c>
      <c r="E44" s="1"/>
      <c r="F44" s="1"/>
      <c r="G44" s="1"/>
      <c r="H44" s="1"/>
    </row>
    <row r="45" spans="1:8">
      <c r="A45" s="1" t="s">
        <v>508</v>
      </c>
      <c r="B45" s="7">
        <v>0.9</v>
      </c>
      <c r="C45" s="7">
        <v>0.1</v>
      </c>
      <c r="D45" s="1" t="s">
        <v>509</v>
      </c>
      <c r="E45" s="1"/>
      <c r="F45" s="1"/>
      <c r="G45" s="1"/>
      <c r="H45" s="1"/>
    </row>
    <row r="46" spans="1:8">
      <c r="A46" s="1" t="s">
        <v>510</v>
      </c>
      <c r="B46" s="7">
        <v>0.8</v>
      </c>
      <c r="C46" s="7">
        <v>0.2</v>
      </c>
      <c r="D46" s="1" t="s">
        <v>511</v>
      </c>
      <c r="E46" s="1"/>
      <c r="F46" s="1"/>
      <c r="G46" s="1"/>
      <c r="H46" s="1"/>
    </row>
    <row r="47" spans="1:8">
      <c r="A47" s="1" t="s">
        <v>512</v>
      </c>
      <c r="B47" s="7">
        <v>0.75</v>
      </c>
      <c r="C47" s="7">
        <v>0.25</v>
      </c>
      <c r="D47" s="1" t="s">
        <v>511</v>
      </c>
      <c r="E47" s="1"/>
      <c r="F47" s="1"/>
      <c r="G47" s="1"/>
      <c r="H47" s="1"/>
    </row>
    <row r="48" spans="1:8">
      <c r="A48" s="1" t="s">
        <v>513</v>
      </c>
      <c r="B48" s="7">
        <v>0.7</v>
      </c>
      <c r="C48" s="7">
        <v>0.3</v>
      </c>
      <c r="D48" s="1" t="s">
        <v>514</v>
      </c>
      <c r="E48" s="1"/>
      <c r="F48" s="1"/>
      <c r="G48" s="1"/>
      <c r="H48" s="1"/>
    </row>
    <row r="49" spans="1:8">
      <c r="A49" s="1"/>
      <c r="B49" s="11"/>
      <c r="C49" s="1"/>
      <c r="D49" s="1"/>
      <c r="E49" s="1"/>
      <c r="F49" s="1"/>
      <c r="G49" s="1"/>
      <c r="H49" s="1"/>
    </row>
    <row r="50" spans="1:8">
      <c r="A50" s="1"/>
      <c r="B50" s="11"/>
      <c r="C50" s="1"/>
      <c r="D50" s="1"/>
      <c r="E50" s="1"/>
      <c r="F50" s="1"/>
      <c r="G50" s="1"/>
      <c r="H50" s="1"/>
    </row>
    <row r="51" spans="1:8" ht="15">
      <c r="A51" s="27" t="s">
        <v>515</v>
      </c>
      <c r="B51" s="29"/>
      <c r="C51" s="27"/>
      <c r="D51" s="27"/>
      <c r="E51" s="1"/>
      <c r="F51" s="1"/>
      <c r="G51" s="1"/>
      <c r="H51" s="1"/>
    </row>
    <row r="52" spans="1:8">
      <c r="A52" s="1" t="s">
        <v>516</v>
      </c>
      <c r="B52" s="11">
        <f>Assumptions!$B$60</f>
        <v>0</v>
      </c>
      <c r="C52" s="1"/>
      <c r="D52" s="1"/>
      <c r="E52" s="1"/>
      <c r="F52" s="1"/>
      <c r="G52" s="1"/>
      <c r="H52" s="1"/>
    </row>
    <row r="53" spans="1:8">
      <c r="A53" s="1" t="s">
        <v>121</v>
      </c>
      <c r="B53" s="10">
        <f>Assumptions!$B$58</f>
        <v>4</v>
      </c>
      <c r="C53" s="1"/>
      <c r="D53" s="1"/>
      <c r="E53" s="1"/>
      <c r="F53" s="1"/>
      <c r="G53" s="1"/>
      <c r="H53" s="1"/>
    </row>
    <row r="54" spans="1:8">
      <c r="A54" s="1" t="s">
        <v>517</v>
      </c>
      <c r="B54" s="13">
        <f>Assumptions!$B$7</f>
        <v>46296</v>
      </c>
      <c r="C54" s="1"/>
      <c r="D54" s="1"/>
      <c r="E54" s="1"/>
      <c r="F54" s="1"/>
      <c r="G54" s="1"/>
      <c r="H54" s="1"/>
    </row>
    <row r="55" spans="1:8">
      <c r="A55" s="1" t="s">
        <v>518</v>
      </c>
      <c r="B55" s="11">
        <f>B17</f>
        <v>4500000</v>
      </c>
      <c r="C55" s="1"/>
      <c r="D55" s="1"/>
      <c r="E55" s="1"/>
      <c r="F55" s="1"/>
      <c r="G55" s="1"/>
      <c r="H55" s="1"/>
    </row>
    <row r="56" spans="1:8">
      <c r="A56" s="1" t="s">
        <v>519</v>
      </c>
      <c r="B56" s="11">
        <f>B18</f>
        <v>225000</v>
      </c>
      <c r="C56" s="1"/>
      <c r="D56" s="1"/>
      <c r="E56" s="1"/>
      <c r="F56" s="1"/>
      <c r="G56" s="1"/>
      <c r="H56" s="1"/>
    </row>
    <row r="57" spans="1:8">
      <c r="A57" s="1" t="s">
        <v>420</v>
      </c>
      <c r="B57" s="11">
        <f>B19</f>
        <v>4275000</v>
      </c>
      <c r="C57" s="1"/>
      <c r="D57" s="1"/>
      <c r="E57" s="1"/>
      <c r="F57" s="1"/>
      <c r="G57" s="1"/>
      <c r="H57" s="1"/>
    </row>
    <row r="58" spans="1:8">
      <c r="A58" s="1" t="s">
        <v>520</v>
      </c>
      <c r="B58" s="11">
        <f>Assumptions!$B$67</f>
        <v>3000000</v>
      </c>
      <c r="C58" s="1"/>
      <c r="D58" s="1"/>
      <c r="E58" s="1"/>
      <c r="F58" s="1"/>
      <c r="G58" s="1"/>
      <c r="H58" s="1"/>
    </row>
    <row r="59" spans="1:8">
      <c r="A59" s="1" t="s">
        <v>521</v>
      </c>
      <c r="B59" s="11">
        <f>'Monthly Operations'!$Z$39</f>
        <v>2858319.4483695659</v>
      </c>
      <c r="C59" s="1"/>
      <c r="D59" s="1"/>
      <c r="E59" s="1"/>
      <c r="F59" s="1"/>
      <c r="G59" s="1"/>
      <c r="H59" s="1"/>
    </row>
    <row r="60" spans="1:8">
      <c r="A60" s="1" t="s">
        <v>365</v>
      </c>
      <c r="B60" s="11">
        <f>'Land Seller Financing'!$B$22</f>
        <v>141680.55163043411</v>
      </c>
      <c r="C60" s="1"/>
      <c r="D60" s="1"/>
      <c r="E60" s="1"/>
      <c r="F60" s="1"/>
      <c r="G60" s="1"/>
      <c r="H60" s="1"/>
    </row>
    <row r="61" spans="1:8">
      <c r="A61" s="1" t="s">
        <v>522</v>
      </c>
      <c r="B61" s="11">
        <f>'Monthly Operations'!$Z$43</f>
        <v>141680.55163043411</v>
      </c>
      <c r="C61" s="1"/>
      <c r="D61" s="1"/>
      <c r="E61" s="1"/>
      <c r="F61" s="1"/>
      <c r="G61" s="1"/>
      <c r="H61" s="1"/>
    </row>
    <row r="62" spans="1:8">
      <c r="A62" s="1" t="s">
        <v>346</v>
      </c>
      <c r="B62" s="11">
        <f>'Monthly Operations'!$Z$50</f>
        <v>0</v>
      </c>
      <c r="C62" s="1"/>
      <c r="D62" s="1"/>
      <c r="E62" s="1"/>
      <c r="F62" s="1"/>
      <c r="G62" s="1"/>
      <c r="H62" s="1"/>
    </row>
    <row r="63" spans="1:8">
      <c r="A63" s="1" t="s">
        <v>419</v>
      </c>
      <c r="B63" s="10">
        <f>Assumptions!$B$66</f>
        <v>1</v>
      </c>
      <c r="C63" s="1"/>
      <c r="D63" s="1"/>
      <c r="E63" s="1"/>
      <c r="F63" s="1"/>
      <c r="G63" s="1"/>
      <c r="H63" s="1"/>
    </row>
  </sheetData>
  <mergeCells count="10">
    <mergeCell ref="A27:D27"/>
    <mergeCell ref="A42:D42"/>
    <mergeCell ref="A43:D43"/>
    <mergeCell ref="A51:D51"/>
    <mergeCell ref="A1:H1"/>
    <mergeCell ref="A2:H2"/>
    <mergeCell ref="A4:D4"/>
    <mergeCell ref="A16:D16"/>
    <mergeCell ref="A21:D21"/>
    <mergeCell ref="F4:H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1"/>
  <sheetViews>
    <sheetView workbookViewId="0"/>
  </sheetViews>
  <sheetFormatPr defaultRowHeight="14.25"/>
  <cols>
    <col min="1" max="1" width="35" customWidth="1"/>
    <col min="2" max="2" width="30" customWidth="1"/>
    <col min="3" max="3" width="24" customWidth="1"/>
    <col min="4" max="4" width="31" customWidth="1"/>
    <col min="5" max="5" width="43" customWidth="1"/>
    <col min="6" max="8" width="14" customWidth="1"/>
  </cols>
  <sheetData>
    <row r="1" spans="1:8" ht="19.5">
      <c r="A1" s="25" t="s">
        <v>523</v>
      </c>
      <c r="B1" s="25"/>
      <c r="C1" s="25"/>
      <c r="D1" s="25"/>
      <c r="E1" s="25"/>
      <c r="F1" s="25"/>
      <c r="G1" s="25"/>
      <c r="H1" s="25"/>
    </row>
    <row r="2" spans="1:8">
      <c r="A2" s="26" t="s">
        <v>524</v>
      </c>
      <c r="B2" s="26"/>
      <c r="C2" s="26"/>
      <c r="D2" s="26"/>
      <c r="E2" s="26"/>
      <c r="F2" s="26"/>
      <c r="G2" s="26"/>
      <c r="H2" s="26"/>
    </row>
    <row r="3" spans="1:8">
      <c r="A3" s="1"/>
      <c r="B3" s="1"/>
      <c r="C3" s="1"/>
      <c r="D3" s="1"/>
      <c r="E3" s="1"/>
      <c r="F3" s="1"/>
      <c r="G3" s="1"/>
      <c r="H3" s="1"/>
    </row>
    <row r="4" spans="1:8" ht="15">
      <c r="A4" s="27" t="s">
        <v>525</v>
      </c>
      <c r="B4" s="27"/>
      <c r="C4" s="27"/>
      <c r="D4" s="27"/>
      <c r="E4" s="27"/>
      <c r="F4" s="27"/>
      <c r="G4" s="27"/>
      <c r="H4" s="27"/>
    </row>
    <row r="5" spans="1:8" ht="15">
      <c r="A5" s="17" t="s">
        <v>526</v>
      </c>
      <c r="B5" s="17" t="s">
        <v>527</v>
      </c>
      <c r="C5" s="17" t="s">
        <v>528</v>
      </c>
      <c r="D5" s="17" t="s">
        <v>529</v>
      </c>
      <c r="E5" s="1"/>
      <c r="F5" s="1"/>
      <c r="G5" s="1"/>
      <c r="H5" s="1"/>
    </row>
    <row r="6" spans="1:8" ht="28.5">
      <c r="A6" s="1" t="s">
        <v>530</v>
      </c>
      <c r="B6" s="1" t="s">
        <v>531</v>
      </c>
      <c r="C6" s="1" t="s">
        <v>532</v>
      </c>
      <c r="D6" s="1" t="s">
        <v>533</v>
      </c>
      <c r="E6" s="1"/>
      <c r="F6" s="1"/>
      <c r="G6" s="1"/>
      <c r="H6" s="1"/>
    </row>
    <row r="7" spans="1:8" ht="28.5">
      <c r="A7" s="1" t="s">
        <v>534</v>
      </c>
      <c r="B7" s="1" t="s">
        <v>535</v>
      </c>
      <c r="C7" s="1" t="s">
        <v>536</v>
      </c>
      <c r="D7" s="1" t="s">
        <v>537</v>
      </c>
      <c r="E7" s="1"/>
      <c r="F7" s="1"/>
      <c r="G7" s="1"/>
      <c r="H7" s="1"/>
    </row>
    <row r="8" spans="1:8" ht="42.75">
      <c r="A8" s="1" t="s">
        <v>538</v>
      </c>
      <c r="B8" s="1" t="s">
        <v>539</v>
      </c>
      <c r="C8" s="1" t="s">
        <v>540</v>
      </c>
      <c r="D8" s="1" t="s">
        <v>541</v>
      </c>
      <c r="E8" s="1"/>
      <c r="F8" s="1"/>
      <c r="G8" s="1"/>
      <c r="H8" s="1"/>
    </row>
    <row r="9" spans="1:8" ht="57">
      <c r="A9" s="1" t="s">
        <v>137</v>
      </c>
      <c r="B9" s="1" t="s">
        <v>542</v>
      </c>
      <c r="C9" s="1" t="s">
        <v>543</v>
      </c>
      <c r="D9" s="1" t="s">
        <v>544</v>
      </c>
      <c r="E9" s="1"/>
      <c r="F9" s="1"/>
      <c r="G9" s="1"/>
      <c r="H9" s="1"/>
    </row>
    <row r="10" spans="1:8" ht="28.5">
      <c r="A10" s="1" t="s">
        <v>545</v>
      </c>
      <c r="B10" s="1" t="s">
        <v>546</v>
      </c>
      <c r="C10" s="1" t="s">
        <v>547</v>
      </c>
      <c r="D10" s="1" t="s">
        <v>548</v>
      </c>
      <c r="E10" s="1"/>
      <c r="F10" s="1"/>
      <c r="G10" s="1"/>
      <c r="H10" s="1"/>
    </row>
    <row r="11" spans="1:8" ht="28.5">
      <c r="A11" s="1" t="s">
        <v>549</v>
      </c>
      <c r="B11" s="1" t="s">
        <v>550</v>
      </c>
      <c r="C11" s="1" t="s">
        <v>551</v>
      </c>
      <c r="D11" s="1" t="s">
        <v>552</v>
      </c>
      <c r="E11" s="1"/>
      <c r="F11" s="1"/>
      <c r="G11" s="1"/>
      <c r="H11" s="1"/>
    </row>
    <row r="12" spans="1:8" ht="28.5">
      <c r="A12" s="1" t="s">
        <v>553</v>
      </c>
      <c r="B12" s="1" t="s">
        <v>554</v>
      </c>
      <c r="C12" s="1" t="s">
        <v>555</v>
      </c>
      <c r="D12" s="1" t="s">
        <v>556</v>
      </c>
      <c r="E12" s="1"/>
      <c r="F12" s="1"/>
      <c r="G12" s="1"/>
      <c r="H12" s="1"/>
    </row>
    <row r="13" spans="1:8" ht="15">
      <c r="A13" s="27"/>
      <c r="B13" s="27"/>
      <c r="C13" s="27"/>
      <c r="D13" s="27"/>
      <c r="E13" s="27"/>
      <c r="F13" s="27"/>
      <c r="G13" s="27"/>
      <c r="H13" s="27"/>
    </row>
    <row r="14" spans="1:8" ht="15">
      <c r="A14" s="27" t="s">
        <v>557</v>
      </c>
      <c r="B14" s="27"/>
      <c r="C14" s="27"/>
      <c r="D14" s="27"/>
      <c r="E14" s="27"/>
      <c r="F14" s="27"/>
      <c r="G14" s="27"/>
      <c r="H14" s="27"/>
    </row>
    <row r="15" spans="1:8" ht="15">
      <c r="A15" s="17" t="s">
        <v>558</v>
      </c>
      <c r="B15" s="17" t="s">
        <v>559</v>
      </c>
      <c r="C15" s="71" t="s">
        <v>560</v>
      </c>
      <c r="D15" s="20" t="s">
        <v>561</v>
      </c>
      <c r="E15" s="17" t="s">
        <v>562</v>
      </c>
      <c r="F15" s="1"/>
      <c r="G15" s="1"/>
      <c r="H15" s="1"/>
    </row>
    <row r="16" spans="1:8" ht="42.75">
      <c r="A16" s="1" t="s">
        <v>563</v>
      </c>
      <c r="B16" s="11">
        <v>4000000</v>
      </c>
      <c r="C16" s="7" t="s">
        <v>564</v>
      </c>
      <c r="D16" s="11" t="s">
        <v>565</v>
      </c>
      <c r="E16" s="1" t="s">
        <v>566</v>
      </c>
      <c r="F16" s="1"/>
      <c r="G16" s="1"/>
      <c r="H16" s="1"/>
    </row>
    <row r="17" spans="1:8" ht="28.5">
      <c r="A17" s="1" t="s">
        <v>567</v>
      </c>
      <c r="B17" s="10">
        <f>Assumptions!$B$66</f>
        <v>1</v>
      </c>
      <c r="C17" s="7" t="s">
        <v>568</v>
      </c>
      <c r="D17" s="11" t="s">
        <v>569</v>
      </c>
      <c r="E17" s="1" t="s">
        <v>570</v>
      </c>
      <c r="F17" s="1"/>
      <c r="G17" s="1"/>
      <c r="H17" s="1"/>
    </row>
    <row r="18" spans="1:8" ht="28.5">
      <c r="A18" s="1" t="s">
        <v>571</v>
      </c>
      <c r="B18" s="7">
        <v>0.01</v>
      </c>
      <c r="C18" s="7" t="s">
        <v>572</v>
      </c>
      <c r="D18" s="11" t="s">
        <v>573</v>
      </c>
      <c r="E18" s="1" t="s">
        <v>574</v>
      </c>
      <c r="F18" s="1"/>
      <c r="G18" s="1"/>
      <c r="H18" s="1"/>
    </row>
    <row r="19" spans="1:8" ht="42.75">
      <c r="A19" s="1" t="s">
        <v>575</v>
      </c>
      <c r="B19" s="11">
        <f>'Monthly Operations'!$Z$39</f>
        <v>2858319.4483695659</v>
      </c>
      <c r="C19" s="7" t="s">
        <v>576</v>
      </c>
      <c r="D19" s="11" t="s">
        <v>577</v>
      </c>
      <c r="E19" s="1" t="s">
        <v>578</v>
      </c>
      <c r="F19" s="1"/>
      <c r="G19" s="1"/>
      <c r="H19" s="1"/>
    </row>
    <row r="20" spans="1:8">
      <c r="A20" s="1" t="s">
        <v>579</v>
      </c>
      <c r="B20" s="11">
        <f>'Land Seller Financing'!$B$22</f>
        <v>141680.55163043411</v>
      </c>
      <c r="C20" s="11" t="s">
        <v>580</v>
      </c>
      <c r="D20" s="11" t="s">
        <v>581</v>
      </c>
      <c r="E20" s="1" t="s">
        <v>582</v>
      </c>
      <c r="F20" s="1"/>
      <c r="G20" s="1"/>
      <c r="H20" s="1"/>
    </row>
    <row r="21" spans="1:8">
      <c r="A21" s="1" t="s">
        <v>583</v>
      </c>
      <c r="B21" s="11">
        <f>'Monthly Operations'!$Z$43</f>
        <v>141680.55163043411</v>
      </c>
      <c r="C21" s="7" t="s">
        <v>584</v>
      </c>
      <c r="D21" s="11" t="s">
        <v>585</v>
      </c>
      <c r="E21" s="1" t="s">
        <v>586</v>
      </c>
      <c r="F21" s="1"/>
      <c r="G21" s="1"/>
      <c r="H21" s="1"/>
    </row>
    <row r="22" spans="1:8">
      <c r="A22" s="1" t="s">
        <v>587</v>
      </c>
      <c r="B22" s="1" t="s">
        <v>588</v>
      </c>
      <c r="C22" s="11" t="s">
        <v>589</v>
      </c>
      <c r="D22" s="11" t="s">
        <v>590</v>
      </c>
      <c r="E22" s="1" t="s">
        <v>591</v>
      </c>
      <c r="F22" s="1"/>
      <c r="G22" s="1"/>
      <c r="H22" s="1"/>
    </row>
    <row r="23" spans="1:8">
      <c r="A23" s="1" t="s">
        <v>592</v>
      </c>
      <c r="B23" s="11">
        <f>Assumptions!$B$69</f>
        <v>0</v>
      </c>
      <c r="C23" s="11" t="s">
        <v>568</v>
      </c>
      <c r="D23" s="11" t="s">
        <v>593</v>
      </c>
      <c r="E23" s="1" t="s">
        <v>594</v>
      </c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 ht="15">
      <c r="A25" s="27" t="s">
        <v>595</v>
      </c>
      <c r="B25" s="27"/>
      <c r="C25" s="27"/>
      <c r="D25" s="27"/>
      <c r="E25" s="27"/>
      <c r="F25" s="27"/>
      <c r="G25" s="27"/>
      <c r="H25" s="27"/>
    </row>
    <row r="26" spans="1:8" ht="15">
      <c r="A26" s="17" t="s">
        <v>596</v>
      </c>
      <c r="B26" s="17" t="s">
        <v>436</v>
      </c>
      <c r="C26" s="17" t="s">
        <v>597</v>
      </c>
      <c r="D26" s="17" t="s">
        <v>598</v>
      </c>
      <c r="E26" s="17" t="s">
        <v>599</v>
      </c>
      <c r="F26" s="1"/>
      <c r="G26" s="1"/>
      <c r="H26" s="1"/>
    </row>
    <row r="27" spans="1:8">
      <c r="A27" s="1" t="s">
        <v>65</v>
      </c>
      <c r="B27" s="1" t="s">
        <v>600</v>
      </c>
      <c r="C27" s="7">
        <f>Assumptions!$B$32</f>
        <v>0.05</v>
      </c>
      <c r="D27" s="11">
        <f>'Project Cost'!$B$41</f>
        <v>395487.875</v>
      </c>
      <c r="E27" s="1" t="s">
        <v>601</v>
      </c>
      <c r="F27" s="1"/>
      <c r="G27" s="1"/>
      <c r="H27" s="1"/>
    </row>
    <row r="28" spans="1:8">
      <c r="A28" s="1" t="s">
        <v>84</v>
      </c>
      <c r="B28" s="1" t="s">
        <v>600</v>
      </c>
      <c r="C28" s="7">
        <f>Assumptions!$B$39</f>
        <v>0.02</v>
      </c>
      <c r="D28" s="11">
        <f>'Project Cost'!$B$43</f>
        <v>158195.15</v>
      </c>
      <c r="E28" s="1" t="s">
        <v>602</v>
      </c>
      <c r="F28" s="1"/>
      <c r="G28" s="1"/>
      <c r="H28" s="1"/>
    </row>
    <row r="29" spans="1:8">
      <c r="A29" s="1" t="s">
        <v>603</v>
      </c>
      <c r="B29" s="1" t="s">
        <v>604</v>
      </c>
      <c r="C29" s="7">
        <f>'PPM Equity Raise'!$B$33</f>
        <v>4500000</v>
      </c>
      <c r="D29" s="11">
        <f>'PPM Equity Raise'!$B$35</f>
        <v>3521801.9654584765</v>
      </c>
      <c r="E29" s="1" t="s">
        <v>605</v>
      </c>
      <c r="F29" s="1"/>
      <c r="G29" s="1"/>
      <c r="H29" s="1"/>
    </row>
    <row r="30" spans="1:8">
      <c r="A30" s="1" t="s">
        <v>606</v>
      </c>
      <c r="B30" s="1" t="s">
        <v>604</v>
      </c>
      <c r="C30" s="7">
        <f>'PPM Equity Raise'!$B$34</f>
        <v>3964752.4568230957</v>
      </c>
      <c r="D30" s="11">
        <f>'PPM Equity Raise'!$B$36</f>
        <v>442950.49136461923</v>
      </c>
      <c r="E30" s="1" t="s">
        <v>545</v>
      </c>
      <c r="F30" s="1"/>
      <c r="G30" s="1"/>
      <c r="H30" s="1"/>
    </row>
    <row r="31" spans="1:8">
      <c r="A31" s="30" t="s">
        <v>331</v>
      </c>
      <c r="B31" s="30" t="s">
        <v>607</v>
      </c>
      <c r="C31" s="31">
        <f>Assumptions!$B$25</f>
        <v>0.05</v>
      </c>
      <c r="D31" s="32">
        <f>Assumptions!$B$19*Assumptions!$B$25</f>
        <v>1039500</v>
      </c>
      <c r="E31" s="30" t="s">
        <v>608</v>
      </c>
      <c r="F31" s="30"/>
      <c r="G31" s="30"/>
      <c r="H31" s="30"/>
    </row>
    <row r="32" spans="1:8">
      <c r="A32" s="30" t="s">
        <v>259</v>
      </c>
      <c r="B32" s="30" t="s">
        <v>609</v>
      </c>
      <c r="C32" s="32">
        <f>'Project Cost'!$B$42</f>
        <v>0</v>
      </c>
      <c r="D32" s="32">
        <f>'Project Cost'!$B$42</f>
        <v>0</v>
      </c>
      <c r="E32" s="30" t="s">
        <v>610</v>
      </c>
      <c r="F32" s="30"/>
      <c r="G32" s="30"/>
      <c r="H32" s="30"/>
    </row>
    <row r="33" spans="1:8">
      <c r="A33" s="30" t="s">
        <v>328</v>
      </c>
      <c r="B33" s="30" t="s">
        <v>611</v>
      </c>
      <c r="C33" s="31">
        <f>Assumptions!$B$48</f>
        <v>0.05</v>
      </c>
      <c r="D33" s="32">
        <f>'PPM Equity Raise'!$B$18</f>
        <v>225000</v>
      </c>
      <c r="E33" s="30" t="s">
        <v>612</v>
      </c>
      <c r="F33" s="30"/>
      <c r="G33" s="30"/>
      <c r="H33" s="30"/>
    </row>
    <row r="34" spans="1:8">
      <c r="A34" s="72" t="s">
        <v>613</v>
      </c>
      <c r="B34" s="72" t="s">
        <v>614</v>
      </c>
      <c r="C34" s="73">
        <f>Assumptions!$B$52</f>
        <v>19080</v>
      </c>
      <c r="D34" s="73">
        <f>Assumptions!$B$52</f>
        <v>19080</v>
      </c>
      <c r="E34" s="72" t="s">
        <v>615</v>
      </c>
      <c r="F34" s="72"/>
      <c r="G34" s="72"/>
      <c r="H34" s="72"/>
    </row>
    <row r="35" spans="1:8">
      <c r="A35" s="72" t="s">
        <v>616</v>
      </c>
      <c r="B35" s="72" t="s">
        <v>614</v>
      </c>
      <c r="C35" s="73">
        <f>Assumptions!$B$53+Assumptions!$B$54</f>
        <v>35960</v>
      </c>
      <c r="D35" s="73">
        <f>Assumptions!$B$53+Assumptions!$B$54</f>
        <v>35960</v>
      </c>
      <c r="E35" s="72" t="s">
        <v>617</v>
      </c>
      <c r="F35" s="72"/>
      <c r="G35" s="72"/>
      <c r="H35" s="72"/>
    </row>
    <row r="36" spans="1:8">
      <c r="A36" s="72"/>
      <c r="B36" s="72"/>
      <c r="C36" s="72"/>
      <c r="D36" s="72"/>
      <c r="E36" s="72"/>
      <c r="F36" s="72"/>
      <c r="G36" s="72"/>
      <c r="H36" s="72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74" t="s">
        <v>618</v>
      </c>
      <c r="B38" s="74"/>
      <c r="C38" s="74"/>
      <c r="D38" s="74"/>
      <c r="E38" s="74"/>
      <c r="F38" s="74"/>
      <c r="G38" s="74"/>
      <c r="H38" s="74"/>
    </row>
    <row r="39" spans="1:8">
      <c r="A39" s="74"/>
      <c r="B39" s="74"/>
      <c r="C39" s="74"/>
      <c r="D39" s="74"/>
      <c r="E39" s="74"/>
      <c r="F39" s="74"/>
      <c r="G39" s="74"/>
      <c r="H39" s="74"/>
    </row>
    <row r="40" spans="1:8" ht="15">
      <c r="A40" s="67"/>
      <c r="B40" s="67"/>
      <c r="C40" s="67"/>
      <c r="D40" s="67"/>
      <c r="E40" s="67"/>
      <c r="F40" s="67"/>
      <c r="G40" s="67"/>
      <c r="H40" s="67"/>
    </row>
    <row r="41" spans="1:8" ht="15">
      <c r="A41" s="67"/>
      <c r="B41" s="67"/>
      <c r="C41" s="67"/>
      <c r="D41" s="67"/>
      <c r="E41" s="67"/>
      <c r="F41" s="67"/>
      <c r="G41" s="67"/>
      <c r="H41" s="67"/>
    </row>
  </sheetData>
  <mergeCells count="9">
    <mergeCell ref="A31:H33"/>
    <mergeCell ref="A34:H36"/>
    <mergeCell ref="A38:H39"/>
    <mergeCell ref="A14:H14"/>
    <mergeCell ref="A1:H1"/>
    <mergeCell ref="A2:H2"/>
    <mergeCell ref="A4:H4"/>
    <mergeCell ref="A13:H13"/>
    <mergeCell ref="A25:H2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4"/>
  <sheetViews>
    <sheetView workbookViewId="0"/>
  </sheetViews>
  <sheetFormatPr defaultRowHeight="14.25"/>
  <cols>
    <col min="1" max="1" width="34" customWidth="1"/>
    <col min="2" max="26" width="12" customWidth="1"/>
  </cols>
  <sheetData>
    <row r="1" spans="1:26" ht="19.5">
      <c r="A1" s="25" t="s">
        <v>619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>
      <c r="A2" s="26" t="s">
        <v>620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>
      <c r="A4" s="17" t="s">
        <v>268</v>
      </c>
      <c r="B4" s="17">
        <v>1</v>
      </c>
      <c r="C4" s="17">
        <v>2</v>
      </c>
      <c r="D4" s="17">
        <v>3</v>
      </c>
      <c r="E4" s="17">
        <v>4</v>
      </c>
      <c r="F4" s="17">
        <v>5</v>
      </c>
      <c r="G4" s="17">
        <v>6</v>
      </c>
      <c r="H4" s="17">
        <v>7</v>
      </c>
      <c r="I4" s="17">
        <v>8</v>
      </c>
      <c r="J4" s="17">
        <v>9</v>
      </c>
      <c r="K4" s="17">
        <v>10</v>
      </c>
      <c r="L4" s="17">
        <v>11</v>
      </c>
      <c r="M4" s="17">
        <v>12</v>
      </c>
      <c r="N4" s="17">
        <v>13</v>
      </c>
      <c r="O4" s="17">
        <v>14</v>
      </c>
      <c r="P4" s="17">
        <v>15</v>
      </c>
      <c r="Q4" s="17">
        <v>16</v>
      </c>
      <c r="R4" s="17">
        <v>17</v>
      </c>
      <c r="S4" s="17">
        <v>18</v>
      </c>
      <c r="T4" s="17">
        <v>19</v>
      </c>
      <c r="U4" s="17">
        <v>20</v>
      </c>
      <c r="V4" s="17">
        <v>21</v>
      </c>
      <c r="W4" s="17">
        <v>22</v>
      </c>
      <c r="X4" s="17">
        <v>23</v>
      </c>
      <c r="Y4" s="17">
        <v>24</v>
      </c>
      <c r="Z4" s="17" t="s">
        <v>269</v>
      </c>
    </row>
    <row r="5" spans="1:26" ht="15">
      <c r="A5" s="17" t="s">
        <v>270</v>
      </c>
      <c r="B5" s="48">
        <f>DATE(YEAR(Assumptions!$B$7),MONTH(Assumptions!$B$7)+0,1)</f>
        <v>46296</v>
      </c>
      <c r="C5" s="48">
        <f>DATE(YEAR(Assumptions!$B$7),MONTH(Assumptions!$B$7)+1,1)</f>
        <v>46327</v>
      </c>
      <c r="D5" s="48">
        <f>DATE(YEAR(Assumptions!$B$7),MONTH(Assumptions!$B$7)+2,1)</f>
        <v>46357</v>
      </c>
      <c r="E5" s="48">
        <f>DATE(YEAR(Assumptions!$B$7),MONTH(Assumptions!$B$7)+3,1)</f>
        <v>46388</v>
      </c>
      <c r="F5" s="48">
        <f>DATE(YEAR(Assumptions!$B$7),MONTH(Assumptions!$B$7)+4,1)</f>
        <v>46419</v>
      </c>
      <c r="G5" s="48">
        <f>DATE(YEAR(Assumptions!$B$7),MONTH(Assumptions!$B$7)+5,1)</f>
        <v>46447</v>
      </c>
      <c r="H5" s="48">
        <f>DATE(YEAR(Assumptions!$B$7),MONTH(Assumptions!$B$7)+6,1)</f>
        <v>46478</v>
      </c>
      <c r="I5" s="48">
        <f>DATE(YEAR(Assumptions!$B$7),MONTH(Assumptions!$B$7)+7,1)</f>
        <v>46508</v>
      </c>
      <c r="J5" s="48">
        <f>DATE(YEAR(Assumptions!$B$7),MONTH(Assumptions!$B$7)+8,1)</f>
        <v>46539</v>
      </c>
      <c r="K5" s="48">
        <f>DATE(YEAR(Assumptions!$B$7),MONTH(Assumptions!$B$7)+9,1)</f>
        <v>46569</v>
      </c>
      <c r="L5" s="48">
        <f>DATE(YEAR(Assumptions!$B$7),MONTH(Assumptions!$B$7)+10,1)</f>
        <v>46600</v>
      </c>
      <c r="M5" s="48">
        <f>DATE(YEAR(Assumptions!$B$7),MONTH(Assumptions!$B$7)+11,1)</f>
        <v>46631</v>
      </c>
      <c r="N5" s="48">
        <f>DATE(YEAR(Assumptions!$B$7),MONTH(Assumptions!$B$7)+12,1)</f>
        <v>46661</v>
      </c>
      <c r="O5" s="48">
        <f>DATE(YEAR(Assumptions!$B$7),MONTH(Assumptions!$B$7)+13,1)</f>
        <v>46692</v>
      </c>
      <c r="P5" s="48">
        <f>DATE(YEAR(Assumptions!$B$7),MONTH(Assumptions!$B$7)+14,1)</f>
        <v>46722</v>
      </c>
      <c r="Q5" s="48">
        <f>DATE(YEAR(Assumptions!$B$7),MONTH(Assumptions!$B$7)+15,1)</f>
        <v>46753</v>
      </c>
      <c r="R5" s="48">
        <f>DATE(YEAR(Assumptions!$B$7),MONTH(Assumptions!$B$7)+16,1)</f>
        <v>46784</v>
      </c>
      <c r="S5" s="48">
        <f>DATE(YEAR(Assumptions!$B$7),MONTH(Assumptions!$B$7)+17,1)</f>
        <v>46813</v>
      </c>
      <c r="T5" s="48">
        <f>DATE(YEAR(Assumptions!$B$7),MONTH(Assumptions!$B$7)+18,1)</f>
        <v>46844</v>
      </c>
      <c r="U5" s="48">
        <f>DATE(YEAR(Assumptions!$B$7),MONTH(Assumptions!$B$7)+19,1)</f>
        <v>46874</v>
      </c>
      <c r="V5" s="48">
        <f>DATE(YEAR(Assumptions!$B$7),MONTH(Assumptions!$B$7)+20,1)</f>
        <v>46905</v>
      </c>
      <c r="W5" s="48">
        <f>DATE(YEAR(Assumptions!$B$7),MONTH(Assumptions!$B$7)+21,1)</f>
        <v>46935</v>
      </c>
      <c r="X5" s="48">
        <f>DATE(YEAR(Assumptions!$B$7),MONTH(Assumptions!$B$7)+22,1)</f>
        <v>46966</v>
      </c>
      <c r="Y5" s="48">
        <f>DATE(YEAR(Assumptions!$B$7),MONTH(Assumptions!$B$7)+23,1)</f>
        <v>46997</v>
      </c>
      <c r="Z5" s="17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>
      <c r="A7" s="27" t="s">
        <v>621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>
      <c r="A8" s="1" t="s">
        <v>622</v>
      </c>
      <c r="B8" s="16">
        <v>0.1</v>
      </c>
      <c r="C8" s="16">
        <v>0.2</v>
      </c>
      <c r="D8" s="16">
        <v>0.3</v>
      </c>
      <c r="E8" s="16">
        <v>0.4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7">
        <f>SUM(B8:Y8)</f>
        <v>1</v>
      </c>
    </row>
    <row r="9" spans="1:26">
      <c r="A9" s="1" t="s">
        <v>623</v>
      </c>
      <c r="B9" s="11">
        <f>'PPM Equity Raise'!$B$17*B$8</f>
        <v>450000</v>
      </c>
      <c r="C9" s="11">
        <f>'PPM Equity Raise'!$B$17*C$8</f>
        <v>900000</v>
      </c>
      <c r="D9" s="11">
        <f>'PPM Equity Raise'!$B$17*D$8</f>
        <v>1350000</v>
      </c>
      <c r="E9" s="11">
        <f>'PPM Equity Raise'!$B$17*E$8</f>
        <v>1800000</v>
      </c>
      <c r="F9" s="11">
        <f>'PPM Equity Raise'!$B$17*F$8</f>
        <v>0</v>
      </c>
      <c r="G9" s="11">
        <f>'PPM Equity Raise'!$B$17*G$8</f>
        <v>0</v>
      </c>
      <c r="H9" s="11">
        <f>'PPM Equity Raise'!$B$17*H$8</f>
        <v>0</v>
      </c>
      <c r="I9" s="11">
        <f>'PPM Equity Raise'!$B$17*I$8</f>
        <v>0</v>
      </c>
      <c r="J9" s="11">
        <f>'PPM Equity Raise'!$B$17*J$8</f>
        <v>0</v>
      </c>
      <c r="K9" s="11">
        <f>'PPM Equity Raise'!$B$17*K$8</f>
        <v>0</v>
      </c>
      <c r="L9" s="11">
        <f>'PPM Equity Raise'!$B$17*L$8</f>
        <v>0</v>
      </c>
      <c r="M9" s="11">
        <f>'PPM Equity Raise'!$B$17*M$8</f>
        <v>0</v>
      </c>
      <c r="N9" s="11">
        <f>'PPM Equity Raise'!$B$17*N$8</f>
        <v>0</v>
      </c>
      <c r="O9" s="11">
        <f>'PPM Equity Raise'!$B$17*O$8</f>
        <v>0</v>
      </c>
      <c r="P9" s="11">
        <f>'PPM Equity Raise'!$B$17*P$8</f>
        <v>0</v>
      </c>
      <c r="Q9" s="11">
        <f>'PPM Equity Raise'!$B$17*Q$8</f>
        <v>0</v>
      </c>
      <c r="R9" s="11">
        <f>'PPM Equity Raise'!$B$17*R$8</f>
        <v>0</v>
      </c>
      <c r="S9" s="11">
        <f>'PPM Equity Raise'!$B$17*S$8</f>
        <v>0</v>
      </c>
      <c r="T9" s="11">
        <f>'PPM Equity Raise'!$B$17*T$8</f>
        <v>0</v>
      </c>
      <c r="U9" s="11">
        <f>'PPM Equity Raise'!$B$17*U$8</f>
        <v>0</v>
      </c>
      <c r="V9" s="11">
        <f>'PPM Equity Raise'!$B$17*V$8</f>
        <v>0</v>
      </c>
      <c r="W9" s="11">
        <f>'PPM Equity Raise'!$B$17*W$8</f>
        <v>0</v>
      </c>
      <c r="X9" s="11">
        <f>'PPM Equity Raise'!$B$17*X$8</f>
        <v>0</v>
      </c>
      <c r="Y9" s="11">
        <f>'PPM Equity Raise'!$B$17*Y$8</f>
        <v>0</v>
      </c>
      <c r="Z9" s="11">
        <f>SUM(B9:Y9)</f>
        <v>4500000</v>
      </c>
    </row>
    <row r="10" spans="1:26">
      <c r="A10" s="1" t="s">
        <v>328</v>
      </c>
      <c r="B10" s="11">
        <f>B9*Assumptions!$B$48</f>
        <v>22500</v>
      </c>
      <c r="C10" s="11">
        <f>C9*Assumptions!$B$48</f>
        <v>45000</v>
      </c>
      <c r="D10" s="11">
        <f>D9*Assumptions!$B$48</f>
        <v>67500</v>
      </c>
      <c r="E10" s="11">
        <f>E9*Assumptions!$B$48</f>
        <v>90000</v>
      </c>
      <c r="F10" s="11">
        <f>F9*Assumptions!$B$48</f>
        <v>0</v>
      </c>
      <c r="G10" s="11">
        <f>G9*Assumptions!$B$48</f>
        <v>0</v>
      </c>
      <c r="H10" s="11">
        <f>H9*Assumptions!$B$48</f>
        <v>0</v>
      </c>
      <c r="I10" s="11">
        <f>I9*Assumptions!$B$48</f>
        <v>0</v>
      </c>
      <c r="J10" s="11">
        <f>J9*Assumptions!$B$48</f>
        <v>0</v>
      </c>
      <c r="K10" s="11">
        <f>K9*Assumptions!$B$48</f>
        <v>0</v>
      </c>
      <c r="L10" s="11">
        <f>L9*Assumptions!$B$48</f>
        <v>0</v>
      </c>
      <c r="M10" s="11">
        <f>M9*Assumptions!$B$48</f>
        <v>0</v>
      </c>
      <c r="N10" s="11">
        <f>N9*Assumptions!$B$48</f>
        <v>0</v>
      </c>
      <c r="O10" s="11">
        <f>O9*Assumptions!$B$48</f>
        <v>0</v>
      </c>
      <c r="P10" s="11">
        <f>P9*Assumptions!$B$48</f>
        <v>0</v>
      </c>
      <c r="Q10" s="11">
        <f>Q9*Assumptions!$B$48</f>
        <v>0</v>
      </c>
      <c r="R10" s="11">
        <f>R9*Assumptions!$B$48</f>
        <v>0</v>
      </c>
      <c r="S10" s="11">
        <f>S9*Assumptions!$B$48</f>
        <v>0</v>
      </c>
      <c r="T10" s="11">
        <f>T9*Assumptions!$B$48</f>
        <v>0</v>
      </c>
      <c r="U10" s="11">
        <f>U9*Assumptions!$B$48</f>
        <v>0</v>
      </c>
      <c r="V10" s="11">
        <f>V9*Assumptions!$B$48</f>
        <v>0</v>
      </c>
      <c r="W10" s="11">
        <f>W9*Assumptions!$B$48</f>
        <v>0</v>
      </c>
      <c r="X10" s="11">
        <f>X9*Assumptions!$B$48</f>
        <v>0</v>
      </c>
      <c r="Y10" s="11">
        <f>Y9*Assumptions!$B$48</f>
        <v>0</v>
      </c>
      <c r="Z10" s="11">
        <f>SUM(B10:Y10)</f>
        <v>225000</v>
      </c>
    </row>
    <row r="11" spans="1:26">
      <c r="A11" s="1" t="s">
        <v>624</v>
      </c>
      <c r="B11" s="11">
        <f t="shared" ref="B11:Y11" si="0">B9-B10</f>
        <v>427500</v>
      </c>
      <c r="C11" s="11">
        <f t="shared" si="0"/>
        <v>855000</v>
      </c>
      <c r="D11" s="11">
        <f t="shared" si="0"/>
        <v>1282500</v>
      </c>
      <c r="E11" s="11">
        <f t="shared" si="0"/>
        <v>1710000</v>
      </c>
      <c r="F11" s="11">
        <f t="shared" si="0"/>
        <v>0</v>
      </c>
      <c r="G11" s="11">
        <f t="shared" si="0"/>
        <v>0</v>
      </c>
      <c r="H11" s="11">
        <f t="shared" si="0"/>
        <v>0</v>
      </c>
      <c r="I11" s="11">
        <f t="shared" si="0"/>
        <v>0</v>
      </c>
      <c r="J11" s="11">
        <f t="shared" si="0"/>
        <v>0</v>
      </c>
      <c r="K11" s="11">
        <f t="shared" si="0"/>
        <v>0</v>
      </c>
      <c r="L11" s="11">
        <f t="shared" si="0"/>
        <v>0</v>
      </c>
      <c r="M11" s="11">
        <f t="shared" si="0"/>
        <v>0</v>
      </c>
      <c r="N11" s="11">
        <f t="shared" si="0"/>
        <v>0</v>
      </c>
      <c r="O11" s="11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0</v>
      </c>
      <c r="S11" s="11">
        <f t="shared" si="0"/>
        <v>0</v>
      </c>
      <c r="T11" s="11">
        <f t="shared" si="0"/>
        <v>0</v>
      </c>
      <c r="U11" s="11">
        <f t="shared" si="0"/>
        <v>0</v>
      </c>
      <c r="V11" s="11">
        <f t="shared" si="0"/>
        <v>0</v>
      </c>
      <c r="W11" s="11">
        <f t="shared" si="0"/>
        <v>0</v>
      </c>
      <c r="X11" s="11">
        <f t="shared" si="0"/>
        <v>0</v>
      </c>
      <c r="Y11" s="11">
        <f t="shared" si="0"/>
        <v>0</v>
      </c>
      <c r="Z11" s="11">
        <f>SUM(B11:Y11)</f>
        <v>4275000</v>
      </c>
    </row>
    <row r="12" spans="1:26">
      <c r="A12" s="1" t="s">
        <v>625</v>
      </c>
      <c r="B12" s="11">
        <f>B9</f>
        <v>450000</v>
      </c>
      <c r="C12" s="11">
        <f t="shared" ref="C12:Y12" si="1">B12+C9</f>
        <v>1350000</v>
      </c>
      <c r="D12" s="11">
        <f t="shared" si="1"/>
        <v>2700000</v>
      </c>
      <c r="E12" s="11">
        <f t="shared" si="1"/>
        <v>4500000</v>
      </c>
      <c r="F12" s="11">
        <f t="shared" si="1"/>
        <v>4500000</v>
      </c>
      <c r="G12" s="11">
        <f t="shared" si="1"/>
        <v>4500000</v>
      </c>
      <c r="H12" s="11">
        <f t="shared" si="1"/>
        <v>4500000</v>
      </c>
      <c r="I12" s="11">
        <f t="shared" si="1"/>
        <v>4500000</v>
      </c>
      <c r="J12" s="11">
        <f t="shared" si="1"/>
        <v>4500000</v>
      </c>
      <c r="K12" s="11">
        <f t="shared" si="1"/>
        <v>4500000</v>
      </c>
      <c r="L12" s="11">
        <f t="shared" si="1"/>
        <v>4500000</v>
      </c>
      <c r="M12" s="11">
        <f t="shared" si="1"/>
        <v>4500000</v>
      </c>
      <c r="N12" s="11">
        <f t="shared" si="1"/>
        <v>4500000</v>
      </c>
      <c r="O12" s="11">
        <f t="shared" si="1"/>
        <v>4500000</v>
      </c>
      <c r="P12" s="11">
        <f t="shared" si="1"/>
        <v>4500000</v>
      </c>
      <c r="Q12" s="11">
        <f t="shared" si="1"/>
        <v>4500000</v>
      </c>
      <c r="R12" s="11">
        <f t="shared" si="1"/>
        <v>4500000</v>
      </c>
      <c r="S12" s="11">
        <f t="shared" si="1"/>
        <v>4500000</v>
      </c>
      <c r="T12" s="11">
        <f t="shared" si="1"/>
        <v>4500000</v>
      </c>
      <c r="U12" s="11">
        <f t="shared" si="1"/>
        <v>4500000</v>
      </c>
      <c r="V12" s="11">
        <f t="shared" si="1"/>
        <v>4500000</v>
      </c>
      <c r="W12" s="11">
        <f t="shared" si="1"/>
        <v>4500000</v>
      </c>
      <c r="X12" s="11">
        <f t="shared" si="1"/>
        <v>4500000</v>
      </c>
      <c r="Y12" s="11">
        <f t="shared" si="1"/>
        <v>4500000</v>
      </c>
      <c r="Z12" s="11">
        <f>Y12</f>
        <v>4500000</v>
      </c>
    </row>
    <row r="13" spans="1:26">
      <c r="A13" s="1" t="s">
        <v>626</v>
      </c>
      <c r="B13" s="11">
        <f>B11</f>
        <v>427500</v>
      </c>
      <c r="C13" s="11">
        <f t="shared" ref="C13:Y13" si="2">B13+C11</f>
        <v>1282500</v>
      </c>
      <c r="D13" s="11">
        <f t="shared" si="2"/>
        <v>2565000</v>
      </c>
      <c r="E13" s="11">
        <f t="shared" si="2"/>
        <v>4275000</v>
      </c>
      <c r="F13" s="11">
        <f t="shared" si="2"/>
        <v>4275000</v>
      </c>
      <c r="G13" s="11">
        <f t="shared" si="2"/>
        <v>4275000</v>
      </c>
      <c r="H13" s="11">
        <f t="shared" si="2"/>
        <v>4275000</v>
      </c>
      <c r="I13" s="11">
        <f t="shared" si="2"/>
        <v>4275000</v>
      </c>
      <c r="J13" s="11">
        <f t="shared" si="2"/>
        <v>4275000</v>
      </c>
      <c r="K13" s="11">
        <f t="shared" si="2"/>
        <v>4275000</v>
      </c>
      <c r="L13" s="11">
        <f t="shared" si="2"/>
        <v>4275000</v>
      </c>
      <c r="M13" s="11">
        <f t="shared" si="2"/>
        <v>4275000</v>
      </c>
      <c r="N13" s="11">
        <f t="shared" si="2"/>
        <v>4275000</v>
      </c>
      <c r="O13" s="11">
        <f t="shared" si="2"/>
        <v>4275000</v>
      </c>
      <c r="P13" s="11">
        <f t="shared" si="2"/>
        <v>4275000</v>
      </c>
      <c r="Q13" s="11">
        <f t="shared" si="2"/>
        <v>4275000</v>
      </c>
      <c r="R13" s="11">
        <f t="shared" si="2"/>
        <v>4275000</v>
      </c>
      <c r="S13" s="11">
        <f t="shared" si="2"/>
        <v>4275000</v>
      </c>
      <c r="T13" s="11">
        <f t="shared" si="2"/>
        <v>4275000</v>
      </c>
      <c r="U13" s="11">
        <f t="shared" si="2"/>
        <v>4275000</v>
      </c>
      <c r="V13" s="11">
        <f t="shared" si="2"/>
        <v>4275000</v>
      </c>
      <c r="W13" s="11">
        <f t="shared" si="2"/>
        <v>4275000</v>
      </c>
      <c r="X13" s="11">
        <f t="shared" si="2"/>
        <v>4275000</v>
      </c>
      <c r="Y13" s="11">
        <f t="shared" si="2"/>
        <v>4275000</v>
      </c>
      <c r="Z13" s="11">
        <f>Y13</f>
        <v>4275000</v>
      </c>
    </row>
    <row r="14" spans="1:26">
      <c r="A14" s="1" t="s">
        <v>627</v>
      </c>
      <c r="B14" s="11">
        <f>-B9+IF(B$4=Assumptions!$B$45,'PPM Equity Raise'!$B$37,0)</f>
        <v>-450000</v>
      </c>
      <c r="C14" s="11">
        <f>-C9+IF(C$4=Assumptions!$B$45,'PPM Equity Raise'!$B$37,0)</f>
        <v>-900000</v>
      </c>
      <c r="D14" s="11">
        <f>-D9+IF(D$4=Assumptions!$B$45,'PPM Equity Raise'!$B$37,0)</f>
        <v>-1350000</v>
      </c>
      <c r="E14" s="11">
        <f>-E9+IF(E$4=Assumptions!$B$45,'PPM Equity Raise'!$B$37,0)</f>
        <v>-1800000</v>
      </c>
      <c r="F14" s="11">
        <f>-F9+IF(F$4=Assumptions!$B$45,'PPM Equity Raise'!$B$37,0)</f>
        <v>0</v>
      </c>
      <c r="G14" s="11">
        <f>-G9+IF(G$4=Assumptions!$B$45,'PPM Equity Raise'!$B$37,0)</f>
        <v>0</v>
      </c>
      <c r="H14" s="11">
        <f>-H9+IF(H$4=Assumptions!$B$45,'PPM Equity Raise'!$B$37,0)</f>
        <v>0</v>
      </c>
      <c r="I14" s="11">
        <f>-I9+IF(I$4=Assumptions!$B$45,'PPM Equity Raise'!$B$37,0)</f>
        <v>0</v>
      </c>
      <c r="J14" s="11">
        <f>-J9+IF(J$4=Assumptions!$B$45,'PPM Equity Raise'!$B$37,0)</f>
        <v>0</v>
      </c>
      <c r="K14" s="11">
        <f>-K9+IF(K$4=Assumptions!$B$45,'PPM Equity Raise'!$B$37,0)</f>
        <v>0</v>
      </c>
      <c r="L14" s="11">
        <f>-L9+IF(L$4=Assumptions!$B$45,'PPM Equity Raise'!$B$37,0)</f>
        <v>0</v>
      </c>
      <c r="M14" s="11">
        <f>-M9+IF(M$4=Assumptions!$B$45,'PPM Equity Raise'!$B$37,0)</f>
        <v>0</v>
      </c>
      <c r="N14" s="11">
        <f>-N9+IF(N$4=Assumptions!$B$45,'PPM Equity Raise'!$B$37,0)</f>
        <v>0</v>
      </c>
      <c r="O14" s="11">
        <f>-O9+IF(O$4=Assumptions!$B$45,'PPM Equity Raise'!$B$37,0)</f>
        <v>0</v>
      </c>
      <c r="P14" s="11">
        <f>-P9+IF(P$4=Assumptions!$B$45,'PPM Equity Raise'!$B$37,0)</f>
        <v>0</v>
      </c>
      <c r="Q14" s="11">
        <f>-Q9+IF(Q$4=Assumptions!$B$45,'PPM Equity Raise'!$B$37,0)</f>
        <v>0</v>
      </c>
      <c r="R14" s="11">
        <f>-R9+IF(R$4=Assumptions!$B$45,'PPM Equity Raise'!$B$37,0)</f>
        <v>0</v>
      </c>
      <c r="S14" s="11">
        <f>-S9+IF(S$4=Assumptions!$B$45,'PPM Equity Raise'!$B$37,0)</f>
        <v>0</v>
      </c>
      <c r="T14" s="11">
        <f>-T9+IF(T$4=Assumptions!$B$45,'PPM Equity Raise'!$B$37,0)</f>
        <v>0</v>
      </c>
      <c r="U14" s="11">
        <f>-U9+IF(U$4=Assumptions!$B$45,'PPM Equity Raise'!$B$37,0)</f>
        <v>0</v>
      </c>
      <c r="V14" s="11">
        <f>-V9+IF(V$4=Assumptions!$B$45,'PPM Equity Raise'!$B$37,0)</f>
        <v>0</v>
      </c>
      <c r="W14" s="11">
        <f>-W9+IF(W$4=Assumptions!$B$45,'PPM Equity Raise'!$B$37,0)</f>
        <v>0</v>
      </c>
      <c r="X14" s="11">
        <f>-X9+IF(X$4=Assumptions!$B$45,'PPM Equity Raise'!$B$37,0)</f>
        <v>0</v>
      </c>
      <c r="Y14" s="11">
        <f>'PPM Equity Raise'!$B$37</f>
        <v>8021801.9654584769</v>
      </c>
      <c r="Z14" s="11">
        <f>SUM(B14:Y14)</f>
        <v>3521801.9654584769</v>
      </c>
    </row>
  </sheetData>
  <mergeCells count="3">
    <mergeCell ref="A1:Z1"/>
    <mergeCell ref="A2:Z2"/>
    <mergeCell ref="A7:Z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40"/>
  <sheetViews>
    <sheetView workbookViewId="0"/>
  </sheetViews>
  <sheetFormatPr defaultRowHeight="14.25"/>
  <cols>
    <col min="1" max="1" width="43" customWidth="1"/>
    <col min="2" max="2" width="12" customWidth="1"/>
    <col min="3" max="3" width="16" customWidth="1"/>
    <col min="4" max="6" width="28" customWidth="1"/>
    <col min="7" max="25" width="12" customWidth="1"/>
    <col min="26" max="26" width="15" customWidth="1"/>
  </cols>
  <sheetData>
    <row r="1" spans="1:26" ht="19.5">
      <c r="A1" s="25" t="s">
        <v>628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>
      <c r="A2" s="26" t="s">
        <v>629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>
      <c r="A4" s="17" t="s">
        <v>268</v>
      </c>
      <c r="B4" s="17">
        <v>1</v>
      </c>
      <c r="C4" s="17">
        <v>2</v>
      </c>
      <c r="D4" s="17">
        <v>3</v>
      </c>
      <c r="E4" s="17">
        <v>4</v>
      </c>
      <c r="F4" s="17">
        <v>5</v>
      </c>
      <c r="G4" s="17">
        <v>6</v>
      </c>
      <c r="H4" s="17">
        <v>7</v>
      </c>
      <c r="I4" s="17">
        <v>8</v>
      </c>
      <c r="J4" s="17">
        <v>9</v>
      </c>
      <c r="K4" s="17">
        <v>10</v>
      </c>
      <c r="L4" s="17">
        <v>11</v>
      </c>
      <c r="M4" s="17">
        <v>12</v>
      </c>
      <c r="N4" s="17">
        <v>13</v>
      </c>
      <c r="O4" s="17">
        <v>14</v>
      </c>
      <c r="P4" s="17">
        <v>15</v>
      </c>
      <c r="Q4" s="17">
        <v>16</v>
      </c>
      <c r="R4" s="17">
        <v>17</v>
      </c>
      <c r="S4" s="17">
        <v>18</v>
      </c>
      <c r="T4" s="17">
        <v>19</v>
      </c>
      <c r="U4" s="17">
        <v>20</v>
      </c>
      <c r="V4" s="17">
        <v>21</v>
      </c>
      <c r="W4" s="17">
        <v>22</v>
      </c>
      <c r="X4" s="17">
        <v>23</v>
      </c>
      <c r="Y4" s="17">
        <v>24</v>
      </c>
      <c r="Z4" s="17" t="s">
        <v>630</v>
      </c>
    </row>
    <row r="5" spans="1:26" ht="15">
      <c r="A5" s="17" t="s">
        <v>270</v>
      </c>
      <c r="B5" s="48">
        <f>DATE(YEAR(Assumptions!$B$7),MONTH(Assumptions!$B$7)+0,1)</f>
        <v>46296</v>
      </c>
      <c r="C5" s="48">
        <f>DATE(YEAR(Assumptions!$B$7),MONTH(Assumptions!$B$7)+1,1)</f>
        <v>46327</v>
      </c>
      <c r="D5" s="48">
        <f>DATE(YEAR(Assumptions!$B$7),MONTH(Assumptions!$B$7)+2,1)</f>
        <v>46357</v>
      </c>
      <c r="E5" s="48">
        <f>DATE(YEAR(Assumptions!$B$7),MONTH(Assumptions!$B$7)+3,1)</f>
        <v>46388</v>
      </c>
      <c r="F5" s="48">
        <f>DATE(YEAR(Assumptions!$B$7),MONTH(Assumptions!$B$7)+4,1)</f>
        <v>46419</v>
      </c>
      <c r="G5" s="48">
        <f>DATE(YEAR(Assumptions!$B$7),MONTH(Assumptions!$B$7)+5,1)</f>
        <v>46447</v>
      </c>
      <c r="H5" s="48">
        <f>DATE(YEAR(Assumptions!$B$7),MONTH(Assumptions!$B$7)+6,1)</f>
        <v>46478</v>
      </c>
      <c r="I5" s="48">
        <f>DATE(YEAR(Assumptions!$B$7),MONTH(Assumptions!$B$7)+7,1)</f>
        <v>46508</v>
      </c>
      <c r="J5" s="48">
        <f>DATE(YEAR(Assumptions!$B$7),MONTH(Assumptions!$B$7)+8,1)</f>
        <v>46539</v>
      </c>
      <c r="K5" s="48">
        <f>DATE(YEAR(Assumptions!$B$7),MONTH(Assumptions!$B$7)+9,1)</f>
        <v>46569</v>
      </c>
      <c r="L5" s="48">
        <f>DATE(YEAR(Assumptions!$B$7),MONTH(Assumptions!$B$7)+10,1)</f>
        <v>46600</v>
      </c>
      <c r="M5" s="48">
        <f>DATE(YEAR(Assumptions!$B$7),MONTH(Assumptions!$B$7)+11,1)</f>
        <v>46631</v>
      </c>
      <c r="N5" s="48">
        <f>DATE(YEAR(Assumptions!$B$7),MONTH(Assumptions!$B$7)+12,1)</f>
        <v>46661</v>
      </c>
      <c r="O5" s="48">
        <f>DATE(YEAR(Assumptions!$B$7),MONTH(Assumptions!$B$7)+13,1)</f>
        <v>46692</v>
      </c>
      <c r="P5" s="48">
        <f>DATE(YEAR(Assumptions!$B$7),MONTH(Assumptions!$B$7)+14,1)</f>
        <v>46722</v>
      </c>
      <c r="Q5" s="48">
        <f>DATE(YEAR(Assumptions!$B$7),MONTH(Assumptions!$B$7)+15,1)</f>
        <v>46753</v>
      </c>
      <c r="R5" s="48">
        <f>DATE(YEAR(Assumptions!$B$7),MONTH(Assumptions!$B$7)+16,1)</f>
        <v>46784</v>
      </c>
      <c r="S5" s="48">
        <f>DATE(YEAR(Assumptions!$B$7),MONTH(Assumptions!$B$7)+17,1)</f>
        <v>46813</v>
      </c>
      <c r="T5" s="48">
        <f>DATE(YEAR(Assumptions!$B$7),MONTH(Assumptions!$B$7)+18,1)</f>
        <v>46844</v>
      </c>
      <c r="U5" s="48">
        <f>DATE(YEAR(Assumptions!$B$7),MONTH(Assumptions!$B$7)+19,1)</f>
        <v>46874</v>
      </c>
      <c r="V5" s="48">
        <f>DATE(YEAR(Assumptions!$B$7),MONTH(Assumptions!$B$7)+20,1)</f>
        <v>46905</v>
      </c>
      <c r="W5" s="48">
        <f>DATE(YEAR(Assumptions!$B$7),MONTH(Assumptions!$B$7)+21,1)</f>
        <v>46935</v>
      </c>
      <c r="X5" s="48">
        <f>DATE(YEAR(Assumptions!$B$7),MONTH(Assumptions!$B$7)+22,1)</f>
        <v>46966</v>
      </c>
      <c r="Y5" s="48">
        <f>DATE(YEAR(Assumptions!$B$7),MONTH(Assumptions!$B$7)+23,1)</f>
        <v>46997</v>
      </c>
      <c r="Z5" s="17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>
      <c r="A7" s="27" t="s">
        <v>631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>
      <c r="A8" s="1" t="s">
        <v>240</v>
      </c>
      <c r="B8" s="11">
        <f>'Project Cost'!$B$33*0.1</f>
        <v>20000</v>
      </c>
      <c r="C8" s="11">
        <f>'Project Cost'!$B$33*0.1</f>
        <v>20000</v>
      </c>
      <c r="D8" s="11">
        <f>'Project Cost'!$B$33*0.1</f>
        <v>20000</v>
      </c>
      <c r="E8" s="11">
        <f>'Project Cost'!$B$33*0.1</f>
        <v>20000</v>
      </c>
      <c r="F8" s="11">
        <f>'Project Cost'!$B$33*0.1</f>
        <v>20000</v>
      </c>
      <c r="G8" s="11">
        <f>'Project Cost'!$B$33*0.1</f>
        <v>20000</v>
      </c>
      <c r="H8" s="11">
        <f>'Project Cost'!$B$33*0.1</f>
        <v>20000</v>
      </c>
      <c r="I8" s="11">
        <f>'Project Cost'!$B$33*0.1</f>
        <v>20000</v>
      </c>
      <c r="J8" s="11">
        <f>'Project Cost'!$B$33*0.05</f>
        <v>10000</v>
      </c>
      <c r="K8" s="11">
        <f>'Project Cost'!$B$33*0.05</f>
        <v>10000</v>
      </c>
      <c r="L8" s="11">
        <f>'Project Cost'!$B$33*0.05</f>
        <v>10000</v>
      </c>
      <c r="M8" s="11">
        <f>'Project Cost'!$B$33*0.05</f>
        <v>10000</v>
      </c>
      <c r="N8" s="11">
        <f>'Project Cost'!$B$33*0</f>
        <v>0</v>
      </c>
      <c r="O8" s="11">
        <f>'Project Cost'!$B$33*0</f>
        <v>0</v>
      </c>
      <c r="P8" s="11">
        <f>'Project Cost'!$B$33*0</f>
        <v>0</v>
      </c>
      <c r="Q8" s="11">
        <f>'Project Cost'!$B$33*0</f>
        <v>0</v>
      </c>
      <c r="R8" s="11">
        <f>'Project Cost'!$B$33*0</f>
        <v>0</v>
      </c>
      <c r="S8" s="11">
        <f>'Project Cost'!$B$33*0</f>
        <v>0</v>
      </c>
      <c r="T8" s="11">
        <f>'Project Cost'!$B$33*0</f>
        <v>0</v>
      </c>
      <c r="U8" s="11">
        <f>'Project Cost'!$B$33*0</f>
        <v>0</v>
      </c>
      <c r="V8" s="11">
        <f>'Project Cost'!$B$33*0</f>
        <v>0</v>
      </c>
      <c r="W8" s="11">
        <f>'Project Cost'!$B$33*0</f>
        <v>0</v>
      </c>
      <c r="X8" s="11">
        <f>'Project Cost'!$B$33*0</f>
        <v>0</v>
      </c>
      <c r="Y8" s="11">
        <f>'Project Cost'!$B$33*0</f>
        <v>0</v>
      </c>
      <c r="Z8" s="11">
        <f t="shared" ref="Z8:Z18" si="0">SUM(B8:Y8)</f>
        <v>200000</v>
      </c>
    </row>
    <row r="9" spans="1:26">
      <c r="A9" s="1" t="s">
        <v>243</v>
      </c>
      <c r="B9" s="11">
        <f>'Project Cost'!$B$34*0</f>
        <v>0</v>
      </c>
      <c r="C9" s="11">
        <f>'Project Cost'!$B$34*0</f>
        <v>0</v>
      </c>
      <c r="D9" s="11">
        <f>'Project Cost'!$B$34*0.05</f>
        <v>31652.46</v>
      </c>
      <c r="E9" s="11">
        <f>'Project Cost'!$B$34*0.05</f>
        <v>31652.46</v>
      </c>
      <c r="F9" s="11">
        <f>'Project Cost'!$B$34*0.1</f>
        <v>63304.92</v>
      </c>
      <c r="G9" s="11">
        <f>'Project Cost'!$B$34*0.1</f>
        <v>63304.92</v>
      </c>
      <c r="H9" s="11">
        <f>'Project Cost'!$B$34*0.1</f>
        <v>63304.92</v>
      </c>
      <c r="I9" s="11">
        <f>'Project Cost'!$B$34*0.1</f>
        <v>63304.92</v>
      </c>
      <c r="J9" s="11">
        <f>'Project Cost'!$B$34*0.1</f>
        <v>63304.92</v>
      </c>
      <c r="K9" s="11">
        <f>'Project Cost'!$B$34*0.15</f>
        <v>94957.37999999999</v>
      </c>
      <c r="L9" s="11">
        <f>'Project Cost'!$B$34*0.15</f>
        <v>94957.37999999999</v>
      </c>
      <c r="M9" s="11">
        <f>'Project Cost'!$B$34*0.1</f>
        <v>63304.92</v>
      </c>
      <c r="N9" s="11">
        <f>'Project Cost'!$B$34*0</f>
        <v>0</v>
      </c>
      <c r="O9" s="11">
        <f>'Project Cost'!$B$34*0</f>
        <v>0</v>
      </c>
      <c r="P9" s="11">
        <f>'Project Cost'!$B$34*0</f>
        <v>0</v>
      </c>
      <c r="Q9" s="11">
        <f>'Project Cost'!$B$34*0</f>
        <v>0</v>
      </c>
      <c r="R9" s="11">
        <f>'Project Cost'!$B$34*0</f>
        <v>0</v>
      </c>
      <c r="S9" s="11">
        <f>'Project Cost'!$B$34*0</f>
        <v>0</v>
      </c>
      <c r="T9" s="11">
        <f>'Project Cost'!$B$34*0</f>
        <v>0</v>
      </c>
      <c r="U9" s="11">
        <f>'Project Cost'!$B$34*0</f>
        <v>0</v>
      </c>
      <c r="V9" s="11">
        <f>'Project Cost'!$B$34*0</f>
        <v>0</v>
      </c>
      <c r="W9" s="11">
        <f>'Project Cost'!$B$34*0</f>
        <v>0</v>
      </c>
      <c r="X9" s="11">
        <f>'Project Cost'!$B$34*0</f>
        <v>0</v>
      </c>
      <c r="Y9" s="11">
        <f>'Project Cost'!$B$34*0</f>
        <v>0</v>
      </c>
      <c r="Z9" s="11">
        <f t="shared" si="0"/>
        <v>633049.19999999995</v>
      </c>
    </row>
    <row r="10" spans="1:26">
      <c r="A10" s="1" t="s">
        <v>245</v>
      </c>
      <c r="B10" s="11">
        <f>'Project Cost'!$B$35*0.5</f>
        <v>17500</v>
      </c>
      <c r="C10" s="11">
        <f>'Project Cost'!$B$35*0.3</f>
        <v>10500</v>
      </c>
      <c r="D10" s="11">
        <f>'Project Cost'!$B$35*0.2</f>
        <v>7000</v>
      </c>
      <c r="E10" s="11">
        <f>'Project Cost'!$B$35*0</f>
        <v>0</v>
      </c>
      <c r="F10" s="11">
        <f>'Project Cost'!$B$35*0</f>
        <v>0</v>
      </c>
      <c r="G10" s="11">
        <f>'Project Cost'!$B$35*0</f>
        <v>0</v>
      </c>
      <c r="H10" s="11">
        <f>'Project Cost'!$B$35*0</f>
        <v>0</v>
      </c>
      <c r="I10" s="11">
        <f>'Project Cost'!$B$35*0</f>
        <v>0</v>
      </c>
      <c r="J10" s="11">
        <f>'Project Cost'!$B$35*0</f>
        <v>0</v>
      </c>
      <c r="K10" s="11">
        <f>'Project Cost'!$B$35*0</f>
        <v>0</v>
      </c>
      <c r="L10" s="11">
        <f>'Project Cost'!$B$35*0</f>
        <v>0</v>
      </c>
      <c r="M10" s="11">
        <f>'Project Cost'!$B$35*0</f>
        <v>0</v>
      </c>
      <c r="N10" s="11">
        <f>'Project Cost'!$B$35*0</f>
        <v>0</v>
      </c>
      <c r="O10" s="11">
        <f>'Project Cost'!$B$35*0</f>
        <v>0</v>
      </c>
      <c r="P10" s="11">
        <f>'Project Cost'!$B$35*0</f>
        <v>0</v>
      </c>
      <c r="Q10" s="11">
        <f>'Project Cost'!$B$35*0</f>
        <v>0</v>
      </c>
      <c r="R10" s="11">
        <f>'Project Cost'!$B$35*0</f>
        <v>0</v>
      </c>
      <c r="S10" s="11">
        <f>'Project Cost'!$B$35*0</f>
        <v>0</v>
      </c>
      <c r="T10" s="11">
        <f>'Project Cost'!$B$35*0</f>
        <v>0</v>
      </c>
      <c r="U10" s="11">
        <f>'Project Cost'!$B$35*0</f>
        <v>0</v>
      </c>
      <c r="V10" s="11">
        <f>'Project Cost'!$B$35*0</f>
        <v>0</v>
      </c>
      <c r="W10" s="11">
        <f>'Project Cost'!$B$35*0</f>
        <v>0</v>
      </c>
      <c r="X10" s="11">
        <f>'Project Cost'!$B$35*0</f>
        <v>0</v>
      </c>
      <c r="Y10" s="11">
        <f>'Project Cost'!$B$35*0</f>
        <v>0</v>
      </c>
      <c r="Z10" s="11">
        <f t="shared" si="0"/>
        <v>35000</v>
      </c>
    </row>
    <row r="11" spans="1:26">
      <c r="A11" s="1" t="s">
        <v>247</v>
      </c>
      <c r="B11" s="11">
        <f>'Project Cost'!$B$36*0.5</f>
        <v>11000</v>
      </c>
      <c r="C11" s="11">
        <f>'Project Cost'!$B$36*0.3</f>
        <v>6600</v>
      </c>
      <c r="D11" s="11">
        <f>'Project Cost'!$B$36*0.2</f>
        <v>4400</v>
      </c>
      <c r="E11" s="11">
        <f>'Project Cost'!$B$36*0</f>
        <v>0</v>
      </c>
      <c r="F11" s="11">
        <f>'Project Cost'!$B$36*0</f>
        <v>0</v>
      </c>
      <c r="G11" s="11">
        <f>'Project Cost'!$B$36*0</f>
        <v>0</v>
      </c>
      <c r="H11" s="11">
        <f>'Project Cost'!$B$36*0</f>
        <v>0</v>
      </c>
      <c r="I11" s="11">
        <f>'Project Cost'!$B$36*0</f>
        <v>0</v>
      </c>
      <c r="J11" s="11">
        <f>'Project Cost'!$B$36*0</f>
        <v>0</v>
      </c>
      <c r="K11" s="11">
        <f>'Project Cost'!$B$36*0</f>
        <v>0</v>
      </c>
      <c r="L11" s="11">
        <f>'Project Cost'!$B$36*0</f>
        <v>0</v>
      </c>
      <c r="M11" s="11">
        <f>'Project Cost'!$B$36*0</f>
        <v>0</v>
      </c>
      <c r="N11" s="11">
        <f>'Project Cost'!$B$36*0</f>
        <v>0</v>
      </c>
      <c r="O11" s="11">
        <f>'Project Cost'!$B$36*0</f>
        <v>0</v>
      </c>
      <c r="P11" s="11">
        <f>'Project Cost'!$B$36*0</f>
        <v>0</v>
      </c>
      <c r="Q11" s="11">
        <f>'Project Cost'!$B$36*0</f>
        <v>0</v>
      </c>
      <c r="R11" s="11">
        <f>'Project Cost'!$B$36*0</f>
        <v>0</v>
      </c>
      <c r="S11" s="11">
        <f>'Project Cost'!$B$36*0</f>
        <v>0</v>
      </c>
      <c r="T11" s="11">
        <f>'Project Cost'!$B$36*0</f>
        <v>0</v>
      </c>
      <c r="U11" s="11">
        <f>'Project Cost'!$B$36*0</f>
        <v>0</v>
      </c>
      <c r="V11" s="11">
        <f>'Project Cost'!$B$36*0</f>
        <v>0</v>
      </c>
      <c r="W11" s="11">
        <f>'Project Cost'!$B$36*0</f>
        <v>0</v>
      </c>
      <c r="X11" s="11">
        <f>'Project Cost'!$B$36*0</f>
        <v>0</v>
      </c>
      <c r="Y11" s="11">
        <f>'Project Cost'!$B$36*0</f>
        <v>0</v>
      </c>
      <c r="Z11" s="11">
        <f t="shared" si="0"/>
        <v>22000</v>
      </c>
    </row>
    <row r="12" spans="1:26">
      <c r="A12" s="1" t="s">
        <v>632</v>
      </c>
      <c r="B12" s="11">
        <f>'Project Cost'!$B$37*0</f>
        <v>0</v>
      </c>
      <c r="C12" s="11">
        <f>'Project Cost'!$B$37*0</f>
        <v>0</v>
      </c>
      <c r="D12" s="11">
        <f>'Project Cost'!$B$37*0</f>
        <v>0</v>
      </c>
      <c r="E12" s="11">
        <f>'Project Cost'!$B$37*0</f>
        <v>0</v>
      </c>
      <c r="F12" s="11">
        <f>'Project Cost'!$B$37*0</f>
        <v>0</v>
      </c>
      <c r="G12" s="11">
        <f>'Project Cost'!$B$37*0</f>
        <v>0</v>
      </c>
      <c r="H12" s="11">
        <f>'Project Cost'!$B$37*0</f>
        <v>0</v>
      </c>
      <c r="I12" s="11">
        <f>'Project Cost'!$B$37*0</f>
        <v>0</v>
      </c>
      <c r="J12" s="11">
        <f>'Project Cost'!$B$37*0</f>
        <v>0</v>
      </c>
      <c r="K12" s="11">
        <f>'Project Cost'!$B$37*0.3</f>
        <v>5400</v>
      </c>
      <c r="L12" s="11">
        <f>'Project Cost'!$B$37*0.3</f>
        <v>5400</v>
      </c>
      <c r="M12" s="11">
        <f>'Project Cost'!$B$37*0.4</f>
        <v>7200</v>
      </c>
      <c r="N12" s="11">
        <f>'Project Cost'!$B$37*0</f>
        <v>0</v>
      </c>
      <c r="O12" s="11">
        <f>'Project Cost'!$B$37*0</f>
        <v>0</v>
      </c>
      <c r="P12" s="11">
        <f>'Project Cost'!$B$37*0</f>
        <v>0</v>
      </c>
      <c r="Q12" s="11">
        <f>'Project Cost'!$B$37*0</f>
        <v>0</v>
      </c>
      <c r="R12" s="11">
        <f>'Project Cost'!$B$37*0</f>
        <v>0</v>
      </c>
      <c r="S12" s="11">
        <f>'Project Cost'!$B$37*0</f>
        <v>0</v>
      </c>
      <c r="T12" s="11">
        <f>'Project Cost'!$B$37*0</f>
        <v>0</v>
      </c>
      <c r="U12" s="11">
        <f>'Project Cost'!$B$37*0</f>
        <v>0</v>
      </c>
      <c r="V12" s="11">
        <f>'Project Cost'!$B$37*0</f>
        <v>0</v>
      </c>
      <c r="W12" s="11">
        <f>'Project Cost'!$B$37*0</f>
        <v>0</v>
      </c>
      <c r="X12" s="11">
        <f>'Project Cost'!$B$37*0</f>
        <v>0</v>
      </c>
      <c r="Y12" s="11">
        <f>'Project Cost'!$B$37*0</f>
        <v>0</v>
      </c>
      <c r="Z12" s="11">
        <f t="shared" si="0"/>
        <v>18000</v>
      </c>
    </row>
    <row r="13" spans="1:26">
      <c r="A13" s="1" t="s">
        <v>633</v>
      </c>
      <c r="B13" s="11">
        <f>'Project Cost'!$B$38*0.0833333333333333</f>
        <v>7083.3333333333303</v>
      </c>
      <c r="C13" s="11">
        <f>'Project Cost'!$B$38*0.0833333333333333</f>
        <v>7083.3333333333303</v>
      </c>
      <c r="D13" s="11">
        <f>'Project Cost'!$B$38*0.0833333333333333</f>
        <v>7083.3333333333303</v>
      </c>
      <c r="E13" s="11">
        <f>'Project Cost'!$B$38*0.0833333333333333</f>
        <v>7083.3333333333303</v>
      </c>
      <c r="F13" s="11">
        <f>'Project Cost'!$B$38*0.0833333333333333</f>
        <v>7083.3333333333303</v>
      </c>
      <c r="G13" s="11">
        <f>'Project Cost'!$B$38*0.0833333333333333</f>
        <v>7083.3333333333303</v>
      </c>
      <c r="H13" s="11">
        <f>'Project Cost'!$B$38*0.0833333333333333</f>
        <v>7083.3333333333303</v>
      </c>
      <c r="I13" s="11">
        <f>'Project Cost'!$B$38*0.0833333333333333</f>
        <v>7083.3333333333303</v>
      </c>
      <c r="J13" s="11">
        <f>'Project Cost'!$B$38*0.0833333333333333</f>
        <v>7083.3333333333303</v>
      </c>
      <c r="K13" s="11">
        <f>'Project Cost'!$B$38*0.0833333333333333</f>
        <v>7083.3333333333303</v>
      </c>
      <c r="L13" s="11">
        <f>'Project Cost'!$B$38*0.0833333333333333</f>
        <v>7083.3333333333303</v>
      </c>
      <c r="M13" s="11">
        <f>'Project Cost'!$B$38*0.0833333333333333</f>
        <v>7083.3333333333303</v>
      </c>
      <c r="N13" s="11">
        <f>'Project Cost'!$B$38*0</f>
        <v>0</v>
      </c>
      <c r="O13" s="11">
        <f>'Project Cost'!$B$38*0</f>
        <v>0</v>
      </c>
      <c r="P13" s="11">
        <f>'Project Cost'!$B$38*0</f>
        <v>0</v>
      </c>
      <c r="Q13" s="11">
        <f>'Project Cost'!$B$38*0</f>
        <v>0</v>
      </c>
      <c r="R13" s="11">
        <f>'Project Cost'!$B$38*0</f>
        <v>0</v>
      </c>
      <c r="S13" s="11">
        <f>'Project Cost'!$B$38*0</f>
        <v>0</v>
      </c>
      <c r="T13" s="11">
        <f>'Project Cost'!$B$38*0</f>
        <v>0</v>
      </c>
      <c r="U13" s="11">
        <f>'Project Cost'!$B$38*0</f>
        <v>0</v>
      </c>
      <c r="V13" s="11">
        <f>'Project Cost'!$B$38*0</f>
        <v>0</v>
      </c>
      <c r="W13" s="11">
        <f>'Project Cost'!$B$38*0</f>
        <v>0</v>
      </c>
      <c r="X13" s="11">
        <f>'Project Cost'!$B$38*0</f>
        <v>0</v>
      </c>
      <c r="Y13" s="11">
        <f>'Project Cost'!$B$38*0</f>
        <v>0</v>
      </c>
      <c r="Z13" s="11">
        <f t="shared" si="0"/>
        <v>84999.999999999956</v>
      </c>
    </row>
    <row r="14" spans="1:26">
      <c r="A14" s="1" t="s">
        <v>253</v>
      </c>
      <c r="B14" s="11">
        <f>'Project Cost'!$B$39*0.5</f>
        <v>11500</v>
      </c>
      <c r="C14" s="11">
        <f>'Project Cost'!$B$39*0.3</f>
        <v>6900</v>
      </c>
      <c r="D14" s="11">
        <f>'Project Cost'!$B$39*0.2</f>
        <v>4600</v>
      </c>
      <c r="E14" s="11">
        <f>'Project Cost'!$B$39*0</f>
        <v>0</v>
      </c>
      <c r="F14" s="11">
        <f>'Project Cost'!$B$39*0</f>
        <v>0</v>
      </c>
      <c r="G14" s="11">
        <f>'Project Cost'!$B$39*0</f>
        <v>0</v>
      </c>
      <c r="H14" s="11">
        <f>'Project Cost'!$B$39*0</f>
        <v>0</v>
      </c>
      <c r="I14" s="11">
        <f>'Project Cost'!$B$39*0</f>
        <v>0</v>
      </c>
      <c r="J14" s="11">
        <f>'Project Cost'!$B$39*0</f>
        <v>0</v>
      </c>
      <c r="K14" s="11">
        <f>'Project Cost'!$B$39*0</f>
        <v>0</v>
      </c>
      <c r="L14" s="11">
        <f>'Project Cost'!$B$39*0</f>
        <v>0</v>
      </c>
      <c r="M14" s="11">
        <f>'Project Cost'!$B$39*0</f>
        <v>0</v>
      </c>
      <c r="N14" s="11">
        <f>'Project Cost'!$B$39*0</f>
        <v>0</v>
      </c>
      <c r="O14" s="11">
        <f>'Project Cost'!$B$39*0</f>
        <v>0</v>
      </c>
      <c r="P14" s="11">
        <f>'Project Cost'!$B$39*0</f>
        <v>0</v>
      </c>
      <c r="Q14" s="11">
        <f>'Project Cost'!$B$39*0</f>
        <v>0</v>
      </c>
      <c r="R14" s="11">
        <f>'Project Cost'!$B$39*0</f>
        <v>0</v>
      </c>
      <c r="S14" s="11">
        <f>'Project Cost'!$B$39*0</f>
        <v>0</v>
      </c>
      <c r="T14" s="11">
        <f>'Project Cost'!$B$39*0</f>
        <v>0</v>
      </c>
      <c r="U14" s="11">
        <f>'Project Cost'!$B$39*0</f>
        <v>0</v>
      </c>
      <c r="V14" s="11">
        <f>'Project Cost'!$B$39*0</f>
        <v>0</v>
      </c>
      <c r="W14" s="11">
        <f>'Project Cost'!$B$39*0</f>
        <v>0</v>
      </c>
      <c r="X14" s="11">
        <f>'Project Cost'!$B$39*0</f>
        <v>0</v>
      </c>
      <c r="Y14" s="11">
        <f>'Project Cost'!$B$39*0</f>
        <v>0</v>
      </c>
      <c r="Z14" s="11">
        <f t="shared" si="0"/>
        <v>23000</v>
      </c>
    </row>
    <row r="15" spans="1:26">
      <c r="A15" s="1" t="s">
        <v>255</v>
      </c>
      <c r="B15" s="11">
        <f>'Project Cost'!$B$40*0</f>
        <v>0</v>
      </c>
      <c r="C15" s="11">
        <f>'Project Cost'!$B$40*0</f>
        <v>0</v>
      </c>
      <c r="D15" s="11">
        <f>'Project Cost'!$B$40*0</f>
        <v>0</v>
      </c>
      <c r="E15" s="11">
        <f>'Project Cost'!$B$40*0</f>
        <v>0</v>
      </c>
      <c r="F15" s="11">
        <f>'Project Cost'!$B$40*0</f>
        <v>0</v>
      </c>
      <c r="G15" s="11">
        <f>'Project Cost'!$B$40*0</f>
        <v>0</v>
      </c>
      <c r="H15" s="11">
        <f>'Project Cost'!$B$40*0</f>
        <v>0</v>
      </c>
      <c r="I15" s="11">
        <f>'Project Cost'!$B$40*0</f>
        <v>0</v>
      </c>
      <c r="J15" s="11">
        <f>'Project Cost'!$B$40*0</f>
        <v>0</v>
      </c>
      <c r="K15" s="11">
        <f>'Project Cost'!$B$40*0</f>
        <v>0</v>
      </c>
      <c r="L15" s="11">
        <f>'Project Cost'!$B$40*0</f>
        <v>0</v>
      </c>
      <c r="M15" s="11">
        <f>'Project Cost'!$B$40*0</f>
        <v>0</v>
      </c>
      <c r="N15" s="11">
        <f>'Project Cost'!$B$40*1</f>
        <v>55072</v>
      </c>
      <c r="O15" s="11">
        <f>'Project Cost'!$B$40*0</f>
        <v>0</v>
      </c>
      <c r="P15" s="11">
        <f>'Project Cost'!$B$40*0</f>
        <v>0</v>
      </c>
      <c r="Q15" s="11">
        <f>'Project Cost'!$B$40*0</f>
        <v>0</v>
      </c>
      <c r="R15" s="11">
        <f>'Project Cost'!$B$40*0</f>
        <v>0</v>
      </c>
      <c r="S15" s="11">
        <f>'Project Cost'!$B$40*0</f>
        <v>0</v>
      </c>
      <c r="T15" s="11">
        <f>'Project Cost'!$B$40*0</f>
        <v>0</v>
      </c>
      <c r="U15" s="11">
        <f>'Project Cost'!$B$40*0</f>
        <v>0</v>
      </c>
      <c r="V15" s="11">
        <f>'Project Cost'!$B$40*0</f>
        <v>0</v>
      </c>
      <c r="W15" s="11">
        <f>'Project Cost'!$B$40*0</f>
        <v>0</v>
      </c>
      <c r="X15" s="11">
        <f>'Project Cost'!$B$40*0</f>
        <v>0</v>
      </c>
      <c r="Y15" s="11">
        <f>'Project Cost'!$B$40*0</f>
        <v>0</v>
      </c>
      <c r="Z15" s="11">
        <f t="shared" si="0"/>
        <v>55072</v>
      </c>
    </row>
    <row r="16" spans="1:26">
      <c r="A16" s="1" t="s">
        <v>65</v>
      </c>
      <c r="B16" s="11">
        <f>'Project Cost'!$B$41*Assumptions!$B$74/12</f>
        <v>16478.661458333332</v>
      </c>
      <c r="C16" s="11">
        <f>'Project Cost'!$B$41*Assumptions!$B$74/12</f>
        <v>16478.661458333332</v>
      </c>
      <c r="D16" s="11">
        <f>'Project Cost'!$B$41*Assumptions!$B$74/12</f>
        <v>16478.661458333332</v>
      </c>
      <c r="E16" s="11">
        <f>'Project Cost'!$B$41*Assumptions!$B$74/12</f>
        <v>16478.661458333332</v>
      </c>
      <c r="F16" s="11">
        <f>'Project Cost'!$B$41*Assumptions!$B$74/12</f>
        <v>16478.661458333332</v>
      </c>
      <c r="G16" s="11">
        <f>'Project Cost'!$B$41*Assumptions!$B$74/12</f>
        <v>16478.661458333332</v>
      </c>
      <c r="H16" s="11">
        <f>'Project Cost'!$B$41*Assumptions!$B$74/12</f>
        <v>16478.661458333332</v>
      </c>
      <c r="I16" s="11">
        <f>'Project Cost'!$B$41*Assumptions!$B$74/12</f>
        <v>16478.661458333332</v>
      </c>
      <c r="J16" s="11">
        <f>'Project Cost'!$B$41*Assumptions!$B$74/12</f>
        <v>16478.661458333332</v>
      </c>
      <c r="K16" s="11">
        <f>'Project Cost'!$B$41*Assumptions!$B$74/12</f>
        <v>16478.661458333332</v>
      </c>
      <c r="L16" s="11">
        <f>'Project Cost'!$B$41*Assumptions!$B$74/12</f>
        <v>16478.661458333332</v>
      </c>
      <c r="M16" s="11">
        <f>'Project Cost'!$B$41*Assumptions!$B$74/12</f>
        <v>16478.661458333332</v>
      </c>
      <c r="N16" s="11">
        <f>'Project Cost'!$B$41*(1-Assumptions!$B$74)/12</f>
        <v>16478.661458333332</v>
      </c>
      <c r="O16" s="11">
        <f>'Project Cost'!$B$41*(1-Assumptions!$B$74)/12</f>
        <v>16478.661458333332</v>
      </c>
      <c r="P16" s="11">
        <f>'Project Cost'!$B$41*(1-Assumptions!$B$74)/12</f>
        <v>16478.661458333332</v>
      </c>
      <c r="Q16" s="11">
        <f>'Project Cost'!$B$41*(1-Assumptions!$B$74)/12</f>
        <v>16478.661458333332</v>
      </c>
      <c r="R16" s="11">
        <f>'Project Cost'!$B$41*(1-Assumptions!$B$74)/12</f>
        <v>16478.661458333332</v>
      </c>
      <c r="S16" s="11">
        <f>'Project Cost'!$B$41*(1-Assumptions!$B$74)/12</f>
        <v>16478.661458333332</v>
      </c>
      <c r="T16" s="11">
        <f>'Project Cost'!$B$41*(1-Assumptions!$B$74)/12</f>
        <v>16478.661458333332</v>
      </c>
      <c r="U16" s="11">
        <f>'Project Cost'!$B$41*(1-Assumptions!$B$74)/12</f>
        <v>16478.661458333332</v>
      </c>
      <c r="V16" s="11">
        <f>'Project Cost'!$B$41*(1-Assumptions!$B$74)/12</f>
        <v>16478.661458333332</v>
      </c>
      <c r="W16" s="11">
        <f>'Project Cost'!$B$41*(1-Assumptions!$B$74)/12</f>
        <v>16478.661458333332</v>
      </c>
      <c r="X16" s="11">
        <f>'Project Cost'!$B$41*(1-Assumptions!$B$74)/12</f>
        <v>16478.661458333332</v>
      </c>
      <c r="Y16" s="11">
        <f>'Project Cost'!$B$41*(1-Assumptions!$B$74)/12</f>
        <v>16478.661458333332</v>
      </c>
      <c r="Z16" s="11">
        <f t="shared" si="0"/>
        <v>395487.87499999988</v>
      </c>
    </row>
    <row r="17" spans="1:26">
      <c r="A17" s="1" t="s">
        <v>259</v>
      </c>
      <c r="B17" s="11">
        <f>'Project Cost'!$B$42*Assumptions!$B$75/12</f>
        <v>0</v>
      </c>
      <c r="C17" s="11">
        <f>'Project Cost'!$B$42*Assumptions!$B$75/12</f>
        <v>0</v>
      </c>
      <c r="D17" s="11">
        <f>'Project Cost'!$B$42*Assumptions!$B$75/12</f>
        <v>0</v>
      </c>
      <c r="E17" s="11">
        <f>'Project Cost'!$B$42*Assumptions!$B$75/12</f>
        <v>0</v>
      </c>
      <c r="F17" s="11">
        <f>'Project Cost'!$B$42*Assumptions!$B$75/12</f>
        <v>0</v>
      </c>
      <c r="G17" s="11">
        <f>'Project Cost'!$B$42*Assumptions!$B$75/12</f>
        <v>0</v>
      </c>
      <c r="H17" s="11">
        <f>'Project Cost'!$B$42*Assumptions!$B$75/12</f>
        <v>0</v>
      </c>
      <c r="I17" s="11">
        <f>'Project Cost'!$B$42*Assumptions!$B$75/12</f>
        <v>0</v>
      </c>
      <c r="J17" s="11">
        <f>'Project Cost'!$B$42*Assumptions!$B$75/12</f>
        <v>0</v>
      </c>
      <c r="K17" s="11">
        <f>'Project Cost'!$B$42*Assumptions!$B$75/12</f>
        <v>0</v>
      </c>
      <c r="L17" s="11">
        <f>'Project Cost'!$B$42*Assumptions!$B$75/12</f>
        <v>0</v>
      </c>
      <c r="M17" s="11">
        <f>'Project Cost'!$B$42*Assumptions!$B$75/12</f>
        <v>0</v>
      </c>
      <c r="N17" s="11">
        <f>'Project Cost'!$B$42*(1-Assumptions!$B$75)/12</f>
        <v>0</v>
      </c>
      <c r="O17" s="11">
        <f>'Project Cost'!$B$42*(1-Assumptions!$B$75)/12</f>
        <v>0</v>
      </c>
      <c r="P17" s="11">
        <f>'Project Cost'!$B$42*(1-Assumptions!$B$75)/12</f>
        <v>0</v>
      </c>
      <c r="Q17" s="11">
        <f>'Project Cost'!$B$42*(1-Assumptions!$B$75)/12</f>
        <v>0</v>
      </c>
      <c r="R17" s="11">
        <f>'Project Cost'!$B$42*(1-Assumptions!$B$75)/12</f>
        <v>0</v>
      </c>
      <c r="S17" s="11">
        <f>'Project Cost'!$B$42*(1-Assumptions!$B$75)/12</f>
        <v>0</v>
      </c>
      <c r="T17" s="11">
        <f>'Project Cost'!$B$42*(1-Assumptions!$B$75)/12</f>
        <v>0</v>
      </c>
      <c r="U17" s="11">
        <f>'Project Cost'!$B$42*(1-Assumptions!$B$75)/12</f>
        <v>0</v>
      </c>
      <c r="V17" s="11">
        <f>'Project Cost'!$B$42*(1-Assumptions!$B$75)/12</f>
        <v>0</v>
      </c>
      <c r="W17" s="11">
        <f>'Project Cost'!$B$42*(1-Assumptions!$B$75)/12</f>
        <v>0</v>
      </c>
      <c r="X17" s="11">
        <f>'Project Cost'!$B$42*(1-Assumptions!$B$75)/12</f>
        <v>0</v>
      </c>
      <c r="Y17" s="11">
        <f>'Project Cost'!$B$42*(1-Assumptions!$B$75)/12</f>
        <v>0</v>
      </c>
      <c r="Z17" s="11">
        <f t="shared" si="0"/>
        <v>0</v>
      </c>
    </row>
    <row r="18" spans="1:26">
      <c r="A18" s="1" t="s">
        <v>84</v>
      </c>
      <c r="B18" s="11">
        <f>'Project Cost'!$B$43*0</f>
        <v>0</v>
      </c>
      <c r="C18" s="11">
        <f>'Project Cost'!$B$43*0</f>
        <v>0</v>
      </c>
      <c r="D18" s="11">
        <f>'Project Cost'!$B$43*0</f>
        <v>0</v>
      </c>
      <c r="E18" s="11">
        <f>'Project Cost'!$B$43*0</f>
        <v>0</v>
      </c>
      <c r="F18" s="11">
        <f>'Project Cost'!$B$43*0</f>
        <v>0</v>
      </c>
      <c r="G18" s="11">
        <f>'Project Cost'!$B$43*0</f>
        <v>0</v>
      </c>
      <c r="H18" s="11">
        <f>'Project Cost'!$B$43*0</f>
        <v>0</v>
      </c>
      <c r="I18" s="11">
        <f>'Project Cost'!$B$43*0</f>
        <v>0</v>
      </c>
      <c r="J18" s="11">
        <f>'Project Cost'!$B$43*0</f>
        <v>0</v>
      </c>
      <c r="K18" s="11">
        <f>'Project Cost'!$B$43*0</f>
        <v>0</v>
      </c>
      <c r="L18" s="11">
        <f>'Project Cost'!$B$43*0</f>
        <v>0</v>
      </c>
      <c r="M18" s="11">
        <f>'Project Cost'!$B$43*0</f>
        <v>0</v>
      </c>
      <c r="N18" s="11">
        <f>'Project Cost'!$B$43*0.08</f>
        <v>12655.611999999999</v>
      </c>
      <c r="O18" s="11">
        <f>'Project Cost'!$B$43*0.1</f>
        <v>15819.514999999999</v>
      </c>
      <c r="P18" s="11">
        <f>'Project Cost'!$B$43*0.12</f>
        <v>18983.417999999998</v>
      </c>
      <c r="Q18" s="11">
        <f>'Project Cost'!$B$43*0.13</f>
        <v>20565.369500000001</v>
      </c>
      <c r="R18" s="11">
        <f>'Project Cost'!$B$43*0.13</f>
        <v>20565.369500000001</v>
      </c>
      <c r="S18" s="11">
        <f>'Project Cost'!$B$43*0.12</f>
        <v>18983.417999999998</v>
      </c>
      <c r="T18" s="11">
        <f>'Project Cost'!$B$43*0.1</f>
        <v>15819.514999999999</v>
      </c>
      <c r="U18" s="11">
        <f>'Project Cost'!$B$43*0.08</f>
        <v>12655.611999999999</v>
      </c>
      <c r="V18" s="11">
        <f>'Project Cost'!$B$43*0.07</f>
        <v>11073.6605</v>
      </c>
      <c r="W18" s="11">
        <f>'Project Cost'!$B$43*0.04</f>
        <v>6327.8059999999996</v>
      </c>
      <c r="X18" s="11">
        <f>'Project Cost'!$B$43*0.02</f>
        <v>3163.9029999999998</v>
      </c>
      <c r="Y18" s="11">
        <f>'Project Cost'!$B$43*0.01</f>
        <v>1581.9514999999999</v>
      </c>
      <c r="Z18" s="11">
        <f t="shared" si="0"/>
        <v>158195.15</v>
      </c>
    </row>
    <row r="19" spans="1:26">
      <c r="A19" s="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">
      <c r="A20" s="44" t="s">
        <v>634</v>
      </c>
      <c r="B20" s="45">
        <f t="shared" ref="B20:Z20" si="1">SUM(B8:B18)</f>
        <v>83561.994791666657</v>
      </c>
      <c r="C20" s="45">
        <f t="shared" si="1"/>
        <v>67561.994791666657</v>
      </c>
      <c r="D20" s="45">
        <f t="shared" si="1"/>
        <v>91214.454791666663</v>
      </c>
      <c r="E20" s="45">
        <f t="shared" si="1"/>
        <v>75214.454791666663</v>
      </c>
      <c r="F20" s="45">
        <f t="shared" si="1"/>
        <v>106866.91479166666</v>
      </c>
      <c r="G20" s="45">
        <f t="shared" si="1"/>
        <v>106866.91479166666</v>
      </c>
      <c r="H20" s="45">
        <f t="shared" si="1"/>
        <v>106866.91479166666</v>
      </c>
      <c r="I20" s="45">
        <f t="shared" si="1"/>
        <v>106866.91479166666</v>
      </c>
      <c r="J20" s="45">
        <f t="shared" si="1"/>
        <v>96866.914791666655</v>
      </c>
      <c r="K20" s="45">
        <f t="shared" si="1"/>
        <v>133919.37479166666</v>
      </c>
      <c r="L20" s="45">
        <f t="shared" si="1"/>
        <v>133919.37479166666</v>
      </c>
      <c r="M20" s="45">
        <f t="shared" si="1"/>
        <v>104066.91479166666</v>
      </c>
      <c r="N20" s="45">
        <f t="shared" si="1"/>
        <v>84206.273458333322</v>
      </c>
      <c r="O20" s="45">
        <f t="shared" si="1"/>
        <v>32298.176458333332</v>
      </c>
      <c r="P20" s="45">
        <f t="shared" si="1"/>
        <v>35462.079458333334</v>
      </c>
      <c r="Q20" s="45">
        <f t="shared" si="1"/>
        <v>37044.030958333329</v>
      </c>
      <c r="R20" s="45">
        <f t="shared" si="1"/>
        <v>37044.030958333329</v>
      </c>
      <c r="S20" s="45">
        <f t="shared" si="1"/>
        <v>35462.079458333334</v>
      </c>
      <c r="T20" s="45">
        <f t="shared" si="1"/>
        <v>32298.176458333332</v>
      </c>
      <c r="U20" s="45">
        <f t="shared" si="1"/>
        <v>29134.273458333329</v>
      </c>
      <c r="V20" s="45">
        <f t="shared" si="1"/>
        <v>27552.321958333334</v>
      </c>
      <c r="W20" s="45">
        <f t="shared" si="1"/>
        <v>22806.467458333333</v>
      </c>
      <c r="X20" s="45">
        <f t="shared" si="1"/>
        <v>19642.564458333331</v>
      </c>
      <c r="Y20" s="45">
        <f t="shared" si="1"/>
        <v>18060.612958333331</v>
      </c>
      <c r="Z20" s="45">
        <f t="shared" si="1"/>
        <v>1624804.2249999996</v>
      </c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>
      <c r="A22" s="17" t="s">
        <v>635</v>
      </c>
      <c r="B22" s="17" t="s">
        <v>380</v>
      </c>
      <c r="C22" s="17" t="s">
        <v>636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 t="s">
        <v>637</v>
      </c>
      <c r="B23" s="11">
        <f>Z20</f>
        <v>1624804.2249999996</v>
      </c>
      <c r="C23" s="11">
        <f>'Project Cost'!$B$44</f>
        <v>1624804.2249999999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 t="s">
        <v>638</v>
      </c>
      <c r="B24" s="11">
        <f>B23-C23</f>
        <v>0</v>
      </c>
      <c r="C24" s="11" t="s">
        <v>639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>
      <c r="A27" s="27" t="s">
        <v>640</v>
      </c>
      <c r="B27" s="27"/>
      <c r="C27" s="27"/>
      <c r="D27" s="27"/>
      <c r="E27" s="27"/>
      <c r="F27" s="27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">
      <c r="A28" s="17" t="s">
        <v>641</v>
      </c>
      <c r="B28" s="17" t="s">
        <v>642</v>
      </c>
      <c r="C28" s="17" t="s">
        <v>643</v>
      </c>
      <c r="D28" s="17" t="s">
        <v>644</v>
      </c>
      <c r="E28" s="17" t="s">
        <v>645</v>
      </c>
      <c r="F28" s="17" t="s">
        <v>646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8.5">
      <c r="A29" s="1" t="s">
        <v>647</v>
      </c>
      <c r="B29" s="10">
        <v>1</v>
      </c>
      <c r="C29" s="1" t="s">
        <v>648</v>
      </c>
      <c r="D29" s="1" t="s">
        <v>649</v>
      </c>
      <c r="E29" s="1" t="s">
        <v>650</v>
      </c>
      <c r="F29" s="1" t="s">
        <v>651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 t="s">
        <v>652</v>
      </c>
      <c r="B30" s="10">
        <v>3</v>
      </c>
      <c r="C30" s="1" t="s">
        <v>648</v>
      </c>
      <c r="D30" s="1" t="s">
        <v>653</v>
      </c>
      <c r="E30" s="1" t="s">
        <v>654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8.5">
      <c r="A31" s="1" t="s">
        <v>655</v>
      </c>
      <c r="B31" s="10">
        <v>3</v>
      </c>
      <c r="C31" s="1" t="s">
        <v>648</v>
      </c>
      <c r="D31" s="1" t="s">
        <v>656</v>
      </c>
      <c r="E31" s="1" t="s">
        <v>657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 t="s">
        <v>658</v>
      </c>
      <c r="B32" s="10">
        <v>3</v>
      </c>
      <c r="C32" s="1" t="s">
        <v>648</v>
      </c>
      <c r="D32" s="1" t="s">
        <v>659</v>
      </c>
      <c r="E32" s="1" t="s">
        <v>660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661</v>
      </c>
      <c r="B33" s="10">
        <v>5</v>
      </c>
      <c r="C33" s="1" t="s">
        <v>648</v>
      </c>
      <c r="D33" s="1" t="s">
        <v>662</v>
      </c>
      <c r="E33" s="1" t="s">
        <v>663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8.5">
      <c r="A34" s="1" t="s">
        <v>664</v>
      </c>
      <c r="B34" s="10">
        <v>8</v>
      </c>
      <c r="C34" s="1" t="s">
        <v>648</v>
      </c>
      <c r="D34" s="1" t="s">
        <v>659</v>
      </c>
      <c r="E34" s="1" t="s">
        <v>665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666</v>
      </c>
      <c r="B35" s="10">
        <v>10</v>
      </c>
      <c r="C35" s="1" t="s">
        <v>648</v>
      </c>
      <c r="D35" s="1" t="s">
        <v>667</v>
      </c>
      <c r="E35" s="1" t="s">
        <v>668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669</v>
      </c>
      <c r="B36" s="10">
        <v>12</v>
      </c>
      <c r="C36" s="1" t="s">
        <v>648</v>
      </c>
      <c r="D36" s="1" t="s">
        <v>670</v>
      </c>
      <c r="E36" s="1" t="s">
        <v>671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672</v>
      </c>
      <c r="B37" s="10">
        <v>12</v>
      </c>
      <c r="C37" s="1" t="s">
        <v>648</v>
      </c>
      <c r="D37" s="1" t="s">
        <v>673</v>
      </c>
      <c r="E37" s="1" t="s">
        <v>674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675</v>
      </c>
      <c r="B38" s="10">
        <v>12</v>
      </c>
      <c r="C38" s="1" t="s">
        <v>648</v>
      </c>
      <c r="D38" s="1" t="s">
        <v>676</v>
      </c>
      <c r="E38" s="1" t="s">
        <v>677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8.5">
      <c r="A39" s="1" t="s">
        <v>678</v>
      </c>
      <c r="B39" s="10">
        <v>12</v>
      </c>
      <c r="C39" s="1" t="s">
        <v>648</v>
      </c>
      <c r="D39" s="1" t="s">
        <v>679</v>
      </c>
      <c r="E39" s="1" t="s">
        <v>680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681</v>
      </c>
      <c r="B40" s="10">
        <v>13</v>
      </c>
      <c r="C40" s="1" t="s">
        <v>648</v>
      </c>
      <c r="D40" s="1" t="s">
        <v>682</v>
      </c>
      <c r="E40" s="1" t="s">
        <v>683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</sheetData>
  <mergeCells count="4">
    <mergeCell ref="A1:Z1"/>
    <mergeCell ref="A2:Z2"/>
    <mergeCell ref="A7:Z7"/>
    <mergeCell ref="A27:F27"/>
  </mergeCells>
  <conditionalFormatting sqref="B24">
    <cfRule type="expression" dxfId="1" priority="1">
      <formula>ABS(B24)&gt;1</formula>
    </cfRule>
  </conditionalFormatting>
  <dataValidations count="1">
    <dataValidation type="list" sqref="C29:C40" xr:uid="{00000000-0002-0000-0A00-000000000000}">
      <formula1>"Planned,In Progress,Complete,Delayed"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26"/>
  <sheetViews>
    <sheetView workbookViewId="0"/>
  </sheetViews>
  <sheetFormatPr defaultRowHeight="14.25"/>
  <cols>
    <col min="1" max="1" width="42" customWidth="1"/>
    <col min="2" max="26" width="12" customWidth="1"/>
  </cols>
  <sheetData>
    <row r="1" spans="1:26" ht="19.5">
      <c r="A1" s="25" t="s">
        <v>684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>
      <c r="A2" s="26" t="s">
        <v>685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>
      <c r="A4" s="17" t="s">
        <v>268</v>
      </c>
      <c r="B4" s="17">
        <v>1</v>
      </c>
      <c r="C4" s="17">
        <v>2</v>
      </c>
      <c r="D4" s="17">
        <v>3</v>
      </c>
      <c r="E4" s="17">
        <v>4</v>
      </c>
      <c r="F4" s="17">
        <v>5</v>
      </c>
      <c r="G4" s="17">
        <v>6</v>
      </c>
      <c r="H4" s="17">
        <v>7</v>
      </c>
      <c r="I4" s="17">
        <v>8</v>
      </c>
      <c r="J4" s="17">
        <v>9</v>
      </c>
      <c r="K4" s="17">
        <v>10</v>
      </c>
      <c r="L4" s="17">
        <v>11</v>
      </c>
      <c r="M4" s="17">
        <v>12</v>
      </c>
      <c r="N4" s="17">
        <v>13</v>
      </c>
      <c r="O4" s="17">
        <v>14</v>
      </c>
      <c r="P4" s="17">
        <v>15</v>
      </c>
      <c r="Q4" s="17">
        <v>16</v>
      </c>
      <c r="R4" s="17">
        <v>17</v>
      </c>
      <c r="S4" s="17">
        <v>18</v>
      </c>
      <c r="T4" s="17">
        <v>19</v>
      </c>
      <c r="U4" s="17">
        <v>20</v>
      </c>
      <c r="V4" s="17">
        <v>21</v>
      </c>
      <c r="W4" s="17">
        <v>22</v>
      </c>
      <c r="X4" s="17">
        <v>23</v>
      </c>
      <c r="Y4" s="17">
        <v>24</v>
      </c>
      <c r="Z4" s="17" t="s">
        <v>269</v>
      </c>
    </row>
    <row r="5" spans="1:26" ht="15">
      <c r="A5" s="17" t="s">
        <v>270</v>
      </c>
      <c r="B5" s="48">
        <f>'Monthly Operations'!B5</f>
        <v>46296</v>
      </c>
      <c r="C5" s="48">
        <f>'Monthly Operations'!C5</f>
        <v>46327</v>
      </c>
      <c r="D5" s="48">
        <f>'Monthly Operations'!D5</f>
        <v>46357</v>
      </c>
      <c r="E5" s="48">
        <f>'Monthly Operations'!E5</f>
        <v>46388</v>
      </c>
      <c r="F5" s="48">
        <f>'Monthly Operations'!F5</f>
        <v>46419</v>
      </c>
      <c r="G5" s="48">
        <f>'Monthly Operations'!G5</f>
        <v>46447</v>
      </c>
      <c r="H5" s="48">
        <f>'Monthly Operations'!H5</f>
        <v>46478</v>
      </c>
      <c r="I5" s="48">
        <f>'Monthly Operations'!I5</f>
        <v>46508</v>
      </c>
      <c r="J5" s="48">
        <f>'Monthly Operations'!J5</f>
        <v>46539</v>
      </c>
      <c r="K5" s="48">
        <f>'Monthly Operations'!K5</f>
        <v>46569</v>
      </c>
      <c r="L5" s="48">
        <f>'Monthly Operations'!L5</f>
        <v>46600</v>
      </c>
      <c r="M5" s="48">
        <f>'Monthly Operations'!M5</f>
        <v>46631</v>
      </c>
      <c r="N5" s="48">
        <f>'Monthly Operations'!N5</f>
        <v>46661</v>
      </c>
      <c r="O5" s="48">
        <f>'Monthly Operations'!O5</f>
        <v>46692</v>
      </c>
      <c r="P5" s="48">
        <f>'Monthly Operations'!P5</f>
        <v>46722</v>
      </c>
      <c r="Q5" s="48">
        <f>'Monthly Operations'!Q5</f>
        <v>46753</v>
      </c>
      <c r="R5" s="48">
        <f>'Monthly Operations'!R5</f>
        <v>46784</v>
      </c>
      <c r="S5" s="48">
        <f>'Monthly Operations'!S5</f>
        <v>46813</v>
      </c>
      <c r="T5" s="48">
        <f>'Monthly Operations'!T5</f>
        <v>46844</v>
      </c>
      <c r="U5" s="48">
        <f>'Monthly Operations'!U5</f>
        <v>46874</v>
      </c>
      <c r="V5" s="48">
        <f>'Monthly Operations'!V5</f>
        <v>46905</v>
      </c>
      <c r="W5" s="48">
        <f>'Monthly Operations'!W5</f>
        <v>46935</v>
      </c>
      <c r="X5" s="48">
        <f>'Monthly Operations'!X5</f>
        <v>46966</v>
      </c>
      <c r="Y5" s="48">
        <f>'Monthly Operations'!Y5</f>
        <v>46997</v>
      </c>
      <c r="Z5" s="17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>
      <c r="A7" s="27" t="s">
        <v>686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>
      <c r="A8" s="1" t="s">
        <v>321</v>
      </c>
      <c r="B8" s="11">
        <f>'Monthly Operations'!B22</f>
        <v>0</v>
      </c>
      <c r="C8" s="11">
        <f>'Monthly Operations'!C22</f>
        <v>3000000</v>
      </c>
      <c r="D8" s="11">
        <f>'Monthly Operations'!D22</f>
        <v>3000000</v>
      </c>
      <c r="E8" s="11">
        <f>'Monthly Operations'!E22</f>
        <v>3000000</v>
      </c>
      <c r="F8" s="11">
        <f>'Monthly Operations'!F22</f>
        <v>141680.55163043411</v>
      </c>
      <c r="G8" s="11">
        <f>'Monthly Operations'!G22</f>
        <v>141680.55163043411</v>
      </c>
      <c r="H8" s="11">
        <f>'Monthly Operations'!H22</f>
        <v>141680.55163043411</v>
      </c>
      <c r="I8" s="11">
        <f>'Monthly Operations'!I22</f>
        <v>141680.55163043411</v>
      </c>
      <c r="J8" s="11">
        <f>'Monthly Operations'!J22</f>
        <v>141680.55163043411</v>
      </c>
      <c r="K8" s="11">
        <f>'Monthly Operations'!K22</f>
        <v>141680.55163043411</v>
      </c>
      <c r="L8" s="11">
        <f>'Monthly Operations'!L22</f>
        <v>141680.55163043411</v>
      </c>
      <c r="M8" s="11">
        <f>'Monthly Operations'!M22</f>
        <v>141680.55163043411</v>
      </c>
      <c r="N8" s="11">
        <f>'Monthly Operations'!N22</f>
        <v>141680.55163043411</v>
      </c>
      <c r="O8" s="11">
        <f>'Monthly Operations'!O22</f>
        <v>141680.55163043411</v>
      </c>
      <c r="P8" s="11">
        <f>'Monthly Operations'!P22</f>
        <v>141680.55163043411</v>
      </c>
      <c r="Q8" s="11">
        <f>'Monthly Operations'!Q22</f>
        <v>141680.55163043411</v>
      </c>
      <c r="R8" s="11">
        <f>'Monthly Operations'!R22</f>
        <v>141680.55163043411</v>
      </c>
      <c r="S8" s="11">
        <f>'Monthly Operations'!S22</f>
        <v>141680.55163043411</v>
      </c>
      <c r="T8" s="11">
        <f>'Monthly Operations'!T22</f>
        <v>141680.55163043411</v>
      </c>
      <c r="U8" s="11">
        <f>'Monthly Operations'!U22</f>
        <v>141680.55163043411</v>
      </c>
      <c r="V8" s="11">
        <f>'Monthly Operations'!V22</f>
        <v>141680.55163043411</v>
      </c>
      <c r="W8" s="11">
        <f>'Monthly Operations'!W22</f>
        <v>141680.55163043411</v>
      </c>
      <c r="X8" s="11">
        <f>'Monthly Operations'!X22</f>
        <v>141680.55163043411</v>
      </c>
      <c r="Y8" s="11">
        <f>'Monthly Operations'!Y22</f>
        <v>141680.55163043411</v>
      </c>
      <c r="Z8" s="11">
        <f>Y8</f>
        <v>141680.55163043411</v>
      </c>
    </row>
    <row r="9" spans="1:26">
      <c r="A9" s="1" t="s">
        <v>687</v>
      </c>
      <c r="B9" s="11">
        <f>'Monthly Operations'!B23</f>
        <v>3000000</v>
      </c>
      <c r="C9" s="11">
        <f>'Monthly Operations'!C23</f>
        <v>0</v>
      </c>
      <c r="D9" s="11">
        <f>'Monthly Operations'!D23</f>
        <v>0</v>
      </c>
      <c r="E9" s="11">
        <f>'Monthly Operations'!E23</f>
        <v>0</v>
      </c>
      <c r="F9" s="11">
        <f>'Monthly Operations'!F23</f>
        <v>0</v>
      </c>
      <c r="G9" s="11">
        <f>'Monthly Operations'!G23</f>
        <v>0</v>
      </c>
      <c r="H9" s="11">
        <f>'Monthly Operations'!H23</f>
        <v>0</v>
      </c>
      <c r="I9" s="11">
        <f>'Monthly Operations'!I23</f>
        <v>0</v>
      </c>
      <c r="J9" s="11">
        <f>'Monthly Operations'!J23</f>
        <v>0</v>
      </c>
      <c r="K9" s="11">
        <f>'Monthly Operations'!K23</f>
        <v>0</v>
      </c>
      <c r="L9" s="11">
        <f>'Monthly Operations'!L23</f>
        <v>0</v>
      </c>
      <c r="M9" s="11">
        <f>'Monthly Operations'!M23</f>
        <v>0</v>
      </c>
      <c r="N9" s="11">
        <f>'Monthly Operations'!N23</f>
        <v>0</v>
      </c>
      <c r="O9" s="11">
        <f>'Monthly Operations'!O23</f>
        <v>0</v>
      </c>
      <c r="P9" s="11">
        <f>'Monthly Operations'!P23</f>
        <v>0</v>
      </c>
      <c r="Q9" s="11">
        <f>'Monthly Operations'!Q23</f>
        <v>0</v>
      </c>
      <c r="R9" s="11">
        <f>'Monthly Operations'!R23</f>
        <v>0</v>
      </c>
      <c r="S9" s="11">
        <f>'Monthly Operations'!S23</f>
        <v>0</v>
      </c>
      <c r="T9" s="11">
        <f>'Monthly Operations'!T23</f>
        <v>0</v>
      </c>
      <c r="U9" s="11">
        <f>'Monthly Operations'!U23</f>
        <v>0</v>
      </c>
      <c r="V9" s="11">
        <f>'Monthly Operations'!V23</f>
        <v>0</v>
      </c>
      <c r="W9" s="11">
        <f>'Monthly Operations'!W23</f>
        <v>0</v>
      </c>
      <c r="X9" s="11">
        <f>'Monthly Operations'!X23</f>
        <v>0</v>
      </c>
      <c r="Y9" s="11">
        <f>'Monthly Operations'!Y23</f>
        <v>0</v>
      </c>
      <c r="Z9" s="11">
        <f>SUM(B9:Y9)</f>
        <v>3000000</v>
      </c>
    </row>
    <row r="10" spans="1:26">
      <c r="A10" s="1" t="s">
        <v>422</v>
      </c>
      <c r="B10" s="11">
        <f>'Monthly Operations'!B39</f>
        <v>0</v>
      </c>
      <c r="C10" s="11">
        <f>'Monthly Operations'!C39</f>
        <v>0</v>
      </c>
      <c r="D10" s="11">
        <f>'Monthly Operations'!D39</f>
        <v>0</v>
      </c>
      <c r="E10" s="11">
        <f>'Monthly Operations'!E39</f>
        <v>2858319.4483695659</v>
      </c>
      <c r="F10" s="11">
        <f>'Monthly Operations'!F39</f>
        <v>0</v>
      </c>
      <c r="G10" s="11">
        <f>'Monthly Operations'!G39</f>
        <v>0</v>
      </c>
      <c r="H10" s="11">
        <f>'Monthly Operations'!H39</f>
        <v>0</v>
      </c>
      <c r="I10" s="11">
        <f>'Monthly Operations'!I39</f>
        <v>0</v>
      </c>
      <c r="J10" s="11">
        <f>'Monthly Operations'!J39</f>
        <v>0</v>
      </c>
      <c r="K10" s="11">
        <f>'Monthly Operations'!K39</f>
        <v>0</v>
      </c>
      <c r="L10" s="11">
        <f>'Monthly Operations'!L39</f>
        <v>0</v>
      </c>
      <c r="M10" s="11">
        <f>'Monthly Operations'!M39</f>
        <v>0</v>
      </c>
      <c r="N10" s="11">
        <f>'Monthly Operations'!N39</f>
        <v>0</v>
      </c>
      <c r="O10" s="11">
        <f>'Monthly Operations'!O39</f>
        <v>0</v>
      </c>
      <c r="P10" s="11">
        <f>'Monthly Operations'!P39</f>
        <v>0</v>
      </c>
      <c r="Q10" s="11">
        <f>'Monthly Operations'!Q39</f>
        <v>0</v>
      </c>
      <c r="R10" s="11">
        <f>'Monthly Operations'!R39</f>
        <v>0</v>
      </c>
      <c r="S10" s="11">
        <f>'Monthly Operations'!S39</f>
        <v>0</v>
      </c>
      <c r="T10" s="11">
        <f>'Monthly Operations'!T39</f>
        <v>0</v>
      </c>
      <c r="U10" s="11">
        <f>'Monthly Operations'!U39</f>
        <v>0</v>
      </c>
      <c r="V10" s="11">
        <f>'Monthly Operations'!V39</f>
        <v>0</v>
      </c>
      <c r="W10" s="11">
        <f>'Monthly Operations'!W39</f>
        <v>0</v>
      </c>
      <c r="X10" s="11">
        <f>'Monthly Operations'!X39</f>
        <v>0</v>
      </c>
      <c r="Y10" s="11">
        <f>'Monthly Operations'!Y39</f>
        <v>0</v>
      </c>
      <c r="Z10" s="11">
        <f>SUM(B10:Y10)</f>
        <v>2858319.4483695659</v>
      </c>
    </row>
    <row r="11" spans="1:26">
      <c r="A11" s="1" t="s">
        <v>688</v>
      </c>
      <c r="B11" s="11">
        <f>'Monthly Operations'!B40</f>
        <v>0</v>
      </c>
      <c r="C11" s="11">
        <f>'Monthly Operations'!C40</f>
        <v>0</v>
      </c>
      <c r="D11" s="11">
        <f>'Monthly Operations'!D40</f>
        <v>0</v>
      </c>
      <c r="E11" s="11">
        <f>'Monthly Operations'!E40</f>
        <v>0</v>
      </c>
      <c r="F11" s="11">
        <f>'Monthly Operations'!F40</f>
        <v>0</v>
      </c>
      <c r="G11" s="11">
        <f>'Monthly Operations'!G40</f>
        <v>0</v>
      </c>
      <c r="H11" s="11">
        <f>'Monthly Operations'!H40</f>
        <v>0</v>
      </c>
      <c r="I11" s="11">
        <f>'Monthly Operations'!I40</f>
        <v>0</v>
      </c>
      <c r="J11" s="11">
        <f>'Monthly Operations'!J40</f>
        <v>0</v>
      </c>
      <c r="K11" s="11">
        <f>'Monthly Operations'!K40</f>
        <v>0</v>
      </c>
      <c r="L11" s="11">
        <f>'Monthly Operations'!L40</f>
        <v>0</v>
      </c>
      <c r="M11" s="11">
        <f>'Monthly Operations'!M40</f>
        <v>0</v>
      </c>
      <c r="N11" s="11">
        <f>'Monthly Operations'!N40</f>
        <v>0</v>
      </c>
      <c r="O11" s="11">
        <f>'Monthly Operations'!O40</f>
        <v>0</v>
      </c>
      <c r="P11" s="11">
        <f>'Monthly Operations'!P40</f>
        <v>0</v>
      </c>
      <c r="Q11" s="11">
        <f>'Monthly Operations'!Q40</f>
        <v>0</v>
      </c>
      <c r="R11" s="11">
        <f>'Monthly Operations'!R40</f>
        <v>0</v>
      </c>
      <c r="S11" s="11">
        <f>'Monthly Operations'!S40</f>
        <v>0</v>
      </c>
      <c r="T11" s="11">
        <f>'Monthly Operations'!T40</f>
        <v>0</v>
      </c>
      <c r="U11" s="11">
        <f>'Monthly Operations'!U40</f>
        <v>0</v>
      </c>
      <c r="V11" s="11">
        <f>'Monthly Operations'!V40</f>
        <v>0</v>
      </c>
      <c r="W11" s="11">
        <f>'Monthly Operations'!W40</f>
        <v>0</v>
      </c>
      <c r="X11" s="11">
        <f>'Monthly Operations'!X40</f>
        <v>0</v>
      </c>
      <c r="Y11" s="11">
        <f>'Monthly Operations'!Y40</f>
        <v>0</v>
      </c>
      <c r="Z11" s="11">
        <f>SUM(B11:Y11)</f>
        <v>0</v>
      </c>
    </row>
    <row r="12" spans="1:26">
      <c r="A12" s="1" t="s">
        <v>689</v>
      </c>
      <c r="B12" s="11">
        <f>'Monthly Operations'!B43</f>
        <v>0</v>
      </c>
      <c r="C12" s="11">
        <f>'Monthly Operations'!C43</f>
        <v>0</v>
      </c>
      <c r="D12" s="11">
        <f>'Monthly Operations'!D43</f>
        <v>0</v>
      </c>
      <c r="E12" s="11">
        <f>'Monthly Operations'!E43</f>
        <v>0</v>
      </c>
      <c r="F12" s="11">
        <f>'Monthly Operations'!F43</f>
        <v>0</v>
      </c>
      <c r="G12" s="11">
        <f>'Monthly Operations'!G43</f>
        <v>0</v>
      </c>
      <c r="H12" s="11">
        <f>'Monthly Operations'!H43</f>
        <v>0</v>
      </c>
      <c r="I12" s="11">
        <f>'Monthly Operations'!I43</f>
        <v>0</v>
      </c>
      <c r="J12" s="11">
        <f>'Monthly Operations'!J43</f>
        <v>0</v>
      </c>
      <c r="K12" s="11">
        <f>'Monthly Operations'!K43</f>
        <v>0</v>
      </c>
      <c r="L12" s="11">
        <f>'Monthly Operations'!L43</f>
        <v>0</v>
      </c>
      <c r="M12" s="11">
        <f>'Monthly Operations'!M43</f>
        <v>0</v>
      </c>
      <c r="N12" s="11">
        <f>'Monthly Operations'!N43</f>
        <v>0</v>
      </c>
      <c r="O12" s="11">
        <f>'Monthly Operations'!O43</f>
        <v>0</v>
      </c>
      <c r="P12" s="11">
        <f>'Monthly Operations'!P43</f>
        <v>0</v>
      </c>
      <c r="Q12" s="11">
        <f>'Monthly Operations'!Q43</f>
        <v>0</v>
      </c>
      <c r="R12" s="11">
        <f>'Monthly Operations'!R43</f>
        <v>0</v>
      </c>
      <c r="S12" s="11">
        <f>'Monthly Operations'!S43</f>
        <v>0</v>
      </c>
      <c r="T12" s="11">
        <f>'Monthly Operations'!T43</f>
        <v>0</v>
      </c>
      <c r="U12" s="11">
        <f>'Monthly Operations'!U43</f>
        <v>0</v>
      </c>
      <c r="V12" s="11">
        <f>'Monthly Operations'!V43</f>
        <v>0</v>
      </c>
      <c r="W12" s="11">
        <f>'Monthly Operations'!W43</f>
        <v>0</v>
      </c>
      <c r="X12" s="11">
        <f>'Monthly Operations'!X43</f>
        <v>0</v>
      </c>
      <c r="Y12" s="11">
        <f>'Monthly Operations'!Y43</f>
        <v>141680.55163043411</v>
      </c>
      <c r="Z12" s="11">
        <f>SUM(B12:Y12)</f>
        <v>141680.55163043411</v>
      </c>
    </row>
    <row r="13" spans="1:26">
      <c r="A13" s="1" t="s">
        <v>346</v>
      </c>
      <c r="B13" s="11">
        <f>'Monthly Operations'!B50</f>
        <v>3000000</v>
      </c>
      <c r="C13" s="11">
        <f>'Monthly Operations'!C50</f>
        <v>3000000</v>
      </c>
      <c r="D13" s="11">
        <f>'Monthly Operations'!D50</f>
        <v>3000000</v>
      </c>
      <c r="E13" s="11">
        <f>'Monthly Operations'!E50</f>
        <v>141680.55163043411</v>
      </c>
      <c r="F13" s="11">
        <f>'Monthly Operations'!F50</f>
        <v>141680.55163043411</v>
      </c>
      <c r="G13" s="11">
        <f>'Monthly Operations'!G50</f>
        <v>141680.55163043411</v>
      </c>
      <c r="H13" s="11">
        <f>'Monthly Operations'!H50</f>
        <v>141680.55163043411</v>
      </c>
      <c r="I13" s="11">
        <f>'Monthly Operations'!I50</f>
        <v>141680.55163043411</v>
      </c>
      <c r="J13" s="11">
        <f>'Monthly Operations'!J50</f>
        <v>141680.55163043411</v>
      </c>
      <c r="K13" s="11">
        <f>'Monthly Operations'!K50</f>
        <v>141680.55163043411</v>
      </c>
      <c r="L13" s="11">
        <f>'Monthly Operations'!L50</f>
        <v>141680.55163043411</v>
      </c>
      <c r="M13" s="11">
        <f>'Monthly Operations'!M50</f>
        <v>141680.55163043411</v>
      </c>
      <c r="N13" s="11">
        <f>'Monthly Operations'!N50</f>
        <v>141680.55163043411</v>
      </c>
      <c r="O13" s="11">
        <f>'Monthly Operations'!O50</f>
        <v>141680.55163043411</v>
      </c>
      <c r="P13" s="11">
        <f>'Monthly Operations'!P50</f>
        <v>141680.55163043411</v>
      </c>
      <c r="Q13" s="11">
        <f>'Monthly Operations'!Q50</f>
        <v>141680.55163043411</v>
      </c>
      <c r="R13" s="11">
        <f>'Monthly Operations'!R50</f>
        <v>141680.55163043411</v>
      </c>
      <c r="S13" s="11">
        <f>'Monthly Operations'!S50</f>
        <v>141680.55163043411</v>
      </c>
      <c r="T13" s="11">
        <f>'Monthly Operations'!T50</f>
        <v>141680.55163043411</v>
      </c>
      <c r="U13" s="11">
        <f>'Monthly Operations'!U50</f>
        <v>141680.55163043411</v>
      </c>
      <c r="V13" s="11">
        <f>'Monthly Operations'!V50</f>
        <v>141680.55163043411</v>
      </c>
      <c r="W13" s="11">
        <f>'Monthly Operations'!W50</f>
        <v>141680.55163043411</v>
      </c>
      <c r="X13" s="11">
        <f>'Monthly Operations'!X50</f>
        <v>141680.55163043411</v>
      </c>
      <c r="Y13" s="11">
        <f>'Monthly Operations'!Y50</f>
        <v>0</v>
      </c>
      <c r="Z13" s="11">
        <f>Y13</f>
        <v>0</v>
      </c>
    </row>
    <row r="14" spans="1:26">
      <c r="A14" s="1" t="s">
        <v>690</v>
      </c>
      <c r="B14" s="11">
        <f>'Monthly Operations'!B35</f>
        <v>0</v>
      </c>
      <c r="C14" s="11">
        <f>'Monthly Operations'!C35</f>
        <v>0</v>
      </c>
      <c r="D14" s="11">
        <f>'Monthly Operations'!D35</f>
        <v>0</v>
      </c>
      <c r="E14" s="11">
        <f>'Monthly Operations'!E35</f>
        <v>0</v>
      </c>
      <c r="F14" s="11">
        <f>'Monthly Operations'!F35</f>
        <v>1416.8055163043412</v>
      </c>
      <c r="G14" s="11">
        <f>'Monthly Operations'!G35</f>
        <v>1416.8055163043412</v>
      </c>
      <c r="H14" s="11">
        <f>'Monthly Operations'!H35</f>
        <v>1416.8055163043412</v>
      </c>
      <c r="I14" s="11">
        <f>'Monthly Operations'!I35</f>
        <v>1416.8055163043412</v>
      </c>
      <c r="J14" s="11">
        <f>'Monthly Operations'!J35</f>
        <v>1416.8055163043412</v>
      </c>
      <c r="K14" s="11">
        <f>'Monthly Operations'!K35</f>
        <v>1416.8055163043412</v>
      </c>
      <c r="L14" s="11">
        <f>'Monthly Operations'!L35</f>
        <v>1416.8055163043412</v>
      </c>
      <c r="M14" s="11">
        <f>'Monthly Operations'!M35</f>
        <v>1416.8055163043412</v>
      </c>
      <c r="N14" s="11">
        <f>'Monthly Operations'!N35</f>
        <v>1416.8055163043412</v>
      </c>
      <c r="O14" s="11">
        <f>'Monthly Operations'!O35</f>
        <v>1416.8055163043412</v>
      </c>
      <c r="P14" s="11">
        <f>'Monthly Operations'!P35</f>
        <v>1416.8055163043412</v>
      </c>
      <c r="Q14" s="11">
        <f>'Monthly Operations'!Q35</f>
        <v>1416.8055163043412</v>
      </c>
      <c r="R14" s="11">
        <f>'Monthly Operations'!R35</f>
        <v>1416.8055163043412</v>
      </c>
      <c r="S14" s="11">
        <f>'Monthly Operations'!S35</f>
        <v>1416.8055163043412</v>
      </c>
      <c r="T14" s="11">
        <f>'Monthly Operations'!T35</f>
        <v>1416.8055163043412</v>
      </c>
      <c r="U14" s="11">
        <f>'Monthly Operations'!U35</f>
        <v>1416.8055163043412</v>
      </c>
      <c r="V14" s="11">
        <f>'Monthly Operations'!V35</f>
        <v>1416.8055163043412</v>
      </c>
      <c r="W14" s="11">
        <f>'Monthly Operations'!W35</f>
        <v>1416.8055163043412</v>
      </c>
      <c r="X14" s="11">
        <f>'Monthly Operations'!X35</f>
        <v>1416.8055163043412</v>
      </c>
      <c r="Y14" s="11">
        <f>'Monthly Operations'!Y35</f>
        <v>1416.8055163043412</v>
      </c>
      <c r="Z14" s="11">
        <f>SUM(B14:Y14)</f>
        <v>28336.110326086837</v>
      </c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>
      <c r="A17" s="27" t="s">
        <v>691</v>
      </c>
      <c r="B17" s="27"/>
      <c r="C17" s="27"/>
      <c r="D17" s="2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692</v>
      </c>
      <c r="B18" s="11">
        <f>Assumptions!$B$67</f>
        <v>3000000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693</v>
      </c>
      <c r="B19" s="7">
        <f>Assumptions!$B$68</f>
        <v>0.01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419</v>
      </c>
      <c r="B20" s="10">
        <f>Assumptions!$B$66</f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 t="s">
        <v>694</v>
      </c>
      <c r="B21" s="11">
        <f>'Monthly Operations'!$Z$39</f>
        <v>2858319.4483695659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 t="s">
        <v>695</v>
      </c>
      <c r="B22" s="11">
        <f>'Monthly Operations'!N50</f>
        <v>141680.55163043411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 t="s">
        <v>689</v>
      </c>
      <c r="B23" s="11">
        <f>'Monthly Operations'!$Z$43</f>
        <v>141680.55163043411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 t="s">
        <v>346</v>
      </c>
      <c r="B24" s="11">
        <f>'Monthly Operations'!$Z$50</f>
        <v>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696</v>
      </c>
      <c r="B25" s="11">
        <f>Assumptions!$B$69</f>
        <v>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t="s">
        <v>697</v>
      </c>
      <c r="B26" s="9">
        <f>Z14</f>
        <v>28336.110326086837</v>
      </c>
    </row>
  </sheetData>
  <mergeCells count="4">
    <mergeCell ref="A1:Z1"/>
    <mergeCell ref="A2:Z2"/>
    <mergeCell ref="A7:Z7"/>
    <mergeCell ref="A17:D17"/>
  </mergeCells>
  <conditionalFormatting sqref="B24">
    <cfRule type="cellIs" dxfId="0" priority="1" operator="greaterThan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2026-09-23T20:34:03Z</dcterms:created>
  <dcterms:modified xsi:type="dcterms:W3CDTF">2026-09-23T20:34:03Z</dcterms:modified>
  <cp:category/>
  <cp:contentStatus/>
</cp:coreProperties>
</file>