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usacs-my.sharepoint.com/personal/prazzaq_susacs_com/Documents/POCONO BUDGET/2025 BUDGET/BUDGET WORKSHEETS/2025 PROPOSED BUDGET PTWP/"/>
    </mc:Choice>
  </mc:AlternateContent>
  <xr:revisionPtr revIDLastSave="97" documentId="8_{07DA245B-91DE-401A-BF9A-D19176D4E025}" xr6:coauthVersionLast="47" xr6:coauthVersionMax="47" xr10:uidLastSave="{830916F7-29B5-48E5-A0C5-F225FDCC38CE}"/>
  <bookViews>
    <workbookView xWindow="28680" yWindow="-120" windowWidth="29040" windowHeight="15720" activeTab="1" xr2:uid="{A0B982EC-231D-4B01-8643-148962104C7B}"/>
  </bookViews>
  <sheets>
    <sheet name="Chart1" sheetId="2" r:id="rId1"/>
    <sheet name="Sheet1" sheetId="1" r:id="rId2"/>
  </sheets>
  <definedNames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_xlnm.Print_Titles" localSheetId="1">Sheet1!$A:$F,Sheet1!$1:$2</definedName>
    <definedName name="QB_COLUMN_290" localSheetId="1" hidden="1">Sheet1!#REF!</definedName>
    <definedName name="QB_COLUMN_59201" localSheetId="1" hidden="1">Sheet1!#REF!</definedName>
    <definedName name="QB_COLUMN_59202" localSheetId="1" hidden="1">Sheet1!$H$2</definedName>
    <definedName name="QB_COLUMN_59203" localSheetId="1" hidden="1">Sheet1!$J$2</definedName>
    <definedName name="QB_COLUMN_59204" localSheetId="1" hidden="1">Sheet1!$L$2</definedName>
    <definedName name="QB_COLUMN_59300" localSheetId="1" hidden="1">Sheet1!#REF!</definedName>
    <definedName name="QB_COLUMN_63620" localSheetId="1" hidden="1">Sheet1!$Z$2</definedName>
    <definedName name="QB_COLUMN_63621" localSheetId="1" hidden="1">Sheet1!#REF!</definedName>
    <definedName name="QB_COLUMN_63622" localSheetId="1" hidden="1">Sheet1!#REF!</definedName>
    <definedName name="QB_COLUMN_63623" localSheetId="1" hidden="1">Sheet1!#REF!</definedName>
    <definedName name="QB_COLUMN_63624" localSheetId="1" hidden="1">Sheet1!$P$2</definedName>
    <definedName name="QB_COLUMN_64430" localSheetId="1" hidden="1">Sheet1!$AB$2</definedName>
    <definedName name="QB_COLUMN_64431" localSheetId="1" hidden="1">Sheet1!#REF!</definedName>
    <definedName name="QB_COLUMN_64432" localSheetId="1" hidden="1">Sheet1!#REF!</definedName>
    <definedName name="QB_COLUMN_64433" localSheetId="1" hidden="1">Sheet1!#REF!</definedName>
    <definedName name="QB_COLUMN_64434" localSheetId="1" hidden="1">Sheet1!$R$2</definedName>
    <definedName name="QB_COLUMN_76211" localSheetId="1" hidden="1">Sheet1!#REF!</definedName>
    <definedName name="QB_COLUMN_76212" localSheetId="1" hidden="1">Sheet1!#REF!</definedName>
    <definedName name="QB_COLUMN_76213" localSheetId="1" hidden="1">Sheet1!#REF!</definedName>
    <definedName name="QB_COLUMN_76214" localSheetId="1" hidden="1">Sheet1!$N$2</definedName>
    <definedName name="QB_COLUMN_76310" localSheetId="1" hidden="1">Sheet1!$X$2</definedName>
    <definedName name="QB_DATA_0" localSheetId="1" hidden="1">Sheet1!$4:$4,Sheet1!$5:$5,Sheet1!$6:$6,Sheet1!$8:$8,Sheet1!$9:$9,Sheet1!$10:$10,Sheet1!$11:$11,Sheet1!$12:$12,Sheet1!$13:$13,Sheet1!$16:$16,Sheet1!$17:$17,Sheet1!$20:$20,Sheet1!$21:$21,Sheet1!$22:$22,Sheet1!$23:$23,Sheet1!$25:$25</definedName>
    <definedName name="QB_DATA_1" localSheetId="1" hidden="1">Sheet1!$27:$27,Sheet1!$28:$28,Sheet1!$29:$29,Sheet1!$30:$30,Sheet1!$31:$31,Sheet1!$32:$32,Sheet1!$33:$33,Sheet1!$34:$34,Sheet1!$36:$36,Sheet1!$38:$38,Sheet1!$39:$39,Sheet1!$42:$42,Sheet1!#REF!,Sheet1!$45:$45,Sheet1!$46:$46,Sheet1!$47:$47</definedName>
    <definedName name="QB_DATA_10" localSheetId="1" hidden="1">Sheet1!$218:$218,Sheet1!#REF!,Sheet1!$219:$219,Sheet1!$220:$220,Sheet1!$221:$221,Sheet1!#REF!,Sheet1!$222:$222,Sheet1!$223:$223,Sheet1!$224:$224,Sheet1!$225:$225,Sheet1!$226:$226,Sheet1!$227:$227,Sheet1!$228:$228,Sheet1!$229:$229,Sheet1!$230:$230,Sheet1!$231:$231</definedName>
    <definedName name="QB_DATA_11" localSheetId="1" hidden="1">Sheet1!$232:$232,Sheet1!$233:$233,Sheet1!$237:$237,Sheet1!$238:$238,Sheet1!$241:$241,Sheet1!$258:$258,Sheet1!#REF!,Sheet1!$259:$259,Sheet1!$260:$260,Sheet1!$261:$261,Sheet1!$262:$262,Sheet1!$263:$263,Sheet1!$264:$264,Sheet1!$265:$265,Sheet1!$266:$266,Sheet1!#REF!</definedName>
    <definedName name="QB_DATA_12" localSheetId="1" hidden="1">Sheet1!$267:$267,Sheet1!$268:$268,Sheet1!$269:$269,Sheet1!$270:$270,Sheet1!$271:$271,Sheet1!$272:$272,Sheet1!$273:$273,Sheet1!$274:$274,Sheet1!#REF!,Sheet1!$275:$275,Sheet1!$276:$276,Sheet1!$277:$277,Sheet1!$278:$278,Sheet1!$279:$279,Sheet1!$281:$281,Sheet1!#REF!</definedName>
    <definedName name="QB_DATA_13" localSheetId="1" hidden="1">Sheet1!$282:$282,Sheet1!$283:$283,Sheet1!$284:$284,Sheet1!$285:$285,Sheet1!$286:$286,Sheet1!$287:$287,Sheet1!$288:$288,Sheet1!$289:$289,Sheet1!$292:$292,Sheet1!$293:$293,Sheet1!$306:$306,Sheet1!$310:$310,Sheet1!$311:$311,Sheet1!$312:$312,Sheet1!$313:$313,Sheet1!$314:$314</definedName>
    <definedName name="QB_DATA_14" localSheetId="1" hidden="1">Sheet1!$315:$315,Sheet1!$316:$316,Sheet1!$317:$317,Sheet1!$318:$318,Sheet1!$319:$319,Sheet1!$320:$320,Sheet1!$321:$321,Sheet1!#REF!,Sheet1!$322:$322,Sheet1!$323:$323,Sheet1!$326:$326,Sheet1!$327:$327,Sheet1!$330:$330,Sheet1!$331:$331,Sheet1!$332:$332,Sheet1!$335:$335</definedName>
    <definedName name="QB_DATA_15" localSheetId="1" hidden="1">Sheet1!$336:$336,Sheet1!$339:$339,Sheet1!$340:$340,Sheet1!$341:$341,Sheet1!$344:$344,Sheet1!$348:$348,Sheet1!$349:$349,Sheet1!$350:$350</definedName>
    <definedName name="QB_DATA_2" localSheetId="1" hidden="1">Sheet1!$48:$48,Sheet1!#REF!,Sheet1!$49:$49,Sheet1!$50:$50,Sheet1!$51:$51,Sheet1!$52:$52,Sheet1!$53:$53,Sheet1!$54:$54,Sheet1!$55:$55,Sheet1!$56:$56,Sheet1!$57:$57,Sheet1!$58:$58,Sheet1!$59:$59,Sheet1!$60:$60,Sheet1!$61:$61,Sheet1!$62:$62</definedName>
    <definedName name="QB_DATA_3" localSheetId="1" hidden="1">Sheet1!$63:$63,Sheet1!$65:$65,Sheet1!$66:$66,Sheet1!$67:$67,Sheet1!$69:$69,Sheet1!$71:$71,Sheet1!$74:$74,Sheet1!$75:$75,Sheet1!$76:$76,Sheet1!$78:$78,Sheet1!$83:$83,Sheet1!$84:$84,Sheet1!$85:$85,Sheet1!$86:$86,Sheet1!$87:$87,Sheet1!$88:$88</definedName>
    <definedName name="QB_DATA_4" localSheetId="1" hidden="1">Sheet1!$89:$89,Sheet1!#REF!,Sheet1!$91:$91,Sheet1!$92:$92,Sheet1!$93:$93,Sheet1!$94:$94,Sheet1!$95:$95,Sheet1!$96:$96,Sheet1!$97:$97,Sheet1!$98:$98,Sheet1!$99:$99,Sheet1!$100:$100,Sheet1!$101:$101,Sheet1!$102:$102,Sheet1!#REF!,Sheet1!$103:$103</definedName>
    <definedName name="QB_DATA_5" localSheetId="1" hidden="1">Sheet1!$104:$104,Sheet1!$105:$105,Sheet1!$106:$106,Sheet1!$107:$107,Sheet1!#REF!,Sheet1!$108:$108,Sheet1!$109:$109,Sheet1!$110:$110,Sheet1!$111:$111,Sheet1!$112:$112,Sheet1!$113:$113,Sheet1!$114:$114,Sheet1!$115:$115,Sheet1!$116:$116,Sheet1!#REF!,Sheet1!$121:$121</definedName>
    <definedName name="QB_DATA_6" localSheetId="1" hidden="1">Sheet1!$122:$122,Sheet1!$125:$125,Sheet1!$126:$126,Sheet1!$130:$130,Sheet1!$131:$131,Sheet1!$132:$132,Sheet1!$133:$133,Sheet1!$134:$134,Sheet1!$135:$135,Sheet1!$136:$136,Sheet1!$137:$137,Sheet1!$138:$138,Sheet1!$139:$139,Sheet1!$140:$140,Sheet1!$141:$141,Sheet1!$142:$142</definedName>
    <definedName name="QB_DATA_7" localSheetId="1" hidden="1">Sheet1!$143:$143,Sheet1!$144:$144,Sheet1!$145:$145,Sheet1!$146:$146,Sheet1!$147:$147,Sheet1!$148:$148,Sheet1!$149:$149,Sheet1!$150:$150,Sheet1!$151:$151,Sheet1!$152:$152,Sheet1!$209:$209,Sheet1!$156:$156,Sheet1!$157:$157,Sheet1!$178:$178,Sheet1!$182:$182,Sheet1!$183:$183</definedName>
    <definedName name="QB_DATA_8" localSheetId="1" hidden="1">Sheet1!#REF!,Sheet1!$184:$184,Sheet1!$185:$185,Sheet1!$186:$186,Sheet1!$187:$187,Sheet1!$188:$188,Sheet1!$189:$189,Sheet1!$190:$190,Sheet1!$191:$191,Sheet1!$192:$192,Sheet1!$193:$193,Sheet1!$194:$194,Sheet1!$195:$195,Sheet1!$196:$196,Sheet1!$197:$197,Sheet1!$198:$198</definedName>
    <definedName name="QB_DATA_9" localSheetId="1" hidden="1">Sheet1!$199:$199,Sheet1!$200:$200,Sheet1!$201:$201,Sheet1!$202:$202,Sheet1!$203:$203,Sheet1!$204:$204,Sheet1!$205:$205,Sheet1!$206:$206,Sheet1!$207:$207,Sheet1!$208:$208,Sheet1!$210:$210,Sheet1!$211:$211,Sheet1!$212:$212,Sheet1!$213:$213,Sheet1!$214:$214,Sheet1!$217:$217</definedName>
    <definedName name="QB_FORMULA_0" localSheetId="1" hidden="1">Sheet1!#REF!,Sheet1!#REF!,Sheet1!#REF!,Sheet1!#REF!,Sheet1!#REF!,Sheet1!#REF!,Sheet1!$P$4,Sheet1!$R$4,Sheet1!#REF!,Sheet1!$X$4,Sheet1!$Z$4,Sheet1!$AB$4,Sheet1!#REF!,Sheet1!#REF!,Sheet1!#REF!,Sheet1!#REF!</definedName>
    <definedName name="QB_FORMULA_1" localSheetId="1" hidden="1">Sheet1!#REF!,Sheet1!#REF!,Sheet1!$P$5,Sheet1!$R$5,Sheet1!#REF!,Sheet1!$X$5,Sheet1!$Z$5,Sheet1!$AB$5,Sheet1!#REF!,Sheet1!#REF!,Sheet1!#REF!,Sheet1!#REF!,Sheet1!#REF!,Sheet1!#REF!,Sheet1!$P$6,Sheet1!$R$6</definedName>
    <definedName name="QB_FORMULA_10" localSheetId="1" hidden="1">Sheet1!$Z$20,Sheet1!$AB$20,Sheet1!#REF!,Sheet1!#REF!,Sheet1!#REF!,Sheet1!#REF!,Sheet1!#REF!,Sheet1!#REF!,Sheet1!$P$21,Sheet1!$R$21,Sheet1!#REF!,Sheet1!$X$21,Sheet1!$Z$21,Sheet1!$AB$21,Sheet1!#REF!,Sheet1!#REF!</definedName>
    <definedName name="QB_FORMULA_100" localSheetId="1" hidden="1">Sheet1!#REF!,Sheet1!#REF!,Sheet1!$P$183,Sheet1!$R$183,Sheet1!#REF!,Sheet1!$X$183,Sheet1!$Z$183,Sheet1!$AB$183,Sheet1!#REF!,Sheet1!#REF!,Sheet1!#REF!,Sheet1!#REF!,Sheet1!#REF!,Sheet1!#REF!,Sheet1!#REF!,Sheet1!$P$184</definedName>
    <definedName name="QB_FORMULA_101" localSheetId="1" hidden="1">Sheet1!$R$184,Sheet1!#REF!,Sheet1!$X$184,Sheet1!$Z$184,Sheet1!$AB$184,Sheet1!#REF!,Sheet1!#REF!,Sheet1!#REF!,Sheet1!#REF!,Sheet1!#REF!,Sheet1!#REF!,Sheet1!$P$185,Sheet1!$R$185,Sheet1!#REF!,Sheet1!$X$185,Sheet1!$Z$185</definedName>
    <definedName name="QB_FORMULA_102" localSheetId="1" hidden="1">Sheet1!$AB$185,Sheet1!#REF!,Sheet1!#REF!,Sheet1!#REF!,Sheet1!#REF!,Sheet1!#REF!,Sheet1!#REF!,Sheet1!$P$186,Sheet1!$R$186,Sheet1!#REF!,Sheet1!$X$186,Sheet1!$Z$186,Sheet1!$AB$186,Sheet1!#REF!,Sheet1!#REF!,Sheet1!#REF!</definedName>
    <definedName name="QB_FORMULA_103" localSheetId="1" hidden="1">Sheet1!#REF!,Sheet1!#REF!,Sheet1!#REF!,Sheet1!$P$187,Sheet1!$R$187,Sheet1!#REF!,Sheet1!$X$187,Sheet1!$Z$187,Sheet1!$AB$187,Sheet1!#REF!,Sheet1!#REF!,Sheet1!#REF!,Sheet1!#REF!,Sheet1!#REF!,Sheet1!#REF!,Sheet1!$P$188</definedName>
    <definedName name="QB_FORMULA_104" localSheetId="1" hidden="1">Sheet1!$R$188,Sheet1!#REF!,Sheet1!$X$188,Sheet1!$Z$188,Sheet1!$AB$188,Sheet1!#REF!,Sheet1!#REF!,Sheet1!#REF!,Sheet1!#REF!,Sheet1!#REF!,Sheet1!#REF!,Sheet1!$P$189,Sheet1!$R$189,Sheet1!#REF!,Sheet1!$X$189,Sheet1!$Z$189</definedName>
    <definedName name="QB_FORMULA_105" localSheetId="1" hidden="1">Sheet1!$AB$189,Sheet1!#REF!,Sheet1!#REF!,Sheet1!#REF!,Sheet1!#REF!,Sheet1!#REF!,Sheet1!#REF!,Sheet1!$P$190,Sheet1!$R$190,Sheet1!#REF!,Sheet1!$X$190,Sheet1!$Z$190,Sheet1!$AB$190,Sheet1!#REF!,Sheet1!#REF!,Sheet1!#REF!</definedName>
    <definedName name="QB_FORMULA_106" localSheetId="1" hidden="1">Sheet1!#REF!,Sheet1!#REF!,Sheet1!#REF!,Sheet1!$P$191,Sheet1!$R$191,Sheet1!#REF!,Sheet1!$X$191,Sheet1!$Z$191,Sheet1!$AB$191,Sheet1!#REF!,Sheet1!#REF!,Sheet1!#REF!,Sheet1!#REF!,Sheet1!#REF!,Sheet1!#REF!,Sheet1!$P$192</definedName>
    <definedName name="QB_FORMULA_107" localSheetId="1" hidden="1">Sheet1!$R$192,Sheet1!#REF!,Sheet1!$X$192,Sheet1!$Z$192,Sheet1!$AB$192,Sheet1!#REF!,Sheet1!#REF!,Sheet1!#REF!,Sheet1!#REF!,Sheet1!#REF!,Sheet1!#REF!,Sheet1!$P$193,Sheet1!$R$193,Sheet1!#REF!,Sheet1!$X$193,Sheet1!$Z$193</definedName>
    <definedName name="QB_FORMULA_108" localSheetId="1" hidden="1">Sheet1!$AB$193,Sheet1!#REF!,Sheet1!#REF!,Sheet1!#REF!,Sheet1!#REF!,Sheet1!#REF!,Sheet1!#REF!,Sheet1!$P$194,Sheet1!$R$194,Sheet1!#REF!,Sheet1!$X$194,Sheet1!$Z$194,Sheet1!$AB$194,Sheet1!#REF!,Sheet1!#REF!,Sheet1!#REF!</definedName>
    <definedName name="QB_FORMULA_109" localSheetId="1" hidden="1">Sheet1!#REF!,Sheet1!#REF!,Sheet1!#REF!,Sheet1!$P$195,Sheet1!$R$195,Sheet1!#REF!,Sheet1!$X$195,Sheet1!$Z$195,Sheet1!$AB$195,Sheet1!#REF!,Sheet1!#REF!,Sheet1!#REF!,Sheet1!#REF!,Sheet1!#REF!,Sheet1!#REF!,Sheet1!$P$196</definedName>
    <definedName name="QB_FORMULA_11" localSheetId="1" hidden="1">Sheet1!#REF!,Sheet1!#REF!,Sheet1!#REF!,Sheet1!#REF!,Sheet1!$H$24,Sheet1!#REF!,Sheet1!#REF!,Sheet1!#REF!,Sheet1!$J$24,Sheet1!#REF!,Sheet1!#REF!,Sheet1!#REF!,Sheet1!$L$24,Sheet1!$N$24,Sheet1!$P$24,Sheet1!$R$24</definedName>
    <definedName name="QB_FORMULA_110" localSheetId="1" hidden="1">Sheet1!$R$196,Sheet1!#REF!,Sheet1!$X$196,Sheet1!$Z$196,Sheet1!$AB$196,Sheet1!#REF!,Sheet1!#REF!,Sheet1!#REF!,Sheet1!#REF!,Sheet1!#REF!,Sheet1!#REF!,Sheet1!$P$197,Sheet1!$R$197,Sheet1!#REF!,Sheet1!$X$197,Sheet1!$Z$197</definedName>
    <definedName name="QB_FORMULA_111" localSheetId="1" hidden="1">Sheet1!$AB$197,Sheet1!#REF!,Sheet1!#REF!,Sheet1!#REF!,Sheet1!#REF!,Sheet1!#REF!,Sheet1!#REF!,Sheet1!$P$198,Sheet1!$R$198,Sheet1!#REF!,Sheet1!$X$198,Sheet1!$Z$198,Sheet1!$AB$198,Sheet1!#REF!,Sheet1!#REF!,Sheet1!#REF!</definedName>
    <definedName name="QB_FORMULA_112" localSheetId="1" hidden="1">Sheet1!#REF!,Sheet1!#REF!,Sheet1!#REF!,Sheet1!$P$199,Sheet1!$R$199,Sheet1!#REF!,Sheet1!$X$199,Sheet1!$Z$199,Sheet1!$AB$199,Sheet1!#REF!,Sheet1!#REF!,Sheet1!#REF!,Sheet1!#REF!,Sheet1!#REF!,Sheet1!#REF!,Sheet1!$P$200</definedName>
    <definedName name="QB_FORMULA_113" localSheetId="1" hidden="1">Sheet1!$R$200,Sheet1!#REF!,Sheet1!$X$200,Sheet1!$Z$200,Sheet1!$AB$200,Sheet1!#REF!,Sheet1!#REF!,Sheet1!#REF!,Sheet1!#REF!,Sheet1!#REF!,Sheet1!#REF!,Sheet1!$P$201,Sheet1!$R$201,Sheet1!#REF!,Sheet1!$X$201,Sheet1!$Z$201</definedName>
    <definedName name="QB_FORMULA_114" localSheetId="1" hidden="1">Sheet1!$AB$201,Sheet1!#REF!,Sheet1!#REF!,Sheet1!#REF!,Sheet1!#REF!,Sheet1!#REF!,Sheet1!#REF!,Sheet1!$P$202,Sheet1!$R$202,Sheet1!#REF!,Sheet1!$X$202,Sheet1!$Z$202,Sheet1!$AB$202,Sheet1!#REF!,Sheet1!#REF!,Sheet1!#REF!</definedName>
    <definedName name="QB_FORMULA_115" localSheetId="1" hidden="1">Sheet1!#REF!,Sheet1!#REF!,Sheet1!#REF!,Sheet1!$P$203,Sheet1!$R$203,Sheet1!#REF!,Sheet1!$X$203,Sheet1!$Z$203,Sheet1!$AB$203,Sheet1!#REF!,Sheet1!#REF!,Sheet1!#REF!,Sheet1!#REF!,Sheet1!#REF!,Sheet1!#REF!,Sheet1!$P$204</definedName>
    <definedName name="QB_FORMULA_116" localSheetId="1" hidden="1">Sheet1!$R$204,Sheet1!#REF!,Sheet1!$X$204,Sheet1!$Z$204,Sheet1!$AB$204,Sheet1!#REF!,Sheet1!#REF!,Sheet1!#REF!,Sheet1!#REF!,Sheet1!#REF!,Sheet1!#REF!,Sheet1!$P$205,Sheet1!$R$205,Sheet1!#REF!,Sheet1!$X$205,Sheet1!$Z$205</definedName>
    <definedName name="QB_FORMULA_117" localSheetId="1" hidden="1">Sheet1!$AB$205,Sheet1!#REF!,Sheet1!#REF!,Sheet1!#REF!,Sheet1!#REF!,Sheet1!#REF!,Sheet1!#REF!,Sheet1!$P$206,Sheet1!$R$206,Sheet1!#REF!,Sheet1!$X$206,Sheet1!$Z$206,Sheet1!$AB$206,Sheet1!#REF!,Sheet1!#REF!,Sheet1!#REF!</definedName>
    <definedName name="QB_FORMULA_118" localSheetId="1" hidden="1">Sheet1!#REF!,Sheet1!#REF!,Sheet1!#REF!,Sheet1!$P$207,Sheet1!$R$207,Sheet1!#REF!,Sheet1!$X$207,Sheet1!$Z$207,Sheet1!$AB$207,Sheet1!#REF!,Sheet1!#REF!,Sheet1!#REF!,Sheet1!#REF!,Sheet1!#REF!,Sheet1!#REF!,Sheet1!$P$208</definedName>
    <definedName name="QB_FORMULA_119" localSheetId="1" hidden="1">Sheet1!$R$208,Sheet1!#REF!,Sheet1!$X$208,Sheet1!$Z$208,Sheet1!$AB$208,Sheet1!#REF!,Sheet1!#REF!,Sheet1!#REF!,Sheet1!#REF!,Sheet1!#REF!,Sheet1!#REF!,Sheet1!$P$210,Sheet1!$R$210,Sheet1!#REF!,Sheet1!$X$210,Sheet1!$Z$210</definedName>
    <definedName name="QB_FORMULA_12" localSheetId="1" hidden="1">Sheet1!#REF!,Sheet1!$X$24,Sheet1!$Z$24,Sheet1!$AB$24,Sheet1!#REF!,Sheet1!#REF!,Sheet1!#REF!,Sheet1!#REF!,Sheet1!#REF!,Sheet1!#REF!,Sheet1!$P$25,Sheet1!$R$25,Sheet1!#REF!,Sheet1!$X$25,Sheet1!$Z$25,Sheet1!$AB$25</definedName>
    <definedName name="QB_FORMULA_120" localSheetId="1" hidden="1">Sheet1!$AB$210,Sheet1!#REF!,Sheet1!#REF!,Sheet1!#REF!,Sheet1!#REF!,Sheet1!$P$211,Sheet1!$R$211,Sheet1!#REF!,Sheet1!$X$211,Sheet1!$Z$211,Sheet1!$AB$211,Sheet1!#REF!,Sheet1!#REF!,Sheet1!#REF!,Sheet1!#REF!,Sheet1!#REF!</definedName>
    <definedName name="QB_FORMULA_121" localSheetId="1" hidden="1">Sheet1!#REF!,Sheet1!$P$212,Sheet1!$R$212,Sheet1!#REF!,Sheet1!$X$212,Sheet1!$Z$212,Sheet1!$AB$212,Sheet1!#REF!,Sheet1!#REF!,Sheet1!#REF!,Sheet1!#REF!,Sheet1!#REF!,Sheet1!#REF!,Sheet1!$P$213,Sheet1!$R$213,Sheet1!#REF!</definedName>
    <definedName name="QB_FORMULA_122" localSheetId="1" hidden="1">Sheet1!$X$213,Sheet1!$Z$213,Sheet1!$AB$213,Sheet1!#REF!,Sheet1!#REF!,Sheet1!#REF!,Sheet1!#REF!,Sheet1!#REF!,Sheet1!#REF!,Sheet1!$P$214,Sheet1!$R$214,Sheet1!#REF!,Sheet1!$X$214,Sheet1!$Z$214,Sheet1!$AB$214,Sheet1!#REF!</definedName>
    <definedName name="QB_FORMULA_123" localSheetId="1" hidden="1">Sheet1!#REF!,Sheet1!#REF!,Sheet1!#REF!,Sheet1!$P$217,Sheet1!$R$217,Sheet1!#REF!,Sheet1!$X$217,Sheet1!$Z$217,Sheet1!$AB$217,Sheet1!#REF!,Sheet1!#REF!,Sheet1!#REF!,Sheet1!#REF!,Sheet1!#REF!,Sheet1!#REF!,Sheet1!$P$218</definedName>
    <definedName name="QB_FORMULA_124" localSheetId="1" hidden="1">Sheet1!$R$218,Sheet1!#REF!,Sheet1!$X$218,Sheet1!$Z$218,Sheet1!$AB$218,Sheet1!#REF!,Sheet1!#REF!,Sheet1!#REF!,Sheet1!#REF!,Sheet1!#REF!,Sheet1!#REF!,Sheet1!#REF!,Sheet1!#REF!,Sheet1!#REF!,Sheet1!#REF!,Sheet1!#REF!</definedName>
    <definedName name="QB_FORMULA_125" localSheetId="1" hidden="1">Sheet1!#REF!,Sheet1!$P$219,Sheet1!$R$219,Sheet1!#REF!,Sheet1!$X$219,Sheet1!$Z$219,Sheet1!$AB$219,Sheet1!#REF!,Sheet1!#REF!,Sheet1!#REF!,Sheet1!#REF!,Sheet1!#REF!,Sheet1!#REF!,Sheet1!$P$220,Sheet1!$R$220,Sheet1!#REF!</definedName>
    <definedName name="QB_FORMULA_126" localSheetId="1" hidden="1">Sheet1!$X$220,Sheet1!$Z$220,Sheet1!$AB$220,Sheet1!#REF!,Sheet1!#REF!,Sheet1!#REF!,Sheet1!#REF!,Sheet1!#REF!,Sheet1!#REF!,Sheet1!$P$221,Sheet1!$R$221,Sheet1!#REF!,Sheet1!$X$221,Sheet1!$Z$221,Sheet1!$AB$221,Sheet1!#REF!</definedName>
    <definedName name="QB_FORMULA_127" localSheetId="1" hidden="1">Sheet1!#REF!,Sheet1!#REF!,Sheet1!#REF!,Sheet1!#REF!,Sheet1!#REF!,Sheet1!#REF!,Sheet1!#REF!,Sheet1!#REF!,Sheet1!#REF!,Sheet1!#REF!,Sheet1!#REF!,Sheet1!$P$222,Sheet1!$R$222,Sheet1!#REF!,Sheet1!$X$222,Sheet1!$Z$222</definedName>
    <definedName name="QB_FORMULA_128" localSheetId="1" hidden="1">Sheet1!$AB$222,Sheet1!#REF!,Sheet1!#REF!,Sheet1!#REF!,Sheet1!#REF!,Sheet1!#REF!,Sheet1!#REF!,Sheet1!$P$223,Sheet1!$R$223,Sheet1!#REF!,Sheet1!$X$223,Sheet1!$Z$223,Sheet1!$AB$223,Sheet1!#REF!,Sheet1!#REF!,Sheet1!#REF!</definedName>
    <definedName name="QB_FORMULA_129" localSheetId="1" hidden="1">Sheet1!#REF!,Sheet1!#REF!,Sheet1!#REF!,Sheet1!$P$224,Sheet1!$R$224,Sheet1!#REF!,Sheet1!$X$224,Sheet1!$Z$224,Sheet1!$AB$224,Sheet1!#REF!,Sheet1!#REF!,Sheet1!#REF!,Sheet1!#REF!,Sheet1!#REF!,Sheet1!#REF!,Sheet1!$P$225</definedName>
    <definedName name="QB_FORMULA_13" localSheetId="1" hidden="1">Sheet1!#REF!,Sheet1!#REF!,Sheet1!#REF!,Sheet1!#REF!,Sheet1!#REF!,Sheet1!#REF!,Sheet1!$P$27,Sheet1!$R$27,Sheet1!#REF!,Sheet1!$X$27,Sheet1!$Z$27,Sheet1!$AB$27,Sheet1!#REF!,Sheet1!#REF!,Sheet1!$P$28,Sheet1!$R$28</definedName>
    <definedName name="QB_FORMULA_130" localSheetId="1" hidden="1">Sheet1!$R$225,Sheet1!#REF!,Sheet1!$X$225,Sheet1!$Z$225,Sheet1!$AB$225,Sheet1!#REF!,Sheet1!#REF!,Sheet1!#REF!,Sheet1!#REF!,Sheet1!#REF!,Sheet1!#REF!,Sheet1!$P$226,Sheet1!$R$226,Sheet1!#REF!,Sheet1!$X$226,Sheet1!$Z$226</definedName>
    <definedName name="QB_FORMULA_131" localSheetId="1" hidden="1">Sheet1!$AB$226,Sheet1!#REF!,Sheet1!#REF!,Sheet1!#REF!,Sheet1!#REF!,Sheet1!#REF!,Sheet1!#REF!,Sheet1!$P$227,Sheet1!$R$227,Sheet1!#REF!,Sheet1!$X$227,Sheet1!$Z$227,Sheet1!$AB$227,Sheet1!#REF!,Sheet1!#REF!,Sheet1!#REF!</definedName>
    <definedName name="QB_FORMULA_132" localSheetId="1" hidden="1">Sheet1!#REF!,Sheet1!$P$228,Sheet1!$R$228,Sheet1!#REF!,Sheet1!$X$228,Sheet1!$Z$228,Sheet1!$AB$228,Sheet1!#REF!,Sheet1!#REF!,Sheet1!#REF!,Sheet1!#REF!,Sheet1!#REF!,Sheet1!#REF!,Sheet1!$P$229,Sheet1!$R$229,Sheet1!#REF!</definedName>
    <definedName name="QB_FORMULA_133" localSheetId="1" hidden="1">Sheet1!$X$229,Sheet1!$Z$229,Sheet1!$AB$229,Sheet1!#REF!,Sheet1!#REF!,Sheet1!#REF!,Sheet1!#REF!,Sheet1!#REF!,Sheet1!#REF!,Sheet1!$P$230,Sheet1!$R$230,Sheet1!#REF!,Sheet1!$X$230,Sheet1!$Z$230,Sheet1!$AB$230,Sheet1!#REF!</definedName>
    <definedName name="QB_FORMULA_134" localSheetId="1" hidden="1">Sheet1!#REF!,Sheet1!$P$231,Sheet1!$R$231,Sheet1!#REF!,Sheet1!$X$231,Sheet1!$Z$231,Sheet1!$AB$231,Sheet1!#REF!,Sheet1!#REF!,Sheet1!$P$232,Sheet1!$R$232,Sheet1!#REF!,Sheet1!$X$232,Sheet1!$Z$232,Sheet1!$AB$232,Sheet1!#REF!</definedName>
    <definedName name="QB_FORMULA_135" localSheetId="1" hidden="1">Sheet1!#REF!,Sheet1!#REF!,Sheet1!#REF!,Sheet1!#REF!,Sheet1!#REF!,Sheet1!$P$233,Sheet1!$R$233,Sheet1!#REF!,Sheet1!$X$233,Sheet1!$Z$233,Sheet1!$AB$233,Sheet1!#REF!,Sheet1!#REF!,Sheet1!#REF!,Sheet1!#REF!,Sheet1!$H$234</definedName>
    <definedName name="QB_FORMULA_136" localSheetId="1" hidden="1">Sheet1!#REF!,Sheet1!#REF!,Sheet1!#REF!,Sheet1!$J$234,Sheet1!#REF!,Sheet1!#REF!,Sheet1!#REF!,Sheet1!$L$234,Sheet1!$N$234,Sheet1!$P$234,Sheet1!$R$234,Sheet1!#REF!,Sheet1!$X$234,Sheet1!$Z$234,Sheet1!$AB$234,Sheet1!#REF!</definedName>
    <definedName name="QB_FORMULA_137" localSheetId="1" hidden="1">Sheet1!#REF!,Sheet1!#REF!,Sheet1!#REF!,Sheet1!#REF!,Sheet1!#REF!,Sheet1!$P$237,Sheet1!$R$237,Sheet1!#REF!,Sheet1!$X$237,Sheet1!$Z$237,Sheet1!$AB$237,Sheet1!#REF!,Sheet1!#REF!,Sheet1!#REF!,Sheet1!#REF!,Sheet1!#REF!</definedName>
    <definedName name="QB_FORMULA_138" localSheetId="1" hidden="1">Sheet1!#REF!,Sheet1!$P$238,Sheet1!$R$238,Sheet1!#REF!,Sheet1!$X$238,Sheet1!$Z$238,Sheet1!$AB$238,Sheet1!#REF!,Sheet1!#REF!,Sheet1!#REF!,Sheet1!#REF!,Sheet1!$H$239,Sheet1!#REF!,Sheet1!#REF!,Sheet1!#REF!,Sheet1!$J$239</definedName>
    <definedName name="QB_FORMULA_139" localSheetId="1" hidden="1">Sheet1!#REF!,Sheet1!#REF!,Sheet1!#REF!,Sheet1!$L$239,Sheet1!$N$239,Sheet1!$P$239,Sheet1!$R$239,Sheet1!#REF!,Sheet1!$X$239,Sheet1!$Z$239,Sheet1!$AB$239,Sheet1!#REF!,Sheet1!#REF!,Sheet1!#REF!,Sheet1!#REF!,Sheet1!#REF!</definedName>
    <definedName name="QB_FORMULA_14" localSheetId="1" hidden="1">Sheet1!#REF!,Sheet1!$X$28,Sheet1!$Z$28,Sheet1!$AB$28,Sheet1!#REF!,Sheet1!#REF!,Sheet1!$P$29,Sheet1!$R$29,Sheet1!#REF!,Sheet1!$X$29,Sheet1!$Z$29,Sheet1!$AB$29,Sheet1!#REF!,Sheet1!#REF!,Sheet1!#REF!,Sheet1!#REF!</definedName>
    <definedName name="QB_FORMULA_140" localSheetId="1" hidden="1">Sheet1!#REF!,Sheet1!$P$241,Sheet1!$R$241,Sheet1!#REF!,Sheet1!$X$241,Sheet1!$Z$241,Sheet1!$AB$241,Sheet1!#REF!,Sheet1!#REF!,Sheet1!#REF!,Sheet1!#REF!,Sheet1!#REF!,Sheet1!#REF!,Sheet1!$P$258,Sheet1!$R$258,Sheet1!#REF!</definedName>
    <definedName name="QB_FORMULA_141" localSheetId="1" hidden="1">Sheet1!$X$258,Sheet1!$Z$258,Sheet1!$AB$258,Sheet1!#REF!,Sheet1!#REF!,Sheet1!#REF!,Sheet1!$P$259,Sheet1!$R$259,Sheet1!#REF!,Sheet1!$X$259,Sheet1!$Z$259,Sheet1!$AB$259,Sheet1!#REF!,Sheet1!#REF!,Sheet1!#REF!,Sheet1!#REF!</definedName>
    <definedName name="QB_FORMULA_142" localSheetId="1" hidden="1">Sheet1!#REF!,Sheet1!#REF!,Sheet1!$P$260,Sheet1!$R$260,Sheet1!#REF!,Sheet1!$X$260,Sheet1!$Z$260,Sheet1!$AB$260,Sheet1!#REF!,Sheet1!#REF!,Sheet1!#REF!,Sheet1!#REF!,Sheet1!#REF!,Sheet1!#REF!,Sheet1!$P$261,Sheet1!$R$261</definedName>
    <definedName name="QB_FORMULA_143" localSheetId="1" hidden="1">Sheet1!#REF!,Sheet1!$X$261,Sheet1!$Z$261,Sheet1!$AB$261,Sheet1!#REF!,Sheet1!#REF!,Sheet1!#REF!,Sheet1!#REF!,Sheet1!#REF!,Sheet1!#REF!,Sheet1!$P$262,Sheet1!$R$262,Sheet1!#REF!,Sheet1!$X$262,Sheet1!$Z$262,Sheet1!$AB$262</definedName>
    <definedName name="QB_FORMULA_144" localSheetId="1" hidden="1">Sheet1!#REF!,Sheet1!#REF!,Sheet1!#REF!,Sheet1!#REF!,Sheet1!#REF!,Sheet1!#REF!,Sheet1!$P$263,Sheet1!$R$263,Sheet1!#REF!,Sheet1!$X$263,Sheet1!$Z$263,Sheet1!$AB$263,Sheet1!#REF!,Sheet1!#REF!,Sheet1!#REF!,Sheet1!#REF!</definedName>
    <definedName name="QB_FORMULA_145" localSheetId="1" hidden="1">Sheet1!#REF!,Sheet1!#REF!,Sheet1!$P$264,Sheet1!$R$264,Sheet1!#REF!,Sheet1!$X$264,Sheet1!$Z$264,Sheet1!$AB$264,Sheet1!#REF!,Sheet1!#REF!,Sheet1!#REF!,Sheet1!#REF!,Sheet1!$P$265,Sheet1!$R$265,Sheet1!#REF!,Sheet1!$X$265</definedName>
    <definedName name="QB_FORMULA_146" localSheetId="1" hidden="1">Sheet1!$Z$265,Sheet1!$AB$265,Sheet1!#REF!,Sheet1!#REF!,Sheet1!#REF!,Sheet1!#REF!,Sheet1!#REF!,Sheet1!#REF!,Sheet1!$P$266,Sheet1!$R$266,Sheet1!#REF!,Sheet1!$X$266,Sheet1!$Z$266,Sheet1!$AB$266,Sheet1!#REF!,Sheet1!#REF!</definedName>
    <definedName name="QB_FORMULA_147" localSheetId="1" hidden="1">Sheet1!#REF!,Sheet1!#REF!,Sheet1!#REF!,Sheet1!#REF!,Sheet1!#REF!,Sheet1!#REF!,Sheet1!#REF!,Sheet1!#REF!,Sheet1!#REF!,Sheet1!#REF!,Sheet1!$P$267,Sheet1!$R$267,Sheet1!#REF!,Sheet1!$X$267,Sheet1!$Z$267,Sheet1!$AB$267</definedName>
    <definedName name="QB_FORMULA_148" localSheetId="1" hidden="1">Sheet1!#REF!,Sheet1!#REF!,Sheet1!#REF!,Sheet1!#REF!,Sheet1!#REF!,Sheet1!#REF!,Sheet1!$P$268,Sheet1!$R$268,Sheet1!#REF!,Sheet1!$X$268,Sheet1!$Z$268,Sheet1!$AB$268,Sheet1!#REF!,Sheet1!#REF!,Sheet1!#REF!,Sheet1!#REF!</definedName>
    <definedName name="QB_FORMULA_149" localSheetId="1" hidden="1">Sheet1!#REF!,Sheet1!#REF!,Sheet1!$P$269,Sheet1!$R$269,Sheet1!#REF!,Sheet1!$X$269,Sheet1!$Z$269,Sheet1!$AB$269,Sheet1!#REF!,Sheet1!#REF!,Sheet1!$P$270,Sheet1!$R$270,Sheet1!#REF!,Sheet1!$X$270,Sheet1!$Z$270,Sheet1!$AB$270</definedName>
    <definedName name="QB_FORMULA_15" localSheetId="1" hidden="1">Sheet1!#REF!,Sheet1!#REF!,Sheet1!$P$30,Sheet1!$R$30,Sheet1!#REF!,Sheet1!$X$30,Sheet1!$Z$30,Sheet1!$AB$30,Sheet1!#REF!,Sheet1!#REF!,Sheet1!#REF!,Sheet1!#REF!,Sheet1!#REF!,Sheet1!#REF!,Sheet1!$P$31,Sheet1!$R$31</definedName>
    <definedName name="QB_FORMULA_150" localSheetId="1" hidden="1">Sheet1!#REF!,Sheet1!#REF!,Sheet1!#REF!,Sheet1!#REF!,Sheet1!$P$271,Sheet1!$R$271,Sheet1!#REF!,Sheet1!$X$271,Sheet1!$Z$271,Sheet1!$AB$271,Sheet1!#REF!,Sheet1!#REF!,Sheet1!$P$272,Sheet1!$R$272,Sheet1!#REF!,Sheet1!$X$272</definedName>
    <definedName name="QB_FORMULA_151" localSheetId="1" hidden="1">Sheet1!$Z$272,Sheet1!$AB$272,Sheet1!#REF!,Sheet1!#REF!,Sheet1!#REF!,Sheet1!#REF!,Sheet1!#REF!,Sheet1!#REF!,Sheet1!$P$273,Sheet1!$R$273,Sheet1!#REF!,Sheet1!$X$273,Sheet1!$Z$273,Sheet1!$AB$273,Sheet1!#REF!,Sheet1!#REF!</definedName>
    <definedName name="QB_FORMULA_152" localSheetId="1" hidden="1">Sheet1!#REF!,Sheet1!#REF!,Sheet1!#REF!,Sheet1!#REF!,Sheet1!$P$274,Sheet1!$R$274,Sheet1!#REF!,Sheet1!$X$274,Sheet1!$Z$274,Sheet1!$AB$274,Sheet1!#REF!,Sheet1!#REF!,Sheet1!#REF!,Sheet1!#REF!,Sheet1!#REF!,Sheet1!#REF!</definedName>
    <definedName name="QB_FORMULA_153" localSheetId="1" hidden="1">Sheet1!#REF!,Sheet1!#REF!,Sheet1!#REF!,Sheet1!#REF!,Sheet1!$P$275,Sheet1!$R$275,Sheet1!#REF!,Sheet1!$X$275,Sheet1!$Z$275,Sheet1!$AB$275,Sheet1!#REF!,Sheet1!#REF!,Sheet1!#REF!,Sheet1!#REF!,Sheet1!#REF!,Sheet1!#REF!</definedName>
    <definedName name="QB_FORMULA_154" localSheetId="1" hidden="1">Sheet1!$P$276,Sheet1!$R$276,Sheet1!#REF!,Sheet1!$X$276,Sheet1!$Z$276,Sheet1!$AB$276,Sheet1!#REF!,Sheet1!#REF!,Sheet1!#REF!,Sheet1!#REF!,Sheet1!#REF!,Sheet1!#REF!,Sheet1!$P$277,Sheet1!$R$277,Sheet1!#REF!,Sheet1!$X$277</definedName>
    <definedName name="QB_FORMULA_155" localSheetId="1" hidden="1">Sheet1!$Z$277,Sheet1!$AB$277,Sheet1!#REF!,Sheet1!#REF!,Sheet1!#REF!,Sheet1!#REF!,Sheet1!$P$278,Sheet1!$R$278,Sheet1!#REF!,Sheet1!$X$278,Sheet1!$Z$278,Sheet1!$AB$278,Sheet1!#REF!,Sheet1!#REF!,Sheet1!#REF!,Sheet1!#REF!</definedName>
    <definedName name="QB_FORMULA_156" localSheetId="1" hidden="1">Sheet1!#REF!,Sheet1!#REF!,Sheet1!$P$279,Sheet1!$R$279,Sheet1!#REF!,Sheet1!$X$279,Sheet1!$Z$279,Sheet1!$AB$279,Sheet1!#REF!,Sheet1!#REF!,Sheet1!#REF!,Sheet1!#REF!,Sheet1!#REF!,Sheet1!#REF!,Sheet1!$P$281,Sheet1!$R$281</definedName>
    <definedName name="QB_FORMULA_157" localSheetId="1" hidden="1">Sheet1!#REF!,Sheet1!$X$281,Sheet1!$Z$281,Sheet1!$AB$281,Sheet1!#REF!,Sheet1!#REF!,Sheet1!#REF!,Sheet1!#REF!,Sheet1!#REF!,Sheet1!#REF!,Sheet1!#REF!,Sheet1!#REF!,Sheet1!#REF!,Sheet1!#REF!,Sheet1!#REF!,Sheet1!#REF!</definedName>
    <definedName name="QB_FORMULA_158" localSheetId="1" hidden="1">Sheet1!#REF!,Sheet1!#REF!,Sheet1!$P$282,Sheet1!$R$282,Sheet1!#REF!,Sheet1!$X$282,Sheet1!$Z$282,Sheet1!$AB$282,Sheet1!#REF!,Sheet1!#REF!,Sheet1!#REF!,Sheet1!#REF!,Sheet1!#REF!,Sheet1!#REF!,Sheet1!$P$283,Sheet1!$R$283</definedName>
    <definedName name="QB_FORMULA_159" localSheetId="1" hidden="1">Sheet1!#REF!,Sheet1!$X$283,Sheet1!$Z$283,Sheet1!$AB$283,Sheet1!$P$284,Sheet1!$R$284,Sheet1!#REF!,Sheet1!$X$284,Sheet1!$Z$284,Sheet1!$AB$284,Sheet1!#REF!,Sheet1!#REF!,Sheet1!#REF!,Sheet1!#REF!,Sheet1!#REF!,Sheet1!#REF!</definedName>
    <definedName name="QB_FORMULA_16" localSheetId="1" hidden="1">Sheet1!#REF!,Sheet1!$X$31,Sheet1!$Z$31,Sheet1!$AB$31,Sheet1!#REF!,Sheet1!#REF!,Sheet1!#REF!,Sheet1!#REF!,Sheet1!#REF!,Sheet1!#REF!,Sheet1!$P$32,Sheet1!$R$32,Sheet1!#REF!,Sheet1!$X$32,Sheet1!$Z$32,Sheet1!$AB$32</definedName>
    <definedName name="QB_FORMULA_160" localSheetId="1" hidden="1">Sheet1!$P$285,Sheet1!$R$285,Sheet1!#REF!,Sheet1!$X$285,Sheet1!$Z$285,Sheet1!$AB$285,Sheet1!#REF!,Sheet1!#REF!,Sheet1!#REF!,Sheet1!#REF!,Sheet1!#REF!,Sheet1!#REF!,Sheet1!$P$286,Sheet1!$R$286,Sheet1!#REF!,Sheet1!$X$286</definedName>
    <definedName name="QB_FORMULA_161" localSheetId="1" hidden="1">Sheet1!$Z$286,Sheet1!$AB$286,Sheet1!#REF!,Sheet1!#REF!,Sheet1!#REF!,Sheet1!#REF!,Sheet1!#REF!,Sheet1!#REF!,Sheet1!$P$287,Sheet1!$R$287,Sheet1!#REF!,Sheet1!$X$287,Sheet1!$Z$287,Sheet1!$AB$287,Sheet1!#REF!,Sheet1!#REF!</definedName>
    <definedName name="QB_FORMULA_162" localSheetId="1" hidden="1">Sheet1!#REF!,Sheet1!#REF!,Sheet1!#REF!,Sheet1!#REF!,Sheet1!$P$288,Sheet1!$R$288,Sheet1!#REF!,Sheet1!$X$288,Sheet1!$Z$288,Sheet1!$AB$288,Sheet1!#REF!,Sheet1!#REF!,Sheet1!#REF!,Sheet1!#REF!,Sheet1!#REF!,Sheet1!#REF!</definedName>
    <definedName name="QB_FORMULA_163" localSheetId="1" hidden="1">Sheet1!$P$289,Sheet1!$R$289,Sheet1!#REF!,Sheet1!$X$289,Sheet1!$Z$289,Sheet1!$AB$289,Sheet1!#REF!,Sheet1!#REF!,Sheet1!#REF!,Sheet1!#REF!,Sheet1!$H$290,Sheet1!#REF!,Sheet1!#REF!,Sheet1!#REF!,Sheet1!$J$290,Sheet1!#REF!</definedName>
    <definedName name="QB_FORMULA_164" localSheetId="1" hidden="1">Sheet1!#REF!,Sheet1!#REF!,Sheet1!$L$290,Sheet1!$N$290,Sheet1!$P$290,Sheet1!$R$290,Sheet1!#REF!,Sheet1!$X$290,Sheet1!$Z$290,Sheet1!$AB$290,Sheet1!#REF!,Sheet1!#REF!,Sheet1!#REF!,Sheet1!#REF!,Sheet1!#REF!,Sheet1!#REF!</definedName>
    <definedName name="QB_FORMULA_165" localSheetId="1" hidden="1">Sheet1!$P$292,Sheet1!$R$292,Sheet1!#REF!,Sheet1!$X$292,Sheet1!$Z$292,Sheet1!$AB$292,Sheet1!#REF!,Sheet1!#REF!,Sheet1!#REF!,Sheet1!#REF!,Sheet1!#REF!,Sheet1!#REF!,Sheet1!$P$293,Sheet1!$R$293,Sheet1!#REF!,Sheet1!$X$293</definedName>
    <definedName name="QB_FORMULA_166" localSheetId="1" hidden="1">Sheet1!$Z$293,Sheet1!$AB$293,Sheet1!#REF!,Sheet1!#REF!,Sheet1!#REF!,Sheet1!#REF!,Sheet1!#REF!,Sheet1!#REF!,Sheet1!$P$306,Sheet1!$R$306,Sheet1!#REF!,Sheet1!$X$306,Sheet1!$Z$306,Sheet1!$AB$306,Sheet1!#REF!,Sheet1!#REF!</definedName>
    <definedName name="QB_FORMULA_167" localSheetId="1" hidden="1">Sheet1!#REF!,Sheet1!#REF!,Sheet1!#REF!,Sheet1!#REF!,Sheet1!$P$310,Sheet1!$R$310,Sheet1!#REF!,Sheet1!$X$310,Sheet1!$Z$310,Sheet1!$AB$310,Sheet1!#REF!,Sheet1!#REF!,Sheet1!#REF!,Sheet1!#REF!,Sheet1!#REF!,Sheet1!#REF!</definedName>
    <definedName name="QB_FORMULA_168" localSheetId="1" hidden="1">Sheet1!$P$311,Sheet1!$R$311,Sheet1!#REF!,Sheet1!$X$311,Sheet1!$Z$311,Sheet1!$AB$311,Sheet1!#REF!,Sheet1!#REF!,Sheet1!$P$312,Sheet1!$R$312,Sheet1!#REF!,Sheet1!$X$312,Sheet1!$Z$312,Sheet1!$AB$312,Sheet1!#REF!,Sheet1!#REF!</definedName>
    <definedName name="QB_FORMULA_169" localSheetId="1" hidden="1">Sheet1!#REF!,Sheet1!#REF!,Sheet1!#REF!,Sheet1!#REF!,Sheet1!$P$313,Sheet1!$R$313,Sheet1!#REF!,Sheet1!$X$313,Sheet1!$Z$313,Sheet1!$AB$313,Sheet1!#REF!,Sheet1!#REF!,Sheet1!#REF!,Sheet1!#REF!,Sheet1!#REF!,Sheet1!#REF!</definedName>
    <definedName name="QB_FORMULA_17" localSheetId="1" hidden="1">Sheet1!#REF!,Sheet1!#REF!,Sheet1!#REF!,Sheet1!#REF!,Sheet1!#REF!,Sheet1!#REF!,Sheet1!$P$33,Sheet1!$R$33,Sheet1!#REF!,Sheet1!$X$33,Sheet1!$Z$33,Sheet1!$AB$33,Sheet1!#REF!,Sheet1!#REF!,Sheet1!#REF!,Sheet1!#REF!</definedName>
    <definedName name="QB_FORMULA_170" localSheetId="1" hidden="1">Sheet1!$P$314,Sheet1!$R$314,Sheet1!#REF!,Sheet1!$X$314,Sheet1!$Z$314,Sheet1!$AB$314,Sheet1!#REF!,Sheet1!#REF!,Sheet1!#REF!,Sheet1!#REF!,Sheet1!#REF!,Sheet1!#REF!,Sheet1!$P$315,Sheet1!$R$315,Sheet1!#REF!,Sheet1!$X$315</definedName>
    <definedName name="QB_FORMULA_171" localSheetId="1" hidden="1">Sheet1!$Z$315,Sheet1!$AB$315,Sheet1!#REF!,Sheet1!#REF!,Sheet1!#REF!,Sheet1!#REF!,Sheet1!#REF!,Sheet1!#REF!,Sheet1!$P$316,Sheet1!$R$316,Sheet1!#REF!,Sheet1!$X$316,Sheet1!$Z$316,Sheet1!$AB$316,Sheet1!#REF!,Sheet1!#REF!</definedName>
    <definedName name="QB_FORMULA_172" localSheetId="1" hidden="1">Sheet1!#REF!,Sheet1!#REF!,Sheet1!#REF!,Sheet1!#REF!,Sheet1!$P$317,Sheet1!$R$317,Sheet1!#REF!,Sheet1!$X$317,Sheet1!$Z$317,Sheet1!$AB$317,Sheet1!#REF!,Sheet1!#REF!,Sheet1!#REF!,Sheet1!#REF!,Sheet1!#REF!,Sheet1!#REF!</definedName>
    <definedName name="QB_FORMULA_173" localSheetId="1" hidden="1">Sheet1!$P$318,Sheet1!$R$318,Sheet1!#REF!,Sheet1!$X$318,Sheet1!$Z$318,Sheet1!$AB$318,Sheet1!#REF!,Sheet1!#REF!,Sheet1!#REF!,Sheet1!#REF!,Sheet1!#REF!,Sheet1!#REF!,Sheet1!$P$319,Sheet1!$R$319,Sheet1!#REF!,Sheet1!$X$319</definedName>
    <definedName name="QB_FORMULA_174" localSheetId="1" hidden="1">Sheet1!$Z$319,Sheet1!$AB$319,Sheet1!#REF!,Sheet1!#REF!,Sheet1!$P$320,Sheet1!$R$320,Sheet1!#REF!,Sheet1!$X$320,Sheet1!$Z$320,Sheet1!$AB$320,Sheet1!#REF!,Sheet1!#REF!,Sheet1!$P$321,Sheet1!$R$321,Sheet1!#REF!,Sheet1!$X$321</definedName>
    <definedName name="QB_FORMULA_175" localSheetId="1" hidden="1">Sheet1!$Z$321,Sheet1!$AB$321,Sheet1!#REF!,Sheet1!#REF!,Sheet1!#REF!,Sheet1!#REF!,Sheet1!#REF!,Sheet1!#REF!,Sheet1!#REF!,Sheet1!#REF!,Sheet1!$P$322,Sheet1!$R$322,Sheet1!#REF!,Sheet1!$X$322,Sheet1!$Z$322,Sheet1!$AB$322</definedName>
    <definedName name="QB_FORMULA_176" localSheetId="1" hidden="1">Sheet1!#REF!,Sheet1!#REF!,Sheet1!#REF!,Sheet1!#REF!,Sheet1!#REF!,Sheet1!$X$323,Sheet1!$Z$323,Sheet1!$AB$323,Sheet1!#REF!,Sheet1!#REF!,Sheet1!#REF!,Sheet1!#REF!,Sheet1!$H$324,Sheet1!#REF!,Sheet1!#REF!,Sheet1!#REF!</definedName>
    <definedName name="QB_FORMULA_177" localSheetId="1" hidden="1">Sheet1!$J$324,Sheet1!#REF!,Sheet1!#REF!,Sheet1!#REF!,Sheet1!$L$324,Sheet1!$N$324,Sheet1!$P$324,Sheet1!$R$324,Sheet1!#REF!,Sheet1!$X$324,Sheet1!$Z$324,Sheet1!$AB$324,Sheet1!#REF!,Sheet1!#REF!,Sheet1!$P$326,Sheet1!$R$326</definedName>
    <definedName name="QB_FORMULA_178" localSheetId="1" hidden="1">Sheet1!#REF!,Sheet1!$X$326,Sheet1!$Z$326,Sheet1!$AB$326,Sheet1!$P$327,Sheet1!$R$327,Sheet1!#REF!,Sheet1!$X$327,Sheet1!$Z$327,Sheet1!$AB$327,Sheet1!#REF!,Sheet1!$H$328,Sheet1!$J$328,Sheet1!#REF!,Sheet1!#REF!,Sheet1!#REF!</definedName>
    <definedName name="QB_FORMULA_179" localSheetId="1" hidden="1">Sheet1!$L$328,Sheet1!$N$328,Sheet1!$P$328,Sheet1!$R$328,Sheet1!#REF!,Sheet1!$X$328,Sheet1!$Z$328,Sheet1!$AB$328,Sheet1!#REF!,Sheet1!#REF!,Sheet1!#REF!,Sheet1!#REF!,Sheet1!#REF!,Sheet1!#REF!,Sheet1!$P$330,Sheet1!$R$330</definedName>
    <definedName name="QB_FORMULA_18" localSheetId="1" hidden="1">Sheet1!#REF!,Sheet1!#REF!,Sheet1!$P$34,Sheet1!$R$34,Sheet1!#REF!,Sheet1!$X$34,Sheet1!$Z$34,Sheet1!$AB$34,Sheet1!#REF!,Sheet1!#REF!,Sheet1!#REF!,Sheet1!#REF!,Sheet1!$H$35,Sheet1!#REF!,Sheet1!#REF!,Sheet1!#REF!</definedName>
    <definedName name="QB_FORMULA_180" localSheetId="1" hidden="1">Sheet1!#REF!,Sheet1!$X$330,Sheet1!$Z$330,Sheet1!$AB$330,Sheet1!#REF!,Sheet1!#REF!,Sheet1!#REF!,Sheet1!#REF!,Sheet1!#REF!,Sheet1!#REF!,Sheet1!$P$331,Sheet1!$R$331,Sheet1!#REF!,Sheet1!$X$331,Sheet1!$Z$331,Sheet1!$AB$331</definedName>
    <definedName name="QB_FORMULA_181" localSheetId="1" hidden="1">Sheet1!#REF!,Sheet1!#REF!,Sheet1!#REF!,Sheet1!#REF!,Sheet1!#REF!,Sheet1!#REF!,Sheet1!$P$332,Sheet1!$R$332,Sheet1!#REF!,Sheet1!$X$332,Sheet1!$Z$332,Sheet1!$AB$332,Sheet1!#REF!,Sheet1!#REF!,Sheet1!#REF!,Sheet1!#REF!</definedName>
    <definedName name="QB_FORMULA_182" localSheetId="1" hidden="1">Sheet1!$H$333,Sheet1!#REF!,Sheet1!#REF!,Sheet1!#REF!,Sheet1!$J$333,Sheet1!#REF!,Sheet1!#REF!,Sheet1!#REF!,Sheet1!$L$333,Sheet1!$N$333,Sheet1!$P$333,Sheet1!$R$333,Sheet1!#REF!,Sheet1!$X$333,Sheet1!$Z$333,Sheet1!$AB$333</definedName>
    <definedName name="QB_FORMULA_183" localSheetId="1" hidden="1">Sheet1!#REF!,Sheet1!#REF!,Sheet1!#REF!,Sheet1!#REF!,Sheet1!#REF!,Sheet1!#REF!,Sheet1!$P$335,Sheet1!$R$335,Sheet1!#REF!,Sheet1!$X$335,Sheet1!$Z$335,Sheet1!$AB$335,Sheet1!#REF!,Sheet1!#REF!,Sheet1!#REF!,Sheet1!#REF!</definedName>
    <definedName name="QB_FORMULA_184" localSheetId="1" hidden="1">Sheet1!#REF!,Sheet1!#REF!,Sheet1!$P$336,Sheet1!$R$336,Sheet1!#REF!,Sheet1!$X$336,Sheet1!$Z$336,Sheet1!$AB$336,Sheet1!#REF!,Sheet1!#REF!,Sheet1!#REF!,Sheet1!#REF!,Sheet1!$H$337,Sheet1!#REF!,Sheet1!#REF!,Sheet1!#REF!</definedName>
    <definedName name="QB_FORMULA_185" localSheetId="1" hidden="1">Sheet1!$J$337,Sheet1!#REF!,Sheet1!#REF!,Sheet1!#REF!,Sheet1!$L$337,Sheet1!$N$337,Sheet1!$P$337,Sheet1!$R$337,Sheet1!#REF!,Sheet1!$X$337,Sheet1!$Z$337,Sheet1!$AB$337,Sheet1!#REF!,Sheet1!#REF!,Sheet1!#REF!,Sheet1!#REF!</definedName>
    <definedName name="QB_FORMULA_186" localSheetId="1" hidden="1">Sheet1!#REF!,Sheet1!#REF!,Sheet1!$P$339,Sheet1!$R$339,Sheet1!#REF!,Sheet1!$X$339,Sheet1!$Z$339,Sheet1!$AB$339,Sheet1!#REF!,Sheet1!#REF!,Sheet1!#REF!,Sheet1!#REF!,Sheet1!#REF!,Sheet1!#REF!,Sheet1!$P$340,Sheet1!$R$340</definedName>
    <definedName name="QB_FORMULA_187" localSheetId="1" hidden="1">Sheet1!#REF!,Sheet1!$X$340,Sheet1!$Z$340,Sheet1!$AB$340,Sheet1!#REF!,Sheet1!#REF!,Sheet1!#REF!,Sheet1!#REF!,Sheet1!#REF!,Sheet1!$H$342,Sheet1!#REF!,Sheet1!#REF!,Sheet1!#REF!,Sheet1!$J$342,Sheet1!#REF!,Sheet1!#REF!</definedName>
    <definedName name="QB_FORMULA_188" localSheetId="1" hidden="1">Sheet1!#REF!,Sheet1!$L$342,Sheet1!$N$342,Sheet1!$P$342,Sheet1!$R$342,Sheet1!#REF!,Sheet1!$X$342,Sheet1!$Z$342,Sheet1!$AB$342,Sheet1!#REF!,Sheet1!#REF!,Sheet1!$H$345,Sheet1!$J$345,Sheet1!$L$345,Sheet1!#REF!,Sheet1!$P$348</definedName>
    <definedName name="QB_FORMULA_189" localSheetId="1" hidden="1">Sheet1!$R$348,Sheet1!#REF!,Sheet1!$X$348,Sheet1!$Z$348,Sheet1!$AB$348,Sheet1!$P$349,Sheet1!$R$349,Sheet1!#REF!,Sheet1!$X$349,Sheet1!$Z$349,Sheet1!$AB$349,Sheet1!#REF!,Sheet1!#REF!,Sheet1!#REF!,Sheet1!#REF!,Sheet1!#REF!</definedName>
    <definedName name="QB_FORMULA_19" localSheetId="1" hidden="1">Sheet1!$J$35,Sheet1!#REF!,Sheet1!#REF!,Sheet1!#REF!,Sheet1!$L$35,Sheet1!$N$35,Sheet1!$P$35,Sheet1!$R$35,Sheet1!#REF!,Sheet1!$X$35,Sheet1!$Z$35,Sheet1!$AB$35,Sheet1!#REF!,Sheet1!#REF!,Sheet1!#REF!,Sheet1!#REF!</definedName>
    <definedName name="QB_FORMULA_190" localSheetId="1" hidden="1">Sheet1!#REF!,Sheet1!#REF!,Sheet1!$X$350,Sheet1!$Z$350,Sheet1!$AB$350,Sheet1!#REF!,Sheet1!#REF!,Sheet1!#REF!,Sheet1!#REF!,Sheet1!$H$351,Sheet1!#REF!,Sheet1!#REF!,Sheet1!#REF!,Sheet1!$J$351,Sheet1!#REF!,Sheet1!#REF!</definedName>
    <definedName name="QB_FORMULA_191" localSheetId="1" hidden="1">Sheet1!#REF!,Sheet1!$L$351,Sheet1!$N$351,Sheet1!$P$351,Sheet1!$R$351,Sheet1!#REF!,Sheet1!$X$351,Sheet1!$Z$351,Sheet1!$AB$351,Sheet1!#REF!,Sheet1!#REF!,Sheet1!#REF!,Sheet1!#REF!,Sheet1!$H$352,Sheet1!#REF!,Sheet1!#REF!</definedName>
    <definedName name="QB_FORMULA_192" localSheetId="1" hidden="1">Sheet1!#REF!,Sheet1!$J$352,Sheet1!#REF!,Sheet1!#REF!,Sheet1!#REF!,Sheet1!$L$352,Sheet1!$N$352,Sheet1!$P$352,Sheet1!$R$352,Sheet1!#REF!,Sheet1!$X$352,Sheet1!$Z$352,Sheet1!$AB$352,Sheet1!#REF!,Sheet1!#REF!,Sheet1!#REF!</definedName>
    <definedName name="QB_FORMULA_193" localSheetId="1" hidden="1">Sheet1!#REF!,Sheet1!$H$353,Sheet1!#REF!,Sheet1!#REF!,Sheet1!#REF!,Sheet1!$J$353,Sheet1!#REF!,Sheet1!#REF!,Sheet1!#REF!,Sheet1!$L$353,Sheet1!$N$353,Sheet1!$P$353,Sheet1!$R$353,Sheet1!#REF!,Sheet1!$X$353,Sheet1!$Z$353</definedName>
    <definedName name="QB_FORMULA_194" localSheetId="1" hidden="1">Sheet1!$AB$353,Sheet1!#REF!,Sheet1!#REF!,Sheet1!#REF!,Sheet1!#REF!,Sheet1!$H$354,Sheet1!#REF!,Sheet1!#REF!,Sheet1!#REF!,Sheet1!$J$354,Sheet1!#REF!,Sheet1!#REF!,Sheet1!#REF!,Sheet1!$L$354,Sheet1!$N$354,Sheet1!$P$354</definedName>
    <definedName name="QB_FORMULA_195" localSheetId="1" hidden="1">Sheet1!$R$354,Sheet1!#REF!,Sheet1!$X$354,Sheet1!$Z$354,Sheet1!$AB$354</definedName>
    <definedName name="QB_FORMULA_2" localSheetId="1" hidden="1">Sheet1!#REF!,Sheet1!$X$6,Sheet1!$Z$6,Sheet1!$AB$6,Sheet1!#REF!,Sheet1!#REF!,Sheet1!#REF!,Sheet1!#REF!,Sheet1!#REF!,Sheet1!#REF!,Sheet1!#REF!,Sheet1!$P$9,Sheet1!$R$9,Sheet1!#REF!,Sheet1!$X$9,Sheet1!$Z$9</definedName>
    <definedName name="QB_FORMULA_20" localSheetId="1" hidden="1">Sheet1!$P$36,Sheet1!$R$36,Sheet1!#REF!,Sheet1!$X$36,Sheet1!$Z$36,Sheet1!$AB$36,Sheet1!#REF!,Sheet1!#REF!,Sheet1!#REF!,Sheet1!#REF!,Sheet1!#REF!,Sheet1!#REF!,Sheet1!$P$38,Sheet1!$R$38,Sheet1!#REF!,Sheet1!$X$38</definedName>
    <definedName name="QB_FORMULA_21" localSheetId="1" hidden="1">Sheet1!$Z$38,Sheet1!$AB$38,Sheet1!#REF!,Sheet1!#REF!,Sheet1!#REF!,Sheet1!#REF!,Sheet1!#REF!,Sheet1!#REF!,Sheet1!$P$39,Sheet1!$R$39,Sheet1!#REF!,Sheet1!$X$39,Sheet1!$Z$39,Sheet1!$AB$39,Sheet1!#REF!,Sheet1!#REF!</definedName>
    <definedName name="QB_FORMULA_22" localSheetId="1" hidden="1">Sheet1!#REF!,Sheet1!#REF!,Sheet1!$H$40,Sheet1!#REF!,Sheet1!#REF!,Sheet1!#REF!,Sheet1!$J$40,Sheet1!#REF!,Sheet1!#REF!,Sheet1!#REF!,Sheet1!$L$40,Sheet1!$N$40,Sheet1!$P$40,Sheet1!$R$40,Sheet1!#REF!,Sheet1!$X$40</definedName>
    <definedName name="QB_FORMULA_23" localSheetId="1" hidden="1">Sheet1!$Z$40,Sheet1!$AB$40,Sheet1!#REF!,Sheet1!#REF!,Sheet1!#REF!,Sheet1!#REF!,Sheet1!#REF!,Sheet1!#REF!,Sheet1!$P$42,Sheet1!$R$42,Sheet1!#REF!,Sheet1!$X$42,Sheet1!$Z$42,Sheet1!$AB$42,Sheet1!#REF!,Sheet1!#REF!</definedName>
    <definedName name="QB_FORMULA_24" localSheetId="1" hidden="1">Sheet1!#REF!,Sheet1!#REF!,Sheet1!$H$43,Sheet1!#REF!,Sheet1!#REF!,Sheet1!#REF!,Sheet1!$J$43,Sheet1!#REF!,Sheet1!#REF!,Sheet1!#REF!,Sheet1!$L$43,Sheet1!$N$43,Sheet1!$P$43,Sheet1!$R$43,Sheet1!#REF!,Sheet1!$X$43</definedName>
    <definedName name="QB_FORMULA_25" localSheetId="1" hidden="1">Sheet1!$Z$43,Sheet1!$AB$43,Sheet1!#REF!,Sheet1!#REF!,Sheet1!#REF!,Sheet1!#REF!,Sheet1!#REF!,Sheet1!#REF!,Sheet1!#REF!,Sheet1!#REF!,Sheet1!#REF!,Sheet1!#REF!,Sheet1!#REF!,Sheet1!#REF!,Sheet1!$P$45,Sheet1!$R$45</definedName>
    <definedName name="QB_FORMULA_26" localSheetId="1" hidden="1">Sheet1!#REF!,Sheet1!$X$45,Sheet1!$Z$45,Sheet1!$AB$45,Sheet1!#REF!,Sheet1!#REF!,Sheet1!#REF!,Sheet1!#REF!,Sheet1!#REF!,Sheet1!#REF!,Sheet1!$P$46,Sheet1!$R$46,Sheet1!#REF!,Sheet1!$X$46,Sheet1!$Z$46,Sheet1!$AB$46</definedName>
    <definedName name="QB_FORMULA_27" localSheetId="1" hidden="1">Sheet1!#REF!,Sheet1!#REF!,Sheet1!#REF!,Sheet1!#REF!,Sheet1!#REF!,Sheet1!#REF!,Sheet1!$P$47,Sheet1!$R$47,Sheet1!#REF!,Sheet1!$X$47,Sheet1!$Z$47,Sheet1!$AB$47,Sheet1!#REF!,Sheet1!#REF!,Sheet1!#REF!,Sheet1!#REF!</definedName>
    <definedName name="QB_FORMULA_28" localSheetId="1" hidden="1">Sheet1!#REF!,Sheet1!#REF!,Sheet1!$P$48,Sheet1!$R$48,Sheet1!#REF!,Sheet1!$X$48,Sheet1!$Z$48,Sheet1!$AB$48,Sheet1!#REF!,Sheet1!#REF!,Sheet1!#REF!,Sheet1!#REF!,Sheet1!#REF!,Sheet1!#REF!,Sheet1!#REF!,Sheet1!$P$49</definedName>
    <definedName name="QB_FORMULA_29" localSheetId="1" hidden="1">Sheet1!$R$49,Sheet1!#REF!,Sheet1!$X$49,Sheet1!$Z$49,Sheet1!$AB$49,Sheet1!#REF!,Sheet1!#REF!,Sheet1!#REF!,Sheet1!#REF!,Sheet1!#REF!,Sheet1!#REF!,Sheet1!$P$50,Sheet1!$R$50,Sheet1!#REF!,Sheet1!$X$50,Sheet1!$Z$50</definedName>
    <definedName name="QB_FORMULA_3" localSheetId="1" hidden="1">Sheet1!$AB$9,Sheet1!#REF!,Sheet1!#REF!,Sheet1!#REF!,Sheet1!#REF!,Sheet1!#REF!,Sheet1!#REF!,Sheet1!$P$10,Sheet1!$R$10,Sheet1!#REF!,Sheet1!$X$10,Sheet1!$Z$10,Sheet1!$AB$10,Sheet1!#REF!,Sheet1!#REF!,Sheet1!#REF!</definedName>
    <definedName name="QB_FORMULA_30" localSheetId="1" hidden="1">Sheet1!$AB$50,Sheet1!#REF!,Sheet1!#REF!,Sheet1!#REF!,Sheet1!#REF!,Sheet1!#REF!,Sheet1!#REF!,Sheet1!$P$51,Sheet1!$R$51,Sheet1!#REF!,Sheet1!$X$51,Sheet1!$Z$51,Sheet1!$AB$51,Sheet1!#REF!,Sheet1!#REF!,Sheet1!#REF!</definedName>
    <definedName name="QB_FORMULA_31" localSheetId="1" hidden="1">Sheet1!#REF!,Sheet1!#REF!,Sheet1!#REF!,Sheet1!$P$52,Sheet1!$R$52,Sheet1!#REF!,Sheet1!$X$52,Sheet1!$Z$52,Sheet1!$AB$52,Sheet1!#REF!,Sheet1!#REF!,Sheet1!$P$53,Sheet1!$R$53,Sheet1!#REF!,Sheet1!$X$53,Sheet1!$Z$53</definedName>
    <definedName name="QB_FORMULA_32" localSheetId="1" hidden="1">Sheet1!$AB$53,Sheet1!#REF!,Sheet1!#REF!,Sheet1!#REF!,Sheet1!#REF!,Sheet1!#REF!,Sheet1!#REF!,Sheet1!$P$54,Sheet1!$R$54,Sheet1!#REF!,Sheet1!$X$54,Sheet1!$Z$54,Sheet1!$AB$54,Sheet1!#REF!,Sheet1!#REF!,Sheet1!#REF!</definedName>
    <definedName name="QB_FORMULA_33" localSheetId="1" hidden="1">Sheet1!#REF!,Sheet1!#REF!,Sheet1!#REF!,Sheet1!$P$55,Sheet1!$R$55,Sheet1!#REF!,Sheet1!$X$55,Sheet1!$Z$55,Sheet1!$AB$55,Sheet1!#REF!,Sheet1!#REF!,Sheet1!#REF!,Sheet1!#REF!,Sheet1!#REF!,Sheet1!#REF!,Sheet1!$P$56</definedName>
    <definedName name="QB_FORMULA_34" localSheetId="1" hidden="1">Sheet1!$R$56,Sheet1!#REF!,Sheet1!$X$56,Sheet1!$Z$56,Sheet1!$AB$56,Sheet1!#REF!,Sheet1!#REF!,Sheet1!#REF!,Sheet1!#REF!,Sheet1!#REF!,Sheet1!#REF!,Sheet1!$P$57,Sheet1!$R$57,Sheet1!#REF!,Sheet1!$X$57,Sheet1!$Z$57</definedName>
    <definedName name="QB_FORMULA_35" localSheetId="1" hidden="1">Sheet1!$AB$57,Sheet1!#REF!,Sheet1!#REF!,Sheet1!#REF!,Sheet1!#REF!,Sheet1!#REF!,Sheet1!#REF!,Sheet1!$P$58,Sheet1!$R$58,Sheet1!#REF!,Sheet1!$X$58,Sheet1!$Z$58,Sheet1!$AB$58,Sheet1!#REF!,Sheet1!#REF!,Sheet1!#REF!</definedName>
    <definedName name="QB_FORMULA_36" localSheetId="1" hidden="1">Sheet1!#REF!,Sheet1!#REF!,Sheet1!#REF!,Sheet1!$P$59,Sheet1!$R$59,Sheet1!#REF!,Sheet1!$X$59,Sheet1!$Z$59,Sheet1!$AB$59,Sheet1!#REF!,Sheet1!#REF!,Sheet1!#REF!,Sheet1!#REF!,Sheet1!#REF!,Sheet1!#REF!,Sheet1!$P$60</definedName>
    <definedName name="QB_FORMULA_37" localSheetId="1" hidden="1">Sheet1!$R$60,Sheet1!#REF!,Sheet1!$X$60,Sheet1!$Z$60,Sheet1!$AB$60,Sheet1!#REF!,Sheet1!#REF!,Sheet1!#REF!,Sheet1!#REF!,Sheet1!#REF!,Sheet1!#REF!,Sheet1!$P$61,Sheet1!$R$61,Sheet1!#REF!,Sheet1!$X$61,Sheet1!$Z$61</definedName>
    <definedName name="QB_FORMULA_38" localSheetId="1" hidden="1">Sheet1!$AB$61,Sheet1!#REF!,Sheet1!#REF!,Sheet1!#REF!,Sheet1!#REF!,Sheet1!#REF!,Sheet1!#REF!,Sheet1!$P$62,Sheet1!$R$62,Sheet1!#REF!,Sheet1!$X$62,Sheet1!$Z$62,Sheet1!$AB$62,Sheet1!#REF!,Sheet1!#REF!,Sheet1!#REF!</definedName>
    <definedName name="QB_FORMULA_39" localSheetId="1" hidden="1">Sheet1!#REF!,Sheet1!#REF!,Sheet1!#REF!,Sheet1!$P$63,Sheet1!$R$63,Sheet1!#REF!,Sheet1!$X$63,Sheet1!$Z$63,Sheet1!$AB$63,Sheet1!#REF!,Sheet1!#REF!,Sheet1!#REF!,Sheet1!#REF!,Sheet1!$H$64,Sheet1!#REF!,Sheet1!#REF!</definedName>
    <definedName name="QB_FORMULA_4" localSheetId="1" hidden="1">Sheet1!#REF!,Sheet1!#REF!,Sheet1!#REF!,Sheet1!#REF!,Sheet1!$P$12,Sheet1!$R$12,Sheet1!#REF!,Sheet1!$X$12,Sheet1!$Z$12,Sheet1!$AB$12,Sheet1!#REF!,Sheet1!#REF!,Sheet1!#REF!,Sheet1!#REF!,Sheet1!#REF!,Sheet1!#REF!</definedName>
    <definedName name="QB_FORMULA_40" localSheetId="1" hidden="1">Sheet1!#REF!,Sheet1!$J$64,Sheet1!#REF!,Sheet1!#REF!,Sheet1!#REF!,Sheet1!$L$64,Sheet1!$N$64,Sheet1!$P$64,Sheet1!$R$64,Sheet1!#REF!,Sheet1!$X$64,Sheet1!$Z$64,Sheet1!$AB$64,Sheet1!#REF!,Sheet1!#REF!,Sheet1!#REF!</definedName>
    <definedName name="QB_FORMULA_41" localSheetId="1" hidden="1">Sheet1!#REF!,Sheet1!#REF!,Sheet1!#REF!,Sheet1!$P$65,Sheet1!$R$65,Sheet1!#REF!,Sheet1!$X$65,Sheet1!$Z$65,Sheet1!$AB$65,Sheet1!#REF!,Sheet1!#REF!,Sheet1!$P$66,Sheet1!$R$66,Sheet1!#REF!,Sheet1!$X$66,Sheet1!$Z$66</definedName>
    <definedName name="QB_FORMULA_42" localSheetId="1" hidden="1">Sheet1!$AB$66,Sheet1!#REF!,Sheet1!#REF!,Sheet1!$P$67,Sheet1!$R$67,Sheet1!#REF!,Sheet1!$X$67,Sheet1!$Z$67,Sheet1!$AB$67,Sheet1!$P$69,Sheet1!$R$69,Sheet1!#REF!,Sheet1!$X$69,Sheet1!$Z$69,Sheet1!$AB$69,Sheet1!#REF!</definedName>
    <definedName name="QB_FORMULA_43" localSheetId="1" hidden="1">Sheet1!#REF!,Sheet1!#REF!,Sheet1!#REF!,Sheet1!#REF!,Sheet1!#REF!,Sheet1!$P$71,Sheet1!$R$71,Sheet1!#REF!,Sheet1!$X$71,Sheet1!$Z$71,Sheet1!$AB$71,Sheet1!#REF!,Sheet1!#REF!,Sheet1!#REF!,Sheet1!#REF!,Sheet1!$H$72</definedName>
    <definedName name="QB_FORMULA_44" localSheetId="1" hidden="1">Sheet1!#REF!,Sheet1!#REF!,Sheet1!#REF!,Sheet1!$J$72,Sheet1!#REF!,Sheet1!#REF!,Sheet1!#REF!,Sheet1!$L$72,Sheet1!$N$72,Sheet1!$P$72,Sheet1!$R$72,Sheet1!#REF!,Sheet1!$X$72,Sheet1!$Z$72,Sheet1!$AB$72,Sheet1!#REF!</definedName>
    <definedName name="QB_FORMULA_45" localSheetId="1" hidden="1">Sheet1!#REF!,Sheet1!#REF!,Sheet1!#REF!,Sheet1!#REF!,Sheet1!#REF!,Sheet1!$P$74,Sheet1!$R$74,Sheet1!#REF!,Sheet1!$X$74,Sheet1!$Z$74,Sheet1!$AB$74,Sheet1!#REF!,Sheet1!#REF!,Sheet1!#REF!,Sheet1!#REF!,Sheet1!#REF!</definedName>
    <definedName name="QB_FORMULA_46" localSheetId="1" hidden="1">Sheet1!#REF!,Sheet1!$P$75,Sheet1!$R$75,Sheet1!#REF!,Sheet1!$X$75,Sheet1!$Z$75,Sheet1!$AB$75,Sheet1!#REF!,Sheet1!#REF!,Sheet1!#REF!,Sheet1!#REF!,Sheet1!#REF!,Sheet1!#REF!,Sheet1!$P$76,Sheet1!$R$76,Sheet1!#REF!</definedName>
    <definedName name="QB_FORMULA_47" localSheetId="1" hidden="1">Sheet1!$X$76,Sheet1!$Z$76,Sheet1!$AB$76,Sheet1!#REF!,Sheet1!#REF!,Sheet1!#REF!,Sheet1!#REF!,Sheet1!$H$77,Sheet1!#REF!,Sheet1!#REF!,Sheet1!#REF!,Sheet1!$J$77,Sheet1!#REF!,Sheet1!#REF!,Sheet1!#REF!,Sheet1!$L$77</definedName>
    <definedName name="QB_FORMULA_48" localSheetId="1" hidden="1">Sheet1!$N$77,Sheet1!$P$77,Sheet1!$R$77,Sheet1!#REF!,Sheet1!$X$77,Sheet1!$Z$77,Sheet1!$AB$77,Sheet1!#REF!,Sheet1!#REF!,Sheet1!#REF!,Sheet1!#REF!,Sheet1!#REF!,Sheet1!#REF!,Sheet1!$P$78,Sheet1!$R$78,Sheet1!#REF!</definedName>
    <definedName name="QB_FORMULA_49" localSheetId="1" hidden="1">Sheet1!$X$78,Sheet1!$Z$78,Sheet1!$AB$78,Sheet1!#REF!,Sheet1!#REF!,Sheet1!#REF!,Sheet1!#REF!,Sheet1!$H$79,Sheet1!#REF!,Sheet1!#REF!,Sheet1!#REF!,Sheet1!$J$79,Sheet1!#REF!,Sheet1!#REF!,Sheet1!#REF!,Sheet1!$L$79</definedName>
    <definedName name="QB_FORMULA_5" localSheetId="1" hidden="1">Sheet1!$P$13,Sheet1!$R$13,Sheet1!#REF!,Sheet1!$X$13,Sheet1!$Z$13,Sheet1!$AB$13,Sheet1!#REF!,Sheet1!#REF!,Sheet1!#REF!,Sheet1!#REF!,Sheet1!$H$14,Sheet1!#REF!,Sheet1!#REF!,Sheet1!#REF!,Sheet1!$J$14,Sheet1!#REF!</definedName>
    <definedName name="QB_FORMULA_50" localSheetId="1" hidden="1">Sheet1!$N$79,Sheet1!$P$79,Sheet1!$R$79,Sheet1!#REF!,Sheet1!$X$79,Sheet1!$Z$79,Sheet1!$AB$79,Sheet1!#REF!,Sheet1!#REF!,Sheet1!#REF!,Sheet1!#REF!,Sheet1!$H$80,Sheet1!#REF!,Sheet1!#REF!,Sheet1!#REF!,Sheet1!$J$80</definedName>
    <definedName name="QB_FORMULA_51" localSheetId="1" hidden="1">Sheet1!#REF!,Sheet1!#REF!,Sheet1!#REF!,Sheet1!$L$80,Sheet1!$N$80,Sheet1!$P$80,Sheet1!$R$80,Sheet1!#REF!,Sheet1!$X$80,Sheet1!$Z$80,Sheet1!$AB$80,Sheet1!#REF!,Sheet1!#REF!,Sheet1!#REF!,Sheet1!#REF!,Sheet1!#REF!</definedName>
    <definedName name="QB_FORMULA_52" localSheetId="1" hidden="1">Sheet1!#REF!,Sheet1!$P$83,Sheet1!$R$83,Sheet1!#REF!,Sheet1!$X$83,Sheet1!$Z$83,Sheet1!$AB$83,Sheet1!#REF!,Sheet1!#REF!,Sheet1!#REF!,Sheet1!#REF!,Sheet1!#REF!,Sheet1!#REF!,Sheet1!$P$84,Sheet1!$R$84,Sheet1!#REF!</definedName>
    <definedName name="QB_FORMULA_53" localSheetId="1" hidden="1">Sheet1!$X$84,Sheet1!$Z$84,Sheet1!$AB$84,Sheet1!#REF!,Sheet1!#REF!,Sheet1!#REF!,Sheet1!#REF!,Sheet1!#REF!,Sheet1!#REF!,Sheet1!$P$85,Sheet1!$R$85,Sheet1!#REF!,Sheet1!$X$85,Sheet1!$Z$85,Sheet1!$AB$85,Sheet1!#REF!</definedName>
    <definedName name="QB_FORMULA_54" localSheetId="1" hidden="1">Sheet1!#REF!,Sheet1!#REF!,Sheet1!#REF!,Sheet1!#REF!,Sheet1!#REF!,Sheet1!$P$86,Sheet1!$R$86,Sheet1!#REF!,Sheet1!$X$86,Sheet1!$Z$86,Sheet1!$AB$86,Sheet1!#REF!,Sheet1!#REF!,Sheet1!#REF!,Sheet1!#REF!,Sheet1!#REF!</definedName>
    <definedName name="QB_FORMULA_55" localSheetId="1" hidden="1">Sheet1!#REF!,Sheet1!$P$87,Sheet1!$R$87,Sheet1!#REF!,Sheet1!$X$87,Sheet1!$Z$87,Sheet1!$AB$87,Sheet1!#REF!,Sheet1!#REF!,Sheet1!#REF!,Sheet1!#REF!,Sheet1!#REF!,Sheet1!#REF!,Sheet1!$P$88,Sheet1!$R$88,Sheet1!#REF!</definedName>
    <definedName name="QB_FORMULA_56" localSheetId="1" hidden="1">Sheet1!$X$88,Sheet1!$Z$88,Sheet1!$AB$88,Sheet1!#REF!,Sheet1!#REF!,Sheet1!#REF!,Sheet1!#REF!,Sheet1!#REF!,Sheet1!#REF!,Sheet1!$P$89,Sheet1!$R$89,Sheet1!#REF!,Sheet1!$X$89,Sheet1!$Z$89,Sheet1!$AB$89,Sheet1!#REF!</definedName>
    <definedName name="QB_FORMULA_57" localSheetId="1" hidden="1">Sheet1!#REF!,Sheet1!#REF!,Sheet1!#REF!,Sheet1!#REF!,Sheet1!#REF!,Sheet1!#REF!,Sheet1!$P$91,Sheet1!$R$91,Sheet1!#REF!,Sheet1!$X$91,Sheet1!$Z$91,Sheet1!$AB$91,Sheet1!#REF!,Sheet1!#REF!,Sheet1!#REF!,Sheet1!#REF!</definedName>
    <definedName name="QB_FORMULA_58" localSheetId="1" hidden="1">Sheet1!#REF!,Sheet1!#REF!,Sheet1!$P$92,Sheet1!$R$92,Sheet1!#REF!,Sheet1!$X$92,Sheet1!$Z$92,Sheet1!$AB$92,Sheet1!#REF!,Sheet1!#REF!,Sheet1!#REF!,Sheet1!#REF!,Sheet1!#REF!,Sheet1!#REF!,Sheet1!$P$93,Sheet1!$R$93</definedName>
    <definedName name="QB_FORMULA_59" localSheetId="1" hidden="1">Sheet1!#REF!,Sheet1!$X$93,Sheet1!$Z$93,Sheet1!$AB$93,Sheet1!#REF!,Sheet1!#REF!,Sheet1!#REF!,Sheet1!#REF!,Sheet1!#REF!,Sheet1!#REF!,Sheet1!$P$94,Sheet1!$R$94,Sheet1!#REF!,Sheet1!$X$94,Sheet1!$Z$94,Sheet1!$AB$94</definedName>
    <definedName name="QB_FORMULA_6" localSheetId="1" hidden="1">Sheet1!#REF!,Sheet1!#REF!,Sheet1!$L$14,Sheet1!$N$14,Sheet1!$P$14,Sheet1!$R$14,Sheet1!#REF!,Sheet1!$X$14,Sheet1!$Z$14,Sheet1!$AB$14,Sheet1!#REF!,Sheet1!#REF!,Sheet1!#REF!,Sheet1!#REF!,Sheet1!#REF!,Sheet1!#REF!</definedName>
    <definedName name="QB_FORMULA_60" localSheetId="1" hidden="1">Sheet1!#REF!,Sheet1!#REF!,Sheet1!#REF!,Sheet1!#REF!,Sheet1!#REF!,Sheet1!#REF!,Sheet1!$P$95,Sheet1!$R$95,Sheet1!#REF!,Sheet1!$X$95,Sheet1!$Z$95,Sheet1!$AB$95,Sheet1!#REF!,Sheet1!#REF!,Sheet1!#REF!,Sheet1!#REF!</definedName>
    <definedName name="QB_FORMULA_61" localSheetId="1" hidden="1">Sheet1!#REF!,Sheet1!#REF!,Sheet1!$P$96,Sheet1!$R$96,Sheet1!#REF!,Sheet1!$X$96,Sheet1!$Z$96,Sheet1!$AB$96,Sheet1!#REF!,Sheet1!#REF!,Sheet1!$P$97,Sheet1!$R$97,Sheet1!#REF!,Sheet1!$X$97,Sheet1!$Z$97,Sheet1!$AB$97</definedName>
    <definedName name="QB_FORMULA_62" localSheetId="1" hidden="1">Sheet1!#REF!,Sheet1!#REF!,Sheet1!$P$98,Sheet1!$R$98,Sheet1!#REF!,Sheet1!$X$98,Sheet1!$Z$98,Sheet1!$AB$98,Sheet1!#REF!,Sheet1!#REF!,Sheet1!#REF!,Sheet1!#REF!,Sheet1!#REF!,Sheet1!#REF!,Sheet1!$P$99,Sheet1!$R$99</definedName>
    <definedName name="QB_FORMULA_63" localSheetId="1" hidden="1">Sheet1!#REF!,Sheet1!$X$99,Sheet1!$Z$99,Sheet1!$AB$99,Sheet1!#REF!,Sheet1!#REF!,Sheet1!#REF!,Sheet1!#REF!,Sheet1!#REF!,Sheet1!#REF!,Sheet1!$P$100,Sheet1!$R$100,Sheet1!#REF!,Sheet1!$X$100,Sheet1!$Z$100,Sheet1!$AB$100</definedName>
    <definedName name="QB_FORMULA_64" localSheetId="1" hidden="1">Sheet1!#REF!,Sheet1!#REF!,Sheet1!#REF!,Sheet1!#REF!,Sheet1!#REF!,Sheet1!#REF!,Sheet1!$P$101,Sheet1!$R$101,Sheet1!#REF!,Sheet1!$X$101,Sheet1!$Z$101,Sheet1!$AB$101,Sheet1!#REF!,Sheet1!#REF!,Sheet1!#REF!,Sheet1!#REF!</definedName>
    <definedName name="QB_FORMULA_65" localSheetId="1" hidden="1">Sheet1!#REF!,Sheet1!#REF!,Sheet1!$P$102,Sheet1!$R$102,Sheet1!#REF!,Sheet1!$X$102,Sheet1!$Z$102,Sheet1!$AB$102,Sheet1!#REF!,Sheet1!#REF!,Sheet1!#REF!,Sheet1!#REF!,Sheet1!#REF!,Sheet1!#REF!,Sheet1!#REF!,Sheet1!$P$103</definedName>
    <definedName name="QB_FORMULA_66" localSheetId="1" hidden="1">Sheet1!$R$103,Sheet1!#REF!,Sheet1!$X$103,Sheet1!$Z$103,Sheet1!$AB$103,Sheet1!#REF!,Sheet1!#REF!,Sheet1!#REF!,Sheet1!#REF!,Sheet1!#REF!,Sheet1!#REF!,Sheet1!$P$104,Sheet1!$R$104,Sheet1!#REF!,Sheet1!$X$104,Sheet1!$Z$104</definedName>
    <definedName name="QB_FORMULA_67" localSheetId="1" hidden="1">Sheet1!$AB$104,Sheet1!#REF!,Sheet1!#REF!,Sheet1!#REF!,Sheet1!#REF!,Sheet1!#REF!,Sheet1!#REF!,Sheet1!$P$105,Sheet1!$R$105,Sheet1!#REF!,Sheet1!$X$105,Sheet1!$Z$105,Sheet1!$AB$105,Sheet1!#REF!,Sheet1!#REF!,Sheet1!#REF!</definedName>
    <definedName name="QB_FORMULA_68" localSheetId="1" hidden="1">Sheet1!#REF!,Sheet1!#REF!,Sheet1!#REF!,Sheet1!$P$106,Sheet1!$R$106,Sheet1!#REF!,Sheet1!$X$106,Sheet1!$Z$106,Sheet1!$AB$106,Sheet1!#REF!,Sheet1!#REF!,Sheet1!#REF!,Sheet1!#REF!,Sheet1!#REF!,Sheet1!#REF!,Sheet1!$P$107</definedName>
    <definedName name="QB_FORMULA_69" localSheetId="1" hidden="1">Sheet1!$R$107,Sheet1!#REF!,Sheet1!$X$107,Sheet1!$Z$107,Sheet1!$AB$107,Sheet1!#REF!,Sheet1!#REF!,Sheet1!#REF!,Sheet1!#REF!,Sheet1!#REF!,Sheet1!#REF!,Sheet1!#REF!,Sheet1!#REF!,Sheet1!#REF!,Sheet1!#REF!,Sheet1!#REF!</definedName>
    <definedName name="QB_FORMULA_7" localSheetId="1" hidden="1">Sheet1!$P$16,Sheet1!$R$16,Sheet1!#REF!,Sheet1!$X$16,Sheet1!$Z$16,Sheet1!$AB$16,Sheet1!#REF!,Sheet1!#REF!,Sheet1!#REF!,Sheet1!#REF!,Sheet1!#REF!,Sheet1!#REF!,Sheet1!$P$17,Sheet1!$R$17,Sheet1!#REF!,Sheet1!$X$17</definedName>
    <definedName name="QB_FORMULA_70" localSheetId="1" hidden="1">Sheet1!#REF!,Sheet1!$P$108,Sheet1!$R$108,Sheet1!#REF!,Sheet1!$X$108,Sheet1!$Z$108,Sheet1!$AB$108,Sheet1!#REF!,Sheet1!#REF!,Sheet1!#REF!,Sheet1!#REF!,Sheet1!#REF!,Sheet1!#REF!,Sheet1!$P$109,Sheet1!$R$109,Sheet1!#REF!</definedName>
    <definedName name="QB_FORMULA_71" localSheetId="1" hidden="1">Sheet1!$X$109,Sheet1!$Z$109,Sheet1!$AB$109,Sheet1!#REF!,Sheet1!#REF!,Sheet1!#REF!,Sheet1!#REF!,Sheet1!#REF!,Sheet1!#REF!,Sheet1!$P$110,Sheet1!$R$110,Sheet1!#REF!,Sheet1!$X$110,Sheet1!$Z$110,Sheet1!$AB$110,Sheet1!#REF!</definedName>
    <definedName name="QB_FORMULA_72" localSheetId="1" hidden="1">Sheet1!#REF!,Sheet1!#REF!,Sheet1!#REF!,Sheet1!#REF!,Sheet1!#REF!,Sheet1!$P$111,Sheet1!$R$111,Sheet1!#REF!,Sheet1!$X$111,Sheet1!$Z$111,Sheet1!$AB$111,Sheet1!#REF!,Sheet1!#REF!,Sheet1!#REF!,Sheet1!#REF!,Sheet1!#REF!</definedName>
    <definedName name="QB_FORMULA_73" localSheetId="1" hidden="1">Sheet1!#REF!,Sheet1!$P$112,Sheet1!$R$112,Sheet1!#REF!,Sheet1!$X$112,Sheet1!$Z$112,Sheet1!$AB$112,Sheet1!#REF!,Sheet1!#REF!,Sheet1!#REF!,Sheet1!#REF!,Sheet1!#REF!,Sheet1!#REF!,Sheet1!$P$113,Sheet1!$R$113,Sheet1!#REF!</definedName>
    <definedName name="QB_FORMULA_74" localSheetId="1" hidden="1">Sheet1!$X$113,Sheet1!$Z$113,Sheet1!$AB$113,Sheet1!#REF!,Sheet1!#REF!,Sheet1!#REF!,Sheet1!#REF!,Sheet1!#REF!,Sheet1!#REF!,Sheet1!$P$114,Sheet1!$R$114,Sheet1!#REF!,Sheet1!$X$114,Sheet1!$Z$114,Sheet1!$AB$114,Sheet1!#REF!</definedName>
    <definedName name="QB_FORMULA_75" localSheetId="1" hidden="1">Sheet1!#REF!,Sheet1!#REF!,Sheet1!#REF!,Sheet1!#REF!,Sheet1!#REF!,Sheet1!$P$115,Sheet1!$R$115,Sheet1!#REF!,Sheet1!$X$115,Sheet1!$Z$115,Sheet1!$AB$115,Sheet1!#REF!,Sheet1!#REF!,Sheet1!#REF!,Sheet1!#REF!,Sheet1!#REF!</definedName>
    <definedName name="QB_FORMULA_76" localSheetId="1" hidden="1">Sheet1!#REF!,Sheet1!$P$116,Sheet1!$R$116,Sheet1!#REF!,Sheet1!$X$116,Sheet1!$Z$116,Sheet1!$AB$116,Sheet1!#REF!,Sheet1!#REF!,Sheet1!#REF!,Sheet1!#REF!,Sheet1!#REF!,Sheet1!#REF!,Sheet1!#REF!,Sheet1!$P$121,Sheet1!$R$121</definedName>
    <definedName name="QB_FORMULA_77" localSheetId="1" hidden="1">Sheet1!#REF!,Sheet1!$X$121,Sheet1!$Z$121,Sheet1!$AB$121,Sheet1!#REF!,Sheet1!#REF!,Sheet1!$P$122,Sheet1!$R$122,Sheet1!#REF!,Sheet1!$X$122,Sheet1!$Z$122,Sheet1!$AB$122,Sheet1!#REF!,Sheet1!#REF!,Sheet1!#REF!,Sheet1!#REF!</definedName>
    <definedName name="QB_FORMULA_78" localSheetId="1" hidden="1">Sheet1!#REF!,Sheet1!#REF!,Sheet1!$P$125,Sheet1!$R$125,Sheet1!#REF!,Sheet1!$X$125,Sheet1!$Z$125,Sheet1!$AB$125,Sheet1!#REF!,Sheet1!#REF!,Sheet1!#REF!,Sheet1!#REF!,Sheet1!#REF!,Sheet1!#REF!,Sheet1!$P$126,Sheet1!$R$126</definedName>
    <definedName name="QB_FORMULA_79" localSheetId="1" hidden="1">Sheet1!#REF!,Sheet1!$X$126,Sheet1!$Z$126,Sheet1!$AB$126,Sheet1!#REF!,Sheet1!#REF!,Sheet1!#REF!,Sheet1!#REF!,Sheet1!#REF!,Sheet1!#REF!,Sheet1!$P$130,Sheet1!$R$130,Sheet1!#REF!,Sheet1!$X$130,Sheet1!$Z$130,Sheet1!$AB$130</definedName>
    <definedName name="QB_FORMULA_8" localSheetId="1" hidden="1">Sheet1!$Z$17,Sheet1!$AB$17,Sheet1!#REF!,Sheet1!#REF!,Sheet1!#REF!,Sheet1!#REF!,Sheet1!$H$18,Sheet1!#REF!,Sheet1!#REF!,Sheet1!#REF!,Sheet1!$J$18,Sheet1!#REF!,Sheet1!#REF!,Sheet1!#REF!,Sheet1!$L$18,Sheet1!$N$18</definedName>
    <definedName name="QB_FORMULA_80" localSheetId="1" hidden="1">Sheet1!#REF!,Sheet1!#REF!,Sheet1!#REF!,Sheet1!#REF!,Sheet1!#REF!,Sheet1!#REF!,Sheet1!$P$131,Sheet1!$R$131,Sheet1!#REF!,Sheet1!$X$131,Sheet1!$Z$131,Sheet1!$AB$131,Sheet1!#REF!,Sheet1!#REF!,Sheet1!#REF!,Sheet1!#REF!</definedName>
    <definedName name="QB_FORMULA_81" localSheetId="1" hidden="1">Sheet1!#REF!,Sheet1!#REF!,Sheet1!$P$132,Sheet1!$R$132,Sheet1!#REF!,Sheet1!$X$132,Sheet1!$Z$132,Sheet1!$AB$132,Sheet1!#REF!,Sheet1!#REF!,Sheet1!#REF!,Sheet1!#REF!,Sheet1!#REF!,Sheet1!#REF!,Sheet1!$P$133,Sheet1!$R$133</definedName>
    <definedName name="QB_FORMULA_82" localSheetId="1" hidden="1">Sheet1!#REF!,Sheet1!$X$133,Sheet1!$Z$133,Sheet1!$AB$133,Sheet1!#REF!,Sheet1!#REF!,Sheet1!#REF!,Sheet1!#REF!,Sheet1!#REF!,Sheet1!#REF!,Sheet1!$P$134,Sheet1!$R$134,Sheet1!#REF!,Sheet1!$X$134,Sheet1!$Z$134,Sheet1!$AB$134</definedName>
    <definedName name="QB_FORMULA_83" localSheetId="1" hidden="1">Sheet1!#REF!,Sheet1!#REF!,Sheet1!#REF!,Sheet1!#REF!,Sheet1!#REF!,Sheet1!#REF!,Sheet1!$P$135,Sheet1!$R$135,Sheet1!#REF!,Sheet1!$X$135,Sheet1!$Z$135,Sheet1!$AB$135,Sheet1!#REF!,Sheet1!#REF!,Sheet1!#REF!,Sheet1!#REF!</definedName>
    <definedName name="QB_FORMULA_84" localSheetId="1" hidden="1">Sheet1!#REF!,Sheet1!#REF!,Sheet1!$P$136,Sheet1!$R$136,Sheet1!#REF!,Sheet1!$X$136,Sheet1!$Z$136,Sheet1!$AB$136,Sheet1!#REF!,Sheet1!#REF!,Sheet1!#REF!,Sheet1!#REF!,Sheet1!#REF!,Sheet1!#REF!,Sheet1!$P$137,Sheet1!$R$137</definedName>
    <definedName name="QB_FORMULA_85" localSheetId="1" hidden="1">Sheet1!#REF!,Sheet1!$X$137,Sheet1!$Z$137,Sheet1!$AB$137,Sheet1!#REF!,Sheet1!#REF!,Sheet1!#REF!,Sheet1!#REF!,Sheet1!#REF!,Sheet1!#REF!,Sheet1!$P$138,Sheet1!$R$138,Sheet1!#REF!,Sheet1!$X$138,Sheet1!$Z$138,Sheet1!$AB$138</definedName>
    <definedName name="QB_FORMULA_86" localSheetId="1" hidden="1">Sheet1!#REF!,Sheet1!#REF!,Sheet1!#REF!,Sheet1!$X$139,Sheet1!$Z$139,Sheet1!$AB$139,Sheet1!#REF!,Sheet1!#REF!,Sheet1!#REF!,Sheet1!#REF!,Sheet1!#REF!,Sheet1!#REF!,Sheet1!$P$140,Sheet1!$R$140,Sheet1!#REF!,Sheet1!$X$140</definedName>
    <definedName name="QB_FORMULA_87" localSheetId="1" hidden="1">Sheet1!$Z$140,Sheet1!$AB$140,Sheet1!#REF!,Sheet1!#REF!,Sheet1!#REF!,Sheet1!#REF!,Sheet1!#REF!,Sheet1!#REF!,Sheet1!$P$141,Sheet1!$R$141,Sheet1!#REF!,Sheet1!$X$141,Sheet1!$Z$141,Sheet1!$AB$141,Sheet1!#REF!,Sheet1!#REF!</definedName>
    <definedName name="QB_FORMULA_88" localSheetId="1" hidden="1">Sheet1!#REF!,Sheet1!#REF!,Sheet1!$P$142,Sheet1!$R$142,Sheet1!#REF!,Sheet1!$X$142,Sheet1!$Z$142,Sheet1!$AB$142,Sheet1!#REF!,Sheet1!#REF!,Sheet1!#REF!,Sheet1!#REF!,Sheet1!#REF!,Sheet1!#REF!,Sheet1!$P$143,Sheet1!$R$143</definedName>
    <definedName name="QB_FORMULA_89" localSheetId="1" hidden="1">Sheet1!#REF!,Sheet1!$X$143,Sheet1!$Z$143,Sheet1!$AB$143,Sheet1!#REF!,Sheet1!#REF!,Sheet1!#REF!,Sheet1!#REF!,Sheet1!$P$144,Sheet1!$R$144,Sheet1!#REF!,Sheet1!$X$144,Sheet1!$Z$144,Sheet1!$AB$144,Sheet1!#REF!,Sheet1!#REF!</definedName>
    <definedName name="QB_FORMULA_9" localSheetId="1" hidden="1">Sheet1!$P$18,Sheet1!$R$18,Sheet1!#REF!,Sheet1!$X$18,Sheet1!$Z$18,Sheet1!$AB$18,Sheet1!#REF!,Sheet1!#REF!,Sheet1!#REF!,Sheet1!#REF!,Sheet1!#REF!,Sheet1!#REF!,Sheet1!$P$20,Sheet1!$R$20,Sheet1!#REF!,Sheet1!$X$20</definedName>
    <definedName name="QB_FORMULA_90" localSheetId="1" hidden="1">Sheet1!#REF!,Sheet1!#REF!,Sheet1!#REF!,Sheet1!#REF!,Sheet1!$P$145,Sheet1!$R$145,Sheet1!#REF!,Sheet1!$X$145,Sheet1!$Z$145,Sheet1!$AB$145,Sheet1!#REF!,Sheet1!#REF!,Sheet1!#REF!,Sheet1!#REF!,Sheet1!#REF!,Sheet1!#REF!</definedName>
    <definedName name="QB_FORMULA_91" localSheetId="1" hidden="1">Sheet1!$P$146,Sheet1!$R$146,Sheet1!#REF!,Sheet1!$X$146,Sheet1!$Z$146,Sheet1!$AB$146,Sheet1!#REF!,Sheet1!#REF!,Sheet1!$P$147,Sheet1!$R$147,Sheet1!#REF!,Sheet1!$X$147,Sheet1!$Z$147,Sheet1!$AB$147,Sheet1!#REF!,Sheet1!#REF!</definedName>
    <definedName name="QB_FORMULA_92" localSheetId="1" hidden="1">Sheet1!#REF!,Sheet1!#REF!,Sheet1!#REF!,Sheet1!#REF!,Sheet1!$P$148,Sheet1!$R$148,Sheet1!#REF!,Sheet1!$X$148,Sheet1!$Z$148,Sheet1!$AB$148,Sheet1!#REF!,Sheet1!#REF!,Sheet1!$P$149,Sheet1!$R$149,Sheet1!#REF!,Sheet1!$X$149</definedName>
    <definedName name="QB_FORMULA_93" localSheetId="1" hidden="1">Sheet1!$Z$149,Sheet1!$AB$149,Sheet1!#REF!,Sheet1!#REF!,Sheet1!#REF!,Sheet1!#REF!,Sheet1!#REF!,Sheet1!#REF!,Sheet1!$P$150,Sheet1!$R$150,Sheet1!#REF!,Sheet1!$X$150,Sheet1!$Z$150,Sheet1!$AB$150,Sheet1!#REF!,Sheet1!#REF!</definedName>
    <definedName name="QB_FORMULA_94" localSheetId="1" hidden="1">Sheet1!$P$151,Sheet1!$R$151,Sheet1!#REF!,Sheet1!$X$151,Sheet1!$Z$151,Sheet1!$AB$151,Sheet1!#REF!,Sheet1!#REF!,Sheet1!#REF!,Sheet1!#REF!,Sheet1!#REF!,Sheet1!#REF!,Sheet1!$P$152,Sheet1!$R$152,Sheet1!#REF!,Sheet1!$X$152</definedName>
    <definedName name="QB_FORMULA_95" localSheetId="1" hidden="1">Sheet1!$Z$152,Sheet1!$AB$152,Sheet1!#REF!,Sheet1!#REF!,Sheet1!#REF!,Sheet1!#REF!,Sheet1!$H$153,Sheet1!#REF!,Sheet1!#REF!,Sheet1!#REF!,Sheet1!$J$153,Sheet1!#REF!,Sheet1!#REF!,Sheet1!#REF!,Sheet1!$L$153,Sheet1!$N$153</definedName>
    <definedName name="QB_FORMULA_96" localSheetId="1" hidden="1">Sheet1!$P$153,Sheet1!$R$153,Sheet1!#REF!,Sheet1!$X$153,Sheet1!$Z$153,Sheet1!$AB$153,Sheet1!$P$209,Sheet1!$R$209,Sheet1!#REF!,Sheet1!$X$209,Sheet1!$Z$209,Sheet1!$AB$209,Sheet1!#REF!,Sheet1!#REF!,Sheet1!#REF!,Sheet1!#REF!</definedName>
    <definedName name="QB_FORMULA_97" localSheetId="1" hidden="1">Sheet1!#REF!,Sheet1!#REF!,Sheet1!$P$156,Sheet1!$R$156,Sheet1!#REF!,Sheet1!$X$156,Sheet1!$Z$156,Sheet1!$AB$156,Sheet1!#REF!,Sheet1!#REF!,Sheet1!#REF!,Sheet1!#REF!,Sheet1!#REF!,Sheet1!#REF!,Sheet1!$P$157,Sheet1!$R$157</definedName>
    <definedName name="QB_FORMULA_98" localSheetId="1" hidden="1">Sheet1!#REF!,Sheet1!$X$157,Sheet1!$Z$157,Sheet1!$AB$157,Sheet1!#REF!,Sheet1!#REF!,Sheet1!#REF!,Sheet1!#REF!,Sheet1!#REF!,Sheet1!#REF!,Sheet1!$P$178,Sheet1!$R$178,Sheet1!#REF!,Sheet1!$X$178,Sheet1!$Z$178,Sheet1!$AB$178</definedName>
    <definedName name="QB_FORMULA_99" localSheetId="1" hidden="1">Sheet1!#REF!,Sheet1!#REF!,Sheet1!#REF!,Sheet1!#REF!,Sheet1!#REF!,Sheet1!#REF!,Sheet1!$P$182,Sheet1!$R$182,Sheet1!#REF!,Sheet1!$X$182,Sheet1!$Z$182,Sheet1!$AB$182,Sheet1!#REF!,Sheet1!#REF!,Sheet1!#REF!,Sheet1!#REF!</definedName>
    <definedName name="QB_ROW_100240" localSheetId="1" hidden="1">Sheet1!$E$88</definedName>
    <definedName name="QB_ROW_101240" localSheetId="1" hidden="1">Sheet1!$E$89</definedName>
    <definedName name="QB_ROW_102240" localSheetId="1" hidden="1">Sheet1!$E$91</definedName>
    <definedName name="QB_ROW_103240" localSheetId="1" hidden="1">Sheet1!$E$96</definedName>
    <definedName name="QB_ROW_104240" localSheetId="1" hidden="1">Sheet1!$E$99</definedName>
    <definedName name="QB_ROW_106240" localSheetId="1" hidden="1">Sheet1!$E$100</definedName>
    <definedName name="QB_ROW_107240" localSheetId="1" hidden="1">Sheet1!$E$101</definedName>
    <definedName name="QB_ROW_108240" localSheetId="1" hidden="1">Sheet1!$E$102</definedName>
    <definedName name="QB_ROW_110240" localSheetId="1" hidden="1">Sheet1!$E$103</definedName>
    <definedName name="QB_ROW_111340" localSheetId="1" hidden="1">Sheet1!$E$104</definedName>
    <definedName name="QB_ROW_112240" localSheetId="1" hidden="1">Sheet1!$E$105</definedName>
    <definedName name="QB_ROW_113240" localSheetId="1" hidden="1">Sheet1!$E$106</definedName>
    <definedName name="QB_ROW_116240" localSheetId="1" hidden="1">Sheet1!$E$107</definedName>
    <definedName name="QB_ROW_117240" localSheetId="1" hidden="1">Sheet1!#REF!</definedName>
    <definedName name="QB_ROW_119240" localSheetId="1" hidden="1">Sheet1!$E$108</definedName>
    <definedName name="QB_ROW_120240" localSheetId="1" hidden="1">Sheet1!$E$109</definedName>
    <definedName name="QB_ROW_121240" localSheetId="1" hidden="1">Sheet1!$E$112</definedName>
    <definedName name="QB_ROW_122240" localSheetId="1" hidden="1">Sheet1!$E$111</definedName>
    <definedName name="QB_ROW_123240" localSheetId="1" hidden="1">Sheet1!$E$113</definedName>
    <definedName name="QB_ROW_124240" localSheetId="1" hidden="1">Sheet1!$E$114</definedName>
    <definedName name="QB_ROW_125240" localSheetId="1" hidden="1">Sheet1!$E$115</definedName>
    <definedName name="QB_ROW_126240" localSheetId="1" hidden="1">Sheet1!$E$116</definedName>
    <definedName name="QB_ROW_127240" localSheetId="1" hidden="1">Sheet1!$E$125</definedName>
    <definedName name="QB_ROW_128240" localSheetId="1" hidden="1">Sheet1!$E$126</definedName>
    <definedName name="QB_ROW_129240" localSheetId="1" hidden="1">Sheet1!$E$130</definedName>
    <definedName name="QB_ROW_130240" localSheetId="1" hidden="1">Sheet1!$E$131</definedName>
    <definedName name="QB_ROW_138240" localSheetId="1" hidden="1">Sheet1!$E$132</definedName>
    <definedName name="QB_ROW_139240" localSheetId="1" hidden="1">Sheet1!$E$133</definedName>
    <definedName name="QB_ROW_140240" localSheetId="1" hidden="1">Sheet1!$E$134</definedName>
    <definedName name="QB_ROW_141240" localSheetId="1" hidden="1">Sheet1!$E$135</definedName>
    <definedName name="QB_ROW_142240" localSheetId="1" hidden="1">Sheet1!$E$136</definedName>
    <definedName name="QB_ROW_143240" localSheetId="1" hidden="1">Sheet1!$E$137</definedName>
    <definedName name="QB_ROW_144240" localSheetId="1" hidden="1">Sheet1!$E$138</definedName>
    <definedName name="QB_ROW_146240" localSheetId="1" hidden="1">Sheet1!$E$140</definedName>
    <definedName name="QB_ROW_147240" localSheetId="1" hidden="1">Sheet1!$E$143</definedName>
    <definedName name="QB_ROW_148240" localSheetId="1" hidden="1">Sheet1!$E$145</definedName>
    <definedName name="QB_ROW_150240" localSheetId="1" hidden="1">Sheet1!$E$146</definedName>
    <definedName name="QB_ROW_151240" localSheetId="1" hidden="1">Sheet1!$E$148</definedName>
    <definedName name="QB_ROW_153240" localSheetId="1" hidden="1">Sheet1!$E$150</definedName>
    <definedName name="QB_ROW_154240" localSheetId="1" hidden="1">Sheet1!$E$152</definedName>
    <definedName name="QB_ROW_156240" localSheetId="1" hidden="1">Sheet1!$E$156</definedName>
    <definedName name="QB_ROW_157240" localSheetId="1" hidden="1">Sheet1!$E$157</definedName>
    <definedName name="QB_ROW_158240" localSheetId="1" hidden="1">Sheet1!$E$178</definedName>
    <definedName name="QB_ROW_159240" localSheetId="1" hidden="1">Sheet1!$E$182</definedName>
    <definedName name="QB_ROW_160240" localSheetId="1" hidden="1">Sheet1!$E$183</definedName>
    <definedName name="QB_ROW_162240" localSheetId="1" hidden="1">Sheet1!$E$185</definedName>
    <definedName name="QB_ROW_163240" localSheetId="1" hidden="1">Sheet1!$E$186</definedName>
    <definedName name="QB_ROW_164240" localSheetId="1" hidden="1">Sheet1!$E$187</definedName>
    <definedName name="QB_ROW_165240" localSheetId="1" hidden="1">Sheet1!$E$188</definedName>
    <definedName name="QB_ROW_166240" localSheetId="1" hidden="1">Sheet1!$E$189</definedName>
    <definedName name="QB_ROW_167240" localSheetId="1" hidden="1">Sheet1!$E$190</definedName>
    <definedName name="QB_ROW_169240" localSheetId="1" hidden="1">Sheet1!$E$194</definedName>
    <definedName name="QB_ROW_170240" localSheetId="1" hidden="1">Sheet1!$E$195</definedName>
    <definedName name="QB_ROW_171240" localSheetId="1" hidden="1">Sheet1!$E$196</definedName>
    <definedName name="QB_ROW_173240" localSheetId="1" hidden="1">Sheet1!$E$197</definedName>
    <definedName name="QB_ROW_175240" localSheetId="1" hidden="1">Sheet1!$E$199</definedName>
    <definedName name="QB_ROW_176240" localSheetId="1" hidden="1">Sheet1!$E$201</definedName>
    <definedName name="QB_ROW_177240" localSheetId="1" hidden="1">Sheet1!$E$204</definedName>
    <definedName name="QB_ROW_178240" localSheetId="1" hidden="1">Sheet1!$E$206</definedName>
    <definedName name="QB_ROW_179240" localSheetId="1" hidden="1">Sheet1!$E$207</definedName>
    <definedName name="QB_ROW_180240" localSheetId="1" hidden="1">Sheet1!$E$208</definedName>
    <definedName name="QB_ROW_181240" localSheetId="1" hidden="1">Sheet1!$E$210</definedName>
    <definedName name="QB_ROW_182240" localSheetId="1" hidden="1">Sheet1!$E$212</definedName>
    <definedName name="QB_ROW_18301" localSheetId="1" hidden="1">Sheet1!$A$354</definedName>
    <definedName name="QB_ROW_183240" localSheetId="1" hidden="1">Sheet1!$E$213</definedName>
    <definedName name="QB_ROW_184240" localSheetId="1" hidden="1">Sheet1!$E$214</definedName>
    <definedName name="QB_ROW_188240" localSheetId="1" hidden="1">Sheet1!$E$218</definedName>
    <definedName name="QB_ROW_191240" localSheetId="1" hidden="1">Sheet1!#REF!</definedName>
    <definedName name="QB_ROW_195240" localSheetId="1" hidden="1">Sheet1!$E$219</definedName>
    <definedName name="QB_ROW_196240" localSheetId="1" hidden="1">Sheet1!$E$220</definedName>
    <definedName name="QB_ROW_197240" localSheetId="1" hidden="1">Sheet1!$E$221</definedName>
    <definedName name="QB_ROW_20022" localSheetId="1" hidden="1">Sheet1!$C$3</definedName>
    <definedName name="QB_ROW_20322" localSheetId="1" hidden="1">Sheet1!$C$79</definedName>
    <definedName name="QB_ROW_204240" localSheetId="1" hidden="1">Sheet1!#REF!</definedName>
    <definedName name="QB_ROW_206240" localSheetId="1" hidden="1">Sheet1!$E$222</definedName>
    <definedName name="QB_ROW_207240" localSheetId="1" hidden="1">Sheet1!$E$224</definedName>
    <definedName name="QB_ROW_208240" localSheetId="1" hidden="1">Sheet1!$E$227</definedName>
    <definedName name="QB_ROW_21022" localSheetId="1" hidden="1">Sheet1!$C$81</definedName>
    <definedName name="QB_ROW_210240" localSheetId="1" hidden="1">Sheet1!$E$229</definedName>
    <definedName name="QB_ROW_211240" localSheetId="1" hidden="1">Sheet1!$E$233</definedName>
    <definedName name="QB_ROW_21322" localSheetId="1" hidden="1">Sheet1!$C$353</definedName>
    <definedName name="QB_ROW_213240" localSheetId="1" hidden="1">Sheet1!$E$223</definedName>
    <definedName name="QB_ROW_216240" localSheetId="1" hidden="1">Sheet1!$E$237</definedName>
    <definedName name="QB_ROW_218240" localSheetId="1" hidden="1">Sheet1!$E$238</definedName>
    <definedName name="QB_ROW_219240" localSheetId="1" hidden="1">Sheet1!$E$241</definedName>
    <definedName name="QB_ROW_220240" localSheetId="1" hidden="1">Sheet1!$E$258</definedName>
    <definedName name="QB_ROW_221240" localSheetId="1" hidden="1">Sheet1!$E$260</definedName>
    <definedName name="QB_ROW_222240" localSheetId="1" hidden="1">Sheet1!$E$261</definedName>
    <definedName name="QB_ROW_223240" localSheetId="1" hidden="1">Sheet1!$E$262</definedName>
    <definedName name="QB_ROW_224240" localSheetId="1" hidden="1">Sheet1!$E$263</definedName>
    <definedName name="QB_ROW_225240" localSheetId="1" hidden="1">Sheet1!$E$264</definedName>
    <definedName name="QB_ROW_226240" localSheetId="1" hidden="1">Sheet1!$E$265</definedName>
    <definedName name="QB_ROW_227240" localSheetId="1" hidden="1">Sheet1!$E$266</definedName>
    <definedName name="QB_ROW_228240" localSheetId="1" hidden="1">Sheet1!#REF!</definedName>
    <definedName name="QB_ROW_229240" localSheetId="1" hidden="1">Sheet1!$E$267</definedName>
    <definedName name="QB_ROW_230240" localSheetId="1" hidden="1">Sheet1!$E$269</definedName>
    <definedName name="QB_ROW_231240" localSheetId="1" hidden="1">Sheet1!$E$272</definedName>
    <definedName name="QB_ROW_232240" localSheetId="1" hidden="1">Sheet1!$E$273</definedName>
    <definedName name="QB_ROW_234240" localSheetId="1" hidden="1">Sheet1!$E$274</definedName>
    <definedName name="QB_ROW_236240" localSheetId="1" hidden="1">Sheet1!#REF!</definedName>
    <definedName name="QB_ROW_237240" localSheetId="1" hidden="1">Sheet1!$E$276</definedName>
    <definedName name="QB_ROW_238240" localSheetId="1" hidden="1">Sheet1!$E$277</definedName>
    <definedName name="QB_ROW_239240" localSheetId="1" hidden="1">Sheet1!$E$279</definedName>
    <definedName name="QB_ROW_241240" localSheetId="1" hidden="1">Sheet1!$E$281</definedName>
    <definedName name="QB_ROW_242240" localSheetId="1" hidden="1">Sheet1!#REF!</definedName>
    <definedName name="QB_ROW_244240" localSheetId="1" hidden="1">Sheet1!$E$282</definedName>
    <definedName name="QB_ROW_245240" localSheetId="1" hidden="1">Sheet1!$E$283</definedName>
    <definedName name="QB_ROW_246240" localSheetId="1" hidden="1">Sheet1!$E$284</definedName>
    <definedName name="QB_ROW_247240" localSheetId="1" hidden="1">Sheet1!$E$285</definedName>
    <definedName name="QB_ROW_248240" localSheetId="1" hidden="1">Sheet1!$E$286</definedName>
    <definedName name="QB_ROW_249240" localSheetId="1" hidden="1">Sheet1!$E$287</definedName>
    <definedName name="QB_ROW_250240" localSheetId="1" hidden="1">Sheet1!$E$288</definedName>
    <definedName name="QB_ROW_257240" localSheetId="1" hidden="1">Sheet1!$E$323</definedName>
    <definedName name="QB_ROW_259240" localSheetId="1" hidden="1">Sheet1!$E$330</definedName>
    <definedName name="QB_ROW_260240" localSheetId="1" hidden="1">Sheet1!$E$331</definedName>
    <definedName name="QB_ROW_264240" localSheetId="1" hidden="1">Sheet1!$E$335</definedName>
    <definedName name="QB_ROW_265240" localSheetId="1" hidden="1">Sheet1!$E$336</definedName>
    <definedName name="QB_ROW_266240" localSheetId="1" hidden="1">Sheet1!$E$344</definedName>
    <definedName name="QB_ROW_270040" localSheetId="1" hidden="1">Sheet1!$E$347</definedName>
    <definedName name="QB_ROW_270250" localSheetId="1" hidden="1">Sheet1!$F$350</definedName>
    <definedName name="QB_ROW_270340" localSheetId="1" hidden="1">Sheet1!$E$351</definedName>
    <definedName name="QB_ROW_283240" localSheetId="1" hidden="1">Sheet1!$E$75</definedName>
    <definedName name="QB_ROW_284240" localSheetId="1" hidden="1">Sheet1!$E$191</definedName>
    <definedName name="QB_ROW_285240" localSheetId="1" hidden="1">Sheet1!$E$340</definedName>
    <definedName name="QB_ROW_287240" localSheetId="1" hidden="1">Sheet1!$E$341</definedName>
    <definedName name="QB_ROW_290240" localSheetId="1" hidden="1">Sheet1!$E$339</definedName>
    <definedName name="QB_ROW_292240" localSheetId="1" hidden="1">Sheet1!$E$27</definedName>
    <definedName name="QB_ROW_293240" localSheetId="1" hidden="1">Sheet1!$E$332</definedName>
    <definedName name="QB_ROW_294240" localSheetId="1" hidden="1">Sheet1!$E$38</definedName>
    <definedName name="QB_ROW_30240" localSheetId="1" hidden="1">Sheet1!$E$8</definedName>
    <definedName name="QB_ROW_303240" localSheetId="1" hidden="1">Sheet1!$E$192</definedName>
    <definedName name="QB_ROW_305240" localSheetId="1" hidden="1">Sheet1!$E$217</definedName>
    <definedName name="QB_ROW_307240" localSheetId="1" hidden="1">Sheet1!$E$110</definedName>
    <definedName name="QB_ROW_308240" localSheetId="1" hidden="1">Sheet1!$E$93</definedName>
    <definedName name="QB_ROW_312240" localSheetId="1" hidden="1">Sheet1!$E$23</definedName>
    <definedName name="QB_ROW_31240" localSheetId="1" hidden="1">Sheet1!$E$9</definedName>
    <definedName name="QB_ROW_313030" localSheetId="1" hidden="1">Sheet1!$D$15</definedName>
    <definedName name="QB_ROW_313330" localSheetId="1" hidden="1">Sheet1!$D$18</definedName>
    <definedName name="QB_ROW_315030" localSheetId="1" hidden="1">Sheet1!$D$7</definedName>
    <definedName name="QB_ROW_315330" localSheetId="1" hidden="1">Sheet1!$D$14</definedName>
    <definedName name="QB_ROW_316030" localSheetId="1" hidden="1">Sheet1!$D$19</definedName>
    <definedName name="QB_ROW_316330" localSheetId="1" hidden="1">Sheet1!$D$24</definedName>
    <definedName name="QB_ROW_317030" localSheetId="1" hidden="1">Sheet1!$D$26</definedName>
    <definedName name="QB_ROW_317330" localSheetId="1" hidden="1">Sheet1!$D$35</definedName>
    <definedName name="QB_ROW_318030" localSheetId="1" hidden="1">Sheet1!$D$44</definedName>
    <definedName name="QB_ROW_318330" localSheetId="1" hidden="1">Sheet1!$D$64</definedName>
    <definedName name="QB_ROW_319030" localSheetId="1" hidden="1">Sheet1!$D$73</definedName>
    <definedName name="QB_ROW_319330" localSheetId="1" hidden="1">Sheet1!$D$77</definedName>
    <definedName name="QB_ROW_320030" localSheetId="1" hidden="1">Sheet1!$D$68</definedName>
    <definedName name="QB_ROW_320330" localSheetId="1" hidden="1">Sheet1!$D$72</definedName>
    <definedName name="QB_ROW_321030" localSheetId="1" hidden="1">Sheet1!$D$41</definedName>
    <definedName name="QB_ROW_321330" localSheetId="1" hidden="1">Sheet1!$D$43</definedName>
    <definedName name="QB_ROW_32240" localSheetId="1" hidden="1">Sheet1!$E$83</definedName>
    <definedName name="QB_ROW_326030" localSheetId="1" hidden="1">Sheet1!$D$82</definedName>
    <definedName name="QB_ROW_326330" localSheetId="1" hidden="1">Sheet1!$D$153</definedName>
    <definedName name="QB_ROW_327030" localSheetId="1" hidden="1">Sheet1!$D$154</definedName>
    <definedName name="QB_ROW_327330" localSheetId="1" hidden="1">Sheet1!$D$234</definedName>
    <definedName name="QB_ROW_328030" localSheetId="1" hidden="1">Sheet1!$D$236</definedName>
    <definedName name="QB_ROW_328330" localSheetId="1" hidden="1">Sheet1!$D$239</definedName>
    <definedName name="QB_ROW_329030" localSheetId="1" hidden="1">Sheet1!$D$291</definedName>
    <definedName name="QB_ROW_329330" localSheetId="1" hidden="1">Sheet1!$D$324</definedName>
    <definedName name="QB_ROW_330030" localSheetId="1" hidden="1">Sheet1!$D$329</definedName>
    <definedName name="QB_ROW_330330" localSheetId="1" hidden="1">Sheet1!$D$333</definedName>
    <definedName name="QB_ROW_331030" localSheetId="1" hidden="1">Sheet1!$D$338</definedName>
    <definedName name="QB_ROW_331330" localSheetId="1" hidden="1">Sheet1!$D$342</definedName>
    <definedName name="QB_ROW_332240" localSheetId="1" hidden="1">Sheet1!$E$95</definedName>
    <definedName name="QB_ROW_334240" localSheetId="1" hidden="1">Sheet1!$E$92</definedName>
    <definedName name="QB_ROW_335240" localSheetId="1" hidden="1">Sheet1!$E$94</definedName>
    <definedName name="QB_ROW_340240" localSheetId="1" hidden="1">Sheet1!$E$17</definedName>
    <definedName name="QB_ROW_341240" localSheetId="1" hidden="1">Sheet1!$E$121</definedName>
    <definedName name="QB_ROW_345240" localSheetId="1" hidden="1">Sheet1!$E$85</definedName>
    <definedName name="QB_ROW_346240" localSheetId="1" hidden="1">Sheet1!$E$141</definedName>
    <definedName name="QB_ROW_347240" localSheetId="1" hidden="1">Sheet1!$E$202</definedName>
    <definedName name="QB_ROW_36240" localSheetId="1" hidden="1">Sheet1!$E$10</definedName>
    <definedName name="QB_ROW_368230" localSheetId="1" hidden="1">Sheet1!$D$78</definedName>
    <definedName name="QB_ROW_372030" localSheetId="1" hidden="1">Sheet1!$D$240</definedName>
    <definedName name="QB_ROW_372330" localSheetId="1" hidden="1">Sheet1!$D$290</definedName>
    <definedName name="QB_ROW_37240" localSheetId="1" hidden="1">Sheet1!$E$11</definedName>
    <definedName name="QB_ROW_373030" localSheetId="1" hidden="1">Sheet1!$D$334</definedName>
    <definedName name="QB_ROW_373330" localSheetId="1" hidden="1">Sheet1!$D$337</definedName>
    <definedName name="QB_ROW_374030" localSheetId="1" hidden="1">Sheet1!$D$343</definedName>
    <definedName name="QB_ROW_374330" localSheetId="1" hidden="1">Sheet1!$D$345</definedName>
    <definedName name="QB_ROW_375030" localSheetId="1" hidden="1">Sheet1!$D$346</definedName>
    <definedName name="QB_ROW_375330" localSheetId="1" hidden="1">Sheet1!$D$352</definedName>
    <definedName name="QB_ROW_376240" localSheetId="1" hidden="1">Sheet1!$E$59</definedName>
    <definedName name="QB_ROW_382240" localSheetId="1" hidden="1">Sheet1!$E$225</definedName>
    <definedName name="QB_ROW_384240" localSheetId="1" hidden="1">Sheet1!$E$293</definedName>
    <definedName name="QB_ROW_386240" localSheetId="1" hidden="1">Sheet1!$E$306</definedName>
    <definedName name="QB_ROW_387240" localSheetId="1" hidden="1">Sheet1!$E$310</definedName>
    <definedName name="QB_ROW_389240" localSheetId="1" hidden="1">Sheet1!$E$311</definedName>
    <definedName name="QB_ROW_390240" localSheetId="1" hidden="1">Sheet1!$E$313</definedName>
    <definedName name="QB_ROW_392240" localSheetId="1" hidden="1">Sheet1!$E$314</definedName>
    <definedName name="QB_ROW_39240" localSheetId="1" hidden="1">Sheet1!$E$12</definedName>
    <definedName name="QB_ROW_393240" localSheetId="1" hidden="1">Sheet1!$E$315</definedName>
    <definedName name="QB_ROW_394240" localSheetId="1" hidden="1">Sheet1!$E$316</definedName>
    <definedName name="QB_ROW_395240" localSheetId="1" hidden="1">Sheet1!$E$317</definedName>
    <definedName name="QB_ROW_396240" localSheetId="1" hidden="1">Sheet1!$E$318</definedName>
    <definedName name="QB_ROW_397240" localSheetId="1" hidden="1">Sheet1!$E$319</definedName>
    <definedName name="QB_ROW_399240" localSheetId="1" hidden="1">Sheet1!$E$321</definedName>
    <definedName name="QB_ROW_400240" localSheetId="1" hidden="1">Sheet1!#REF!</definedName>
    <definedName name="QB_ROW_40230" localSheetId="1" hidden="1">Sheet1!$D$6</definedName>
    <definedName name="QB_ROW_403030" localSheetId="1" hidden="1">Sheet1!$D$325</definedName>
    <definedName name="QB_ROW_403330" localSheetId="1" hidden="1">Sheet1!$D$328</definedName>
    <definedName name="QB_ROW_411240" localSheetId="1" hidden="1">Sheet1!$E$289</definedName>
    <definedName name="QB_ROW_41240" localSheetId="1" hidden="1">Sheet1!$E$13</definedName>
    <definedName name="QB_ROW_417230" localSheetId="1" hidden="1">Sheet1!$D$65</definedName>
    <definedName name="QB_ROW_424230" localSheetId="1" hidden="1">Sheet1!$D$5</definedName>
    <definedName name="QB_ROW_425240" localSheetId="1" hidden="1">Sheet1!$E$292</definedName>
    <definedName name="QB_ROW_427230" localSheetId="1" hidden="1">Sheet1!$D$66</definedName>
    <definedName name="QB_ROW_432240" localSheetId="1" hidden="1">Sheet1!$E$230</definedName>
    <definedName name="QB_ROW_43240" localSheetId="1" hidden="1">Sheet1!$E$16</definedName>
    <definedName name="QB_ROW_434240" localSheetId="1" hidden="1">Sheet1!$E$184</definedName>
    <definedName name="QB_ROW_436240" localSheetId="1" hidden="1">Sheet1!$E$271</definedName>
    <definedName name="QB_ROW_437240" localSheetId="1" hidden="1">Sheet1!$E$226</definedName>
    <definedName name="QB_ROW_451240" localSheetId="1" hidden="1">Sheet1!$E$76</definedName>
    <definedName name="QB_ROW_452240" localSheetId="1" hidden="1">Sheet1!$E$45</definedName>
    <definedName name="QB_ROW_45240" localSheetId="1" hidden="1">Sheet1!$E$20</definedName>
    <definedName name="QB_ROW_458240" localSheetId="1" hidden="1">Sheet1!$E$193</definedName>
    <definedName name="QB_ROW_459240" localSheetId="1" hidden="1">Sheet1!$E$198</definedName>
    <definedName name="QB_ROW_460240" localSheetId="1" hidden="1">Sheet1!$E$200</definedName>
    <definedName name="QB_ROW_461240" localSheetId="1" hidden="1">Sheet1!$E$205</definedName>
    <definedName name="QB_ROW_462240" localSheetId="1" hidden="1">Sheet1!$E$327</definedName>
    <definedName name="QB_ROW_46240" localSheetId="1" hidden="1">Sheet1!$E$21</definedName>
    <definedName name="QB_ROW_464030" localSheetId="1" hidden="1">Sheet1!$D$37</definedName>
    <definedName name="QB_ROW_464330" localSheetId="1" hidden="1">Sheet1!$D$40</definedName>
    <definedName name="QB_ROW_465240" localSheetId="1" hidden="1">Sheet1!$E$60</definedName>
    <definedName name="QB_ROW_466240" localSheetId="1" hidden="1">Sheet1!$E$203</definedName>
    <definedName name="QB_ROW_467240" localSheetId="1" hidden="1">Sheet1!$E$268</definedName>
    <definedName name="QB_ROW_47240" localSheetId="1" hidden="1">Sheet1!$E$22</definedName>
    <definedName name="QB_ROW_474230" localSheetId="1" hidden="1">Sheet1!$D$36</definedName>
    <definedName name="QB_ROW_475240" localSheetId="1" hidden="1">Sheet1!#REF!</definedName>
    <definedName name="QB_ROW_476240" localSheetId="1" hidden="1">Sheet1!#REF!</definedName>
    <definedName name="QB_ROW_477240" localSheetId="1" hidden="1">Sheet1!#REF!</definedName>
    <definedName name="QB_ROW_478240" localSheetId="1" hidden="1">Sheet1!#REF!</definedName>
    <definedName name="QB_ROW_479240" localSheetId="1" hidden="1">Sheet1!#REF!</definedName>
    <definedName name="QB_ROW_480240" localSheetId="1" hidden="1">Sheet1!$E$139</definedName>
    <definedName name="QB_ROW_48230" localSheetId="1" hidden="1">Sheet1!$D$25</definedName>
    <definedName name="QB_ROW_483240" localSheetId="1" hidden="1">Sheet1!$E$53</definedName>
    <definedName name="QB_ROW_484240" localSheetId="1" hidden="1">Sheet1!$E$144</definedName>
    <definedName name="QB_ROW_485240" localSheetId="1" hidden="1">Sheet1!$E$211</definedName>
    <definedName name="QB_ROW_486240" localSheetId="1" hidden="1">Sheet1!$E$228</definedName>
    <definedName name="QB_ROW_487240" localSheetId="1" hidden="1">Sheet1!$E$278</definedName>
    <definedName name="QB_ROW_488240" localSheetId="1" hidden="1">Sheet1!$E$275</definedName>
    <definedName name="QB_ROW_490240" localSheetId="1" hidden="1">Sheet1!$E$142</definedName>
    <definedName name="QB_ROW_491230" localSheetId="1" hidden="1">Sheet1!$D$67</definedName>
    <definedName name="QB_ROW_492240" localSheetId="1" hidden="1">Sheet1!$E$28</definedName>
    <definedName name="QB_ROW_493240" localSheetId="1" hidden="1">Sheet1!$E$29</definedName>
    <definedName name="QB_ROW_494240" localSheetId="1" hidden="1">Sheet1!$E$97</definedName>
    <definedName name="QB_ROW_495240" localSheetId="1" hidden="1">Sheet1!$E$98</definedName>
    <definedName name="QB_ROW_496240" localSheetId="1" hidden="1">Sheet1!$E$122</definedName>
    <definedName name="QB_ROW_497240" localSheetId="1" hidden="1">Sheet1!$E$147</definedName>
    <definedName name="QB_ROW_498240" localSheetId="1" hidden="1">Sheet1!$E$149</definedName>
    <definedName name="QB_ROW_499240" localSheetId="1" hidden="1">Sheet1!$E$151</definedName>
    <definedName name="QB_ROW_500240" localSheetId="1" hidden="1">Sheet1!$E$231</definedName>
    <definedName name="QB_ROW_501240" localSheetId="1" hidden="1">Sheet1!$E$232</definedName>
    <definedName name="QB_ROW_502240" localSheetId="1" hidden="1">Sheet1!$E$259</definedName>
    <definedName name="QB_ROW_504240" localSheetId="1" hidden="1">Sheet1!$E$270</definedName>
    <definedName name="QB_ROW_505240" localSheetId="1" hidden="1">Sheet1!$E$312</definedName>
    <definedName name="QB_ROW_506240" localSheetId="1" hidden="1">Sheet1!$E$320</definedName>
    <definedName name="QB_ROW_507240" localSheetId="1" hidden="1">Sheet1!$E$322</definedName>
    <definedName name="QB_ROW_508240" localSheetId="1" hidden="1">Sheet1!$E$326</definedName>
    <definedName name="QB_ROW_511250" localSheetId="1" hidden="1">Sheet1!$F$349</definedName>
    <definedName name="QB_ROW_512250" localSheetId="1" hidden="1">Sheet1!$F$348</definedName>
    <definedName name="QB_ROW_520240" localSheetId="1" hidden="1">Sheet1!$E$209</definedName>
    <definedName name="QB_ROW_53240" localSheetId="1" hidden="1">Sheet1!$E$30</definedName>
    <definedName name="QB_ROW_54240" localSheetId="1" hidden="1">Sheet1!$E$31</definedName>
    <definedName name="QB_ROW_55240" localSheetId="1" hidden="1">Sheet1!$E$32</definedName>
    <definedName name="QB_ROW_56240" localSheetId="1" hidden="1">Sheet1!$E$33</definedName>
    <definedName name="QB_ROW_58240" localSheetId="1" hidden="1">Sheet1!$E$34</definedName>
    <definedName name="QB_ROW_59240" localSheetId="1" hidden="1">Sheet1!#REF!</definedName>
    <definedName name="QB_ROW_60240" localSheetId="1" hidden="1">Sheet1!$E$46</definedName>
    <definedName name="QB_ROW_61240" localSheetId="1" hidden="1">Sheet1!$E$47</definedName>
    <definedName name="QB_ROW_62240" localSheetId="1" hidden="1">Sheet1!$E$48</definedName>
    <definedName name="QB_ROW_6230" localSheetId="1" hidden="1">Sheet1!$D$4</definedName>
    <definedName name="QB_ROW_63240" localSheetId="1" hidden="1">Sheet1!#REF!</definedName>
    <definedName name="QB_ROW_65240" localSheetId="1" hidden="1">Sheet1!$E$49</definedName>
    <definedName name="QB_ROW_66240" localSheetId="1" hidden="1">Sheet1!$E$39</definedName>
    <definedName name="QB_ROW_67240" localSheetId="1" hidden="1">Sheet1!$E$50</definedName>
    <definedName name="QB_ROW_68240" localSheetId="1" hidden="1">Sheet1!$E$51</definedName>
    <definedName name="QB_ROW_69240" localSheetId="1" hidden="1">Sheet1!$E$52</definedName>
    <definedName name="QB_ROW_70240" localSheetId="1" hidden="1">Sheet1!$E$42</definedName>
    <definedName name="QB_ROW_73240" localSheetId="1" hidden="1">Sheet1!$E$54</definedName>
    <definedName name="QB_ROW_74240" localSheetId="1" hidden="1">Sheet1!$E$55</definedName>
    <definedName name="QB_ROW_76240" localSheetId="1" hidden="1">Sheet1!$E$56</definedName>
    <definedName name="QB_ROW_77240" localSheetId="1" hidden="1">Sheet1!$E$57</definedName>
    <definedName name="QB_ROW_78240" localSheetId="1" hidden="1">Sheet1!$E$58</definedName>
    <definedName name="QB_ROW_80240" localSheetId="1" hidden="1">Sheet1!$E$61</definedName>
    <definedName name="QB_ROW_82240" localSheetId="1" hidden="1">Sheet1!$E$62</definedName>
    <definedName name="QB_ROW_83240" localSheetId="1" hidden="1">Sheet1!$E$63</definedName>
    <definedName name="QB_ROW_85240" localSheetId="1" hidden="1">Sheet1!$E$69</definedName>
    <definedName name="QB_ROW_86240" localSheetId="1" hidden="1">Sheet1!$E$71</definedName>
    <definedName name="QB_ROW_86311" localSheetId="1" hidden="1">Sheet1!$B$80</definedName>
    <definedName name="QB_ROW_94240" localSheetId="1" hidden="1">Sheet1!$E$74</definedName>
    <definedName name="QB_ROW_96240" localSheetId="1" hidden="1">Sheet1!$E$84</definedName>
    <definedName name="QB_ROW_98240" localSheetId="1" hidden="1">Sheet1!$E$86</definedName>
    <definedName name="QB_ROW_99240" localSheetId="1" hidden="1">Sheet1!$E$87</definedName>
    <definedName name="QBCANSUPPORTUPDATE" localSheetId="1">TRUE</definedName>
    <definedName name="QBCOMPANYFILENAME" localSheetId="1">"\\PTWP-APP01\Quickbooks\General_Fund.QBW"</definedName>
    <definedName name="QBENDDATE" localSheetId="1">20241231</definedName>
    <definedName name="QBHEADERSONSCREEN" localSheetId="1">FALSE</definedName>
    <definedName name="QBMETADATASIZE" localSheetId="1">5924</definedName>
    <definedName name="QBPRESERVECOLOR" localSheetId="1">TRUE</definedName>
    <definedName name="QBPRESERVEFONT" localSheetId="1">TRUE</definedName>
    <definedName name="QBPRESERVEROWHEIGHT" localSheetId="1">TRUE</definedName>
    <definedName name="QBPRESERVESPACE" localSheetId="1">TRUE</definedName>
    <definedName name="QBREPORTCOLAXIS" localSheetId="1">8</definedName>
    <definedName name="QBREPORTCOMPANYID" localSheetId="1">"9f3f44258d6c44dda553dcc3494cb73e"</definedName>
    <definedName name="QBREPORTCOMPARECOL_ANNUALBUDGET" localSheetId="1">FALSE</definedName>
    <definedName name="QBREPORTCOMPARECOL_AVGCOGS" localSheetId="1">FALSE</definedName>
    <definedName name="QBREPORTCOMPARECOL_AVGPRICE" localSheetId="1">FALSE</definedName>
    <definedName name="QBREPORTCOMPARECOL_BUDDIFF" localSheetId="1">TRUE</definedName>
    <definedName name="QBREPORTCOMPARECOL_BUDGET" localSheetId="1">TRUE</definedName>
    <definedName name="QBREPORTCOMPARECOL_BUDPCT" localSheetId="1">TRUE</definedName>
    <definedName name="QBREPORTCOMPARECOL_COGS" localSheetId="1">FALSE</definedName>
    <definedName name="QBREPORTCOMPARECOL_EXCLUDEAMOUNT" localSheetId="1">FALSE</definedName>
    <definedName name="QBREPORTCOMPARECOL_EXCLUDECURPERIOD" localSheetId="1">FALSE</definedName>
    <definedName name="QBREPORTCOMPARECOL_FORECAST" localSheetId="1">FALSE</definedName>
    <definedName name="QBREPORTCOMPARECOL_GROSSMARGIN" localSheetId="1">FALSE</definedName>
    <definedName name="QBREPORTCOMPARECOL_GROSSMARGINPCT" localSheetId="1">FALSE</definedName>
    <definedName name="QBREPORTCOMPARECOL_HOURS" localSheetId="1">FALSE</definedName>
    <definedName name="QBREPORTCOMPARECOL_PCTCOL" localSheetId="1">FALSE</definedName>
    <definedName name="QBREPORTCOMPARECOL_PCTEXPENSE" localSheetId="1">FALSE</definedName>
    <definedName name="QBREPORTCOMPARECOL_PCTINCOME" localSheetId="1">FALSE</definedName>
    <definedName name="QBREPORTCOMPARECOL_PCTOFSALES" localSheetId="1">FALSE</definedName>
    <definedName name="QBREPORTCOMPARECOL_PCTROW" localSheetId="1">FALSE</definedName>
    <definedName name="QBREPORTCOMPARECOL_PPDIFF" localSheetId="1">FALSE</definedName>
    <definedName name="QBREPORTCOMPARECOL_PPPCT" localSheetId="1">FALSE</definedName>
    <definedName name="QBREPORTCOMPARECOL_PREVPERIOD" localSheetId="1">FALSE</definedName>
    <definedName name="QBREPORTCOMPARECOL_PREVYEAR" localSheetId="1">FALSE</definedName>
    <definedName name="QBREPORTCOMPARECOL_PYDIFF" localSheetId="1">FALSE</definedName>
    <definedName name="QBREPORTCOMPARECOL_PYPCT" localSheetId="1">FALSE</definedName>
    <definedName name="QBREPORTCOMPARECOL_QTY" localSheetId="1">FALSE</definedName>
    <definedName name="QBREPORTCOMPARECOL_RATE" localSheetId="1">FALSE</definedName>
    <definedName name="QBREPORTCOMPARECOL_TRIPBILLEDMILES" localSheetId="1">FALSE</definedName>
    <definedName name="QBREPORTCOMPARECOL_TRIPBILLINGAMOUNT" localSheetId="1">FALSE</definedName>
    <definedName name="QBREPORTCOMPARECOL_TRIPMILES" localSheetId="1">FALSE</definedName>
    <definedName name="QBREPORTCOMPARECOL_TRIPNOTBILLABLEMILES" localSheetId="1">FALSE</definedName>
    <definedName name="QBREPORTCOMPARECOL_TRIPTAXDEDUCTIBLEAMOUNT" localSheetId="1">FALSE</definedName>
    <definedName name="QBREPORTCOMPARECOL_TRIPUNBILLEDMILES" localSheetId="1">FALSE</definedName>
    <definedName name="QBREPORTCOMPARECOL_YTD" localSheetId="1">FALSE</definedName>
    <definedName name="QBREPORTCOMPARECOL_YTDBUDGET" localSheetId="1">FALSE</definedName>
    <definedName name="QBREPORTCOMPARECOL_YTDPCT" localSheetId="1">FALSE</definedName>
    <definedName name="QBREPORTROWAXIS" localSheetId="1">11</definedName>
    <definedName name="QBREPORTSUBCOLAXIS" localSheetId="1">24</definedName>
    <definedName name="QBREPORTTYPE" localSheetId="1">288</definedName>
    <definedName name="QBROWHEADERS" localSheetId="1">6</definedName>
    <definedName name="QBSTARTDATE" localSheetId="1">20210101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290" i="1" l="1"/>
  <c r="AC40" i="1"/>
  <c r="X371" i="1" l="1"/>
  <c r="X367" i="1"/>
  <c r="X368" i="1" s="1"/>
  <c r="L35" i="1" l="1"/>
  <c r="L14" i="1"/>
  <c r="L359" i="1"/>
  <c r="L290" i="1"/>
  <c r="L234" i="1"/>
  <c r="W243" i="1" l="1"/>
  <c r="W176" i="1"/>
  <c r="H365" i="1"/>
  <c r="H366" i="1" s="1"/>
  <c r="H375" i="1" s="1"/>
  <c r="X309" i="1"/>
  <c r="X335" i="1"/>
  <c r="V245" i="1"/>
  <c r="V244" i="1"/>
  <c r="W170" i="1"/>
  <c r="X142" i="1"/>
  <c r="X126" i="1"/>
  <c r="W120" i="1"/>
  <c r="W242" i="1"/>
  <c r="X105" i="1"/>
  <c r="L366" i="1"/>
  <c r="L365" i="1"/>
  <c r="H369" i="1"/>
  <c r="H370" i="1" l="1"/>
  <c r="H371" i="1" s="1"/>
  <c r="Z78" i="1" l="1"/>
  <c r="X365" i="1"/>
  <c r="X366" i="1"/>
  <c r="H383" i="1" s="1"/>
  <c r="V255" i="1"/>
  <c r="V254" i="1"/>
  <c r="W245" i="1"/>
  <c r="W244" i="1"/>
  <c r="W177" i="1"/>
  <c r="H372" i="1" l="1"/>
  <c r="H373" i="1" s="1"/>
  <c r="H386" i="1" s="1"/>
  <c r="H215" i="1"/>
  <c r="J215" i="1"/>
  <c r="X212" i="1" l="1"/>
  <c r="N234" i="1"/>
  <c r="N215" i="1"/>
  <c r="L215" i="1"/>
  <c r="R234" i="1" l="1"/>
  <c r="R215" i="1"/>
  <c r="L235" i="1"/>
  <c r="N235" i="1"/>
  <c r="V302" i="1"/>
  <c r="W302" i="1" s="1"/>
  <c r="V303" i="1"/>
  <c r="W303" i="1" s="1"/>
  <c r="V304" i="1"/>
  <c r="W304" i="1" s="1"/>
  <c r="V301" i="1"/>
  <c r="W301" i="1" s="1"/>
  <c r="W295" i="1"/>
  <c r="V300" i="1"/>
  <c r="W300" i="1" s="1"/>
  <c r="V299" i="1"/>
  <c r="W299" i="1" s="1"/>
  <c r="V298" i="1"/>
  <c r="W298" i="1" s="1"/>
  <c r="V297" i="1"/>
  <c r="W297" i="1" s="1"/>
  <c r="V296" i="1"/>
  <c r="W296" i="1" s="1"/>
  <c r="W294" i="1"/>
  <c r="X308" i="1" l="1"/>
  <c r="X293" i="1"/>
  <c r="X306" i="1" s="1"/>
  <c r="R235" i="1"/>
  <c r="Z4" i="1" l="1"/>
  <c r="X326" i="1"/>
  <c r="X327" i="1"/>
  <c r="X324" i="1" l="1"/>
  <c r="W252" i="1"/>
  <c r="W253" i="1"/>
  <c r="W255" i="1"/>
  <c r="W254" i="1"/>
  <c r="W246" i="1"/>
  <c r="X262" i="1" s="1" a="1"/>
  <c r="X262" i="1" s="1"/>
  <c r="W247" i="1"/>
  <c r="W248" i="1"/>
  <c r="W249" i="1"/>
  <c r="W250" i="1"/>
  <c r="W251" i="1"/>
  <c r="W256" i="1"/>
  <c r="X241" i="1" l="1"/>
  <c r="W181" i="1"/>
  <c r="W180" i="1"/>
  <c r="W179" i="1"/>
  <c r="W162" i="1"/>
  <c r="W161" i="1"/>
  <c r="W165" i="1"/>
  <c r="W175" i="1"/>
  <c r="W159" i="1"/>
  <c r="W174" i="1"/>
  <c r="W173" i="1"/>
  <c r="W172" i="1"/>
  <c r="W160" i="1"/>
  <c r="W171" i="1"/>
  <c r="W163" i="1"/>
  <c r="W164" i="1"/>
  <c r="W166" i="1"/>
  <c r="W167" i="1"/>
  <c r="W168" i="1"/>
  <c r="W169" i="1"/>
  <c r="W158" i="1"/>
  <c r="X157" i="1" l="1"/>
  <c r="X178" i="1"/>
  <c r="X191" i="1" s="1"/>
  <c r="X260" i="1"/>
  <c r="X290" i="1" s="1"/>
  <c r="X187" i="1" l="1"/>
  <c r="X103" i="1"/>
  <c r="X91" i="1" l="1"/>
  <c r="X215" i="1"/>
  <c r="X122" i="1"/>
  <c r="W118" i="1" l="1"/>
  <c r="W117" i="1"/>
  <c r="Z350" i="1"/>
  <c r="Z349" i="1"/>
  <c r="AB349" i="1" s="1"/>
  <c r="Z348" i="1"/>
  <c r="AB348" i="1" s="1"/>
  <c r="Z340" i="1"/>
  <c r="AB340" i="1" s="1"/>
  <c r="Z339" i="1"/>
  <c r="AB339" i="1" s="1"/>
  <c r="X342" i="1"/>
  <c r="X351" i="1"/>
  <c r="X352" i="1" s="1"/>
  <c r="X328" i="1"/>
  <c r="X360" i="1" s="1"/>
  <c r="Z327" i="1"/>
  <c r="AB327" i="1" s="1"/>
  <c r="Z326" i="1"/>
  <c r="AB326" i="1" s="1"/>
  <c r="X333" i="1"/>
  <c r="X337" i="1"/>
  <c r="Z336" i="1"/>
  <c r="AB336" i="1" s="1"/>
  <c r="Z335" i="1"/>
  <c r="AB335" i="1" s="1"/>
  <c r="Z332" i="1"/>
  <c r="AB332" i="1" s="1"/>
  <c r="Z331" i="1"/>
  <c r="AB331" i="1" s="1"/>
  <c r="Z330" i="1"/>
  <c r="AB330" i="1" s="1"/>
  <c r="Z323" i="1"/>
  <c r="Z322" i="1"/>
  <c r="AB322" i="1" s="1"/>
  <c r="Z321" i="1"/>
  <c r="AB321" i="1" s="1"/>
  <c r="Z320" i="1"/>
  <c r="AB320" i="1" s="1"/>
  <c r="Z319" i="1"/>
  <c r="AB319" i="1" s="1"/>
  <c r="Z318" i="1"/>
  <c r="AB318" i="1" s="1"/>
  <c r="Z317" i="1"/>
  <c r="AB317" i="1" s="1"/>
  <c r="Z316" i="1"/>
  <c r="AB316" i="1" s="1"/>
  <c r="Z315" i="1"/>
  <c r="AB315" i="1" s="1"/>
  <c r="Z314" i="1"/>
  <c r="AB314" i="1" s="1"/>
  <c r="Z313" i="1"/>
  <c r="AB313" i="1" s="1"/>
  <c r="Z312" i="1"/>
  <c r="AB312" i="1" s="1"/>
  <c r="Z311" i="1"/>
  <c r="AB311" i="1" s="1"/>
  <c r="Z310" i="1"/>
  <c r="AB310" i="1" s="1"/>
  <c r="Z306" i="1"/>
  <c r="AB306" i="1" s="1"/>
  <c r="Z293" i="1"/>
  <c r="AB293" i="1" s="1"/>
  <c r="Z292" i="1"/>
  <c r="AB292" i="1" s="1"/>
  <c r="Z289" i="1"/>
  <c r="AB289" i="1" s="1"/>
  <c r="Z288" i="1"/>
  <c r="AB288" i="1" s="1"/>
  <c r="Z287" i="1"/>
  <c r="AB287" i="1" s="1"/>
  <c r="Z286" i="1"/>
  <c r="AB286" i="1" s="1"/>
  <c r="Z285" i="1"/>
  <c r="AB285" i="1" s="1"/>
  <c r="Z284" i="1"/>
  <c r="AB284" i="1" s="1"/>
  <c r="Z283" i="1"/>
  <c r="AB283" i="1" s="1"/>
  <c r="Z282" i="1"/>
  <c r="AB282" i="1" s="1"/>
  <c r="Z281" i="1"/>
  <c r="AB281" i="1" s="1"/>
  <c r="Z279" i="1"/>
  <c r="AB279" i="1" s="1"/>
  <c r="Z278" i="1"/>
  <c r="AB278" i="1" s="1"/>
  <c r="Z277" i="1"/>
  <c r="AB277" i="1" s="1"/>
  <c r="Z276" i="1"/>
  <c r="AB276" i="1" s="1"/>
  <c r="Z275" i="1"/>
  <c r="AB275" i="1" s="1"/>
  <c r="Z274" i="1"/>
  <c r="AB274" i="1" s="1"/>
  <c r="Z273" i="1"/>
  <c r="AB273" i="1" s="1"/>
  <c r="Z272" i="1"/>
  <c r="AB272" i="1" s="1"/>
  <c r="Z271" i="1"/>
  <c r="AB271" i="1" s="1"/>
  <c r="Z270" i="1"/>
  <c r="AB270" i="1" s="1"/>
  <c r="Z269" i="1"/>
  <c r="AB269" i="1" s="1"/>
  <c r="Z268" i="1"/>
  <c r="AB268" i="1" s="1"/>
  <c r="Z267" i="1"/>
  <c r="AB267" i="1" s="1"/>
  <c r="Z266" i="1"/>
  <c r="AB266" i="1" s="1"/>
  <c r="Z265" i="1"/>
  <c r="AB265" i="1" s="1"/>
  <c r="Z264" i="1"/>
  <c r="AB264" i="1" s="1"/>
  <c r="Z263" i="1"/>
  <c r="AB263" i="1" s="1"/>
  <c r="Z262" i="1"/>
  <c r="AB262" i="1" s="1"/>
  <c r="Z261" i="1"/>
  <c r="AB261" i="1" s="1"/>
  <c r="Z260" i="1"/>
  <c r="AB260" i="1" s="1"/>
  <c r="Z259" i="1"/>
  <c r="AB259" i="1" s="1"/>
  <c r="Z258" i="1"/>
  <c r="AB258" i="1" s="1"/>
  <c r="Z241" i="1"/>
  <c r="AB241" i="1" s="1"/>
  <c r="X239" i="1"/>
  <c r="Z238" i="1"/>
  <c r="AB238" i="1" s="1"/>
  <c r="Z237" i="1"/>
  <c r="AB237" i="1" s="1"/>
  <c r="X219" i="1"/>
  <c r="Z233" i="1"/>
  <c r="AB233" i="1" s="1"/>
  <c r="Z232" i="1"/>
  <c r="AB232" i="1" s="1"/>
  <c r="Z231" i="1"/>
  <c r="AB231" i="1" s="1"/>
  <c r="Z230" i="1"/>
  <c r="AB230" i="1" s="1"/>
  <c r="Z229" i="1"/>
  <c r="AB229" i="1" s="1"/>
  <c r="Z228" i="1"/>
  <c r="AB228" i="1" s="1"/>
  <c r="Z227" i="1"/>
  <c r="AB227" i="1" s="1"/>
  <c r="Z226" i="1"/>
  <c r="AB226" i="1" s="1"/>
  <c r="Z225" i="1"/>
  <c r="AB225" i="1" s="1"/>
  <c r="Z224" i="1"/>
  <c r="AB224" i="1" s="1"/>
  <c r="Z223" i="1"/>
  <c r="AB223" i="1" s="1"/>
  <c r="Z222" i="1"/>
  <c r="AB222" i="1" s="1"/>
  <c r="Z221" i="1"/>
  <c r="AB221" i="1" s="1"/>
  <c r="Z220" i="1"/>
  <c r="AB220" i="1" s="1"/>
  <c r="Z218" i="1"/>
  <c r="AB218" i="1" s="1"/>
  <c r="Z217" i="1"/>
  <c r="AB217" i="1" s="1"/>
  <c r="Z214" i="1"/>
  <c r="AB214" i="1" s="1"/>
  <c r="Z213" i="1"/>
  <c r="AB213" i="1" s="1"/>
  <c r="Z212" i="1"/>
  <c r="Z211" i="1"/>
  <c r="AB211" i="1" s="1"/>
  <c r="Z210" i="1"/>
  <c r="AB210" i="1" s="1"/>
  <c r="Z209" i="1"/>
  <c r="AB209" i="1" s="1"/>
  <c r="Z208" i="1"/>
  <c r="AB208" i="1" s="1"/>
  <c r="Z207" i="1"/>
  <c r="AB207" i="1" s="1"/>
  <c r="Z206" i="1"/>
  <c r="AB206" i="1" s="1"/>
  <c r="Z205" i="1"/>
  <c r="AB205" i="1" s="1"/>
  <c r="Z204" i="1"/>
  <c r="AB204" i="1" s="1"/>
  <c r="Z203" i="1"/>
  <c r="AB203" i="1" s="1"/>
  <c r="Z202" i="1"/>
  <c r="AB202" i="1" s="1"/>
  <c r="Z201" i="1"/>
  <c r="AB201" i="1" s="1"/>
  <c r="Z200" i="1"/>
  <c r="AB200" i="1" s="1"/>
  <c r="Z199" i="1"/>
  <c r="AB199" i="1" s="1"/>
  <c r="Z198" i="1"/>
  <c r="AB198" i="1" s="1"/>
  <c r="Z197" i="1"/>
  <c r="AB197" i="1" s="1"/>
  <c r="Z196" i="1"/>
  <c r="AB196" i="1" s="1"/>
  <c r="Z195" i="1"/>
  <c r="AB195" i="1" s="1"/>
  <c r="Z194" i="1"/>
  <c r="AB194" i="1" s="1"/>
  <c r="Z193" i="1"/>
  <c r="AB193" i="1" s="1"/>
  <c r="Z192" i="1"/>
  <c r="AB192" i="1" s="1"/>
  <c r="Z191" i="1"/>
  <c r="AB191" i="1" s="1"/>
  <c r="Z190" i="1"/>
  <c r="AB190" i="1" s="1"/>
  <c r="Z189" i="1"/>
  <c r="AB189" i="1" s="1"/>
  <c r="Z188" i="1"/>
  <c r="AB188" i="1" s="1"/>
  <c r="Z187" i="1"/>
  <c r="AB187" i="1" s="1"/>
  <c r="Z186" i="1"/>
  <c r="AB186" i="1" s="1"/>
  <c r="Z185" i="1"/>
  <c r="AB185" i="1" s="1"/>
  <c r="Z184" i="1"/>
  <c r="AB184" i="1" s="1"/>
  <c r="Z183" i="1"/>
  <c r="AB183" i="1" s="1"/>
  <c r="Z182" i="1"/>
  <c r="AB182" i="1" s="1"/>
  <c r="Z178" i="1"/>
  <c r="AB178" i="1" s="1"/>
  <c r="Z157" i="1"/>
  <c r="AB157" i="1" s="1"/>
  <c r="Z156" i="1"/>
  <c r="AB156" i="1" s="1"/>
  <c r="Z92" i="1"/>
  <c r="AB92" i="1" s="1"/>
  <c r="Z89" i="1"/>
  <c r="AB89" i="1" s="1"/>
  <c r="Z152" i="1"/>
  <c r="AB152" i="1" s="1"/>
  <c r="Z151" i="1"/>
  <c r="AB151" i="1" s="1"/>
  <c r="Z150" i="1"/>
  <c r="AB150" i="1" s="1"/>
  <c r="Z149" i="1"/>
  <c r="AB149" i="1" s="1"/>
  <c r="Z148" i="1"/>
  <c r="AB148" i="1" s="1"/>
  <c r="Z147" i="1"/>
  <c r="AB147" i="1" s="1"/>
  <c r="Z146" i="1"/>
  <c r="AB146" i="1" s="1"/>
  <c r="Z145" i="1"/>
  <c r="AB145" i="1" s="1"/>
  <c r="Z144" i="1"/>
  <c r="AB144" i="1" s="1"/>
  <c r="Z143" i="1"/>
  <c r="AB143" i="1" s="1"/>
  <c r="Z142" i="1"/>
  <c r="AB142" i="1" s="1"/>
  <c r="Z141" i="1"/>
  <c r="AB141" i="1" s="1"/>
  <c r="Z140" i="1"/>
  <c r="AB140" i="1" s="1"/>
  <c r="Z138" i="1"/>
  <c r="AB138" i="1" s="1"/>
  <c r="Z137" i="1"/>
  <c r="AB137" i="1" s="1"/>
  <c r="Z136" i="1"/>
  <c r="AB136" i="1" s="1"/>
  <c r="Z135" i="1"/>
  <c r="AB135" i="1" s="1"/>
  <c r="Z134" i="1"/>
  <c r="AB134" i="1" s="1"/>
  <c r="Z133" i="1"/>
  <c r="AB133" i="1" s="1"/>
  <c r="Z132" i="1"/>
  <c r="AB132" i="1" s="1"/>
  <c r="Z131" i="1"/>
  <c r="AB131" i="1" s="1"/>
  <c r="Z126" i="1"/>
  <c r="AB126" i="1" s="1"/>
  <c r="Z122" i="1"/>
  <c r="AB122" i="1" s="1"/>
  <c r="Z121" i="1"/>
  <c r="AB121" i="1" s="1"/>
  <c r="Z115" i="1"/>
  <c r="AB115" i="1" s="1"/>
  <c r="Z114" i="1"/>
  <c r="AB114" i="1" s="1"/>
  <c r="Z113" i="1"/>
  <c r="AB113" i="1" s="1"/>
  <c r="Z112" i="1"/>
  <c r="AB112" i="1" s="1"/>
  <c r="Z111" i="1"/>
  <c r="AB111" i="1" s="1"/>
  <c r="Z110" i="1"/>
  <c r="AB110" i="1" s="1"/>
  <c r="Z109" i="1"/>
  <c r="AB109" i="1" s="1"/>
  <c r="Z108" i="1"/>
  <c r="AB108" i="1" s="1"/>
  <c r="Z107" i="1"/>
  <c r="AB107" i="1" s="1"/>
  <c r="Z106" i="1"/>
  <c r="AB106" i="1" s="1"/>
  <c r="Z105" i="1"/>
  <c r="AB105" i="1" s="1"/>
  <c r="Z104" i="1"/>
  <c r="AB104" i="1" s="1"/>
  <c r="Z103" i="1"/>
  <c r="AB103" i="1" s="1"/>
  <c r="Z102" i="1"/>
  <c r="AB102" i="1" s="1"/>
  <c r="Z101" i="1"/>
  <c r="AB101" i="1" s="1"/>
  <c r="Z100" i="1"/>
  <c r="AB100" i="1" s="1"/>
  <c r="Z99" i="1"/>
  <c r="AB99" i="1" s="1"/>
  <c r="Z98" i="1"/>
  <c r="AB98" i="1" s="1"/>
  <c r="Z97" i="1"/>
  <c r="AB97" i="1" s="1"/>
  <c r="Z96" i="1"/>
  <c r="AB96" i="1" s="1"/>
  <c r="Z95" i="1"/>
  <c r="AB95" i="1" s="1"/>
  <c r="Z94" i="1"/>
  <c r="AB94" i="1" s="1"/>
  <c r="Z93" i="1"/>
  <c r="AB93" i="1" s="1"/>
  <c r="Z88" i="1"/>
  <c r="AB88" i="1" s="1"/>
  <c r="Z87" i="1"/>
  <c r="AB87" i="1" s="1"/>
  <c r="Z86" i="1"/>
  <c r="AB86" i="1" s="1"/>
  <c r="Z85" i="1"/>
  <c r="AB85" i="1" s="1"/>
  <c r="Z84" i="1"/>
  <c r="AB84" i="1" s="1"/>
  <c r="Z83" i="1"/>
  <c r="AB83" i="1" s="1"/>
  <c r="Z75" i="1"/>
  <c r="AB75" i="1" s="1"/>
  <c r="Z76" i="1"/>
  <c r="AB76" i="1" s="1"/>
  <c r="AB78" i="1"/>
  <c r="Z74" i="1"/>
  <c r="AB74" i="1" s="1"/>
  <c r="X72" i="1"/>
  <c r="Z71" i="1"/>
  <c r="AB71" i="1" s="1"/>
  <c r="Z69" i="1"/>
  <c r="AB69" i="1" s="1"/>
  <c r="X64" i="1"/>
  <c r="Z67" i="1"/>
  <c r="AB67" i="1" s="1"/>
  <c r="Z66" i="1"/>
  <c r="AB66" i="1" s="1"/>
  <c r="Z65" i="1"/>
  <c r="AB65" i="1" s="1"/>
  <c r="Z63" i="1"/>
  <c r="AB63" i="1" s="1"/>
  <c r="Z62" i="1"/>
  <c r="AB62" i="1" s="1"/>
  <c r="Z61" i="1"/>
  <c r="AB61" i="1" s="1"/>
  <c r="Z60" i="1"/>
  <c r="AB60" i="1" s="1"/>
  <c r="Z59" i="1"/>
  <c r="AB59" i="1" s="1"/>
  <c r="Z58" i="1"/>
  <c r="AB58" i="1" s="1"/>
  <c r="Z57" i="1"/>
  <c r="AB57" i="1" s="1"/>
  <c r="Z56" i="1"/>
  <c r="AB56" i="1" s="1"/>
  <c r="Z55" i="1"/>
  <c r="AB55" i="1" s="1"/>
  <c r="Z54" i="1"/>
  <c r="AB54" i="1" s="1"/>
  <c r="Z53" i="1"/>
  <c r="AB53" i="1" s="1"/>
  <c r="Z52" i="1"/>
  <c r="AB52" i="1" s="1"/>
  <c r="Z51" i="1"/>
  <c r="AB51" i="1" s="1"/>
  <c r="Z50" i="1"/>
  <c r="AB50" i="1" s="1"/>
  <c r="Z49" i="1"/>
  <c r="AB49" i="1" s="1"/>
  <c r="Z48" i="1"/>
  <c r="AB48" i="1" s="1"/>
  <c r="Z47" i="1"/>
  <c r="AB47" i="1" s="1"/>
  <c r="Z46" i="1"/>
  <c r="AB46" i="1" s="1"/>
  <c r="Z45" i="1"/>
  <c r="AB45" i="1" s="1"/>
  <c r="X43" i="1"/>
  <c r="Z42" i="1"/>
  <c r="AB42" i="1" s="1"/>
  <c r="X40" i="1"/>
  <c r="Z39" i="1"/>
  <c r="AB39" i="1" s="1"/>
  <c r="Z38" i="1"/>
  <c r="AB38" i="1" s="1"/>
  <c r="Z36" i="1"/>
  <c r="AB36" i="1" s="1"/>
  <c r="X35" i="1"/>
  <c r="P27" i="1"/>
  <c r="P28" i="1"/>
  <c r="P29" i="1"/>
  <c r="P30" i="1"/>
  <c r="P31" i="1"/>
  <c r="P32" i="1"/>
  <c r="P33" i="1"/>
  <c r="P34" i="1"/>
  <c r="Z34" i="1"/>
  <c r="AB34" i="1" s="1"/>
  <c r="Z33" i="1"/>
  <c r="AB33" i="1" s="1"/>
  <c r="Z32" i="1"/>
  <c r="AB32" i="1" s="1"/>
  <c r="Z31" i="1"/>
  <c r="AB31" i="1" s="1"/>
  <c r="Z30" i="1"/>
  <c r="AB30" i="1" s="1"/>
  <c r="Z29" i="1"/>
  <c r="AB29" i="1" s="1"/>
  <c r="Z28" i="1"/>
  <c r="AB28" i="1" s="1"/>
  <c r="Z27" i="1"/>
  <c r="AB27" i="1" s="1"/>
  <c r="Z25" i="1"/>
  <c r="AB25" i="1" s="1"/>
  <c r="X24" i="1"/>
  <c r="Z21" i="1"/>
  <c r="AB21" i="1" s="1"/>
  <c r="Z20" i="1"/>
  <c r="AB20" i="1" s="1"/>
  <c r="Z17" i="1"/>
  <c r="AB17" i="1" s="1"/>
  <c r="Z16" i="1"/>
  <c r="AB16" i="1" s="1"/>
  <c r="Z13" i="1"/>
  <c r="AB13" i="1" s="1"/>
  <c r="Z12" i="1"/>
  <c r="AB12" i="1" s="1"/>
  <c r="X18" i="1"/>
  <c r="X14" i="1"/>
  <c r="Z10" i="1"/>
  <c r="AB10" i="1" s="1"/>
  <c r="Z9" i="1"/>
  <c r="AB9" i="1" s="1"/>
  <c r="Z5" i="1"/>
  <c r="AB5" i="1" s="1"/>
  <c r="AB4" i="1"/>
  <c r="Z6" i="1"/>
  <c r="AB6" i="1" s="1"/>
  <c r="N351" i="1"/>
  <c r="N352" i="1" s="1"/>
  <c r="L351" i="1"/>
  <c r="J351" i="1"/>
  <c r="J352" i="1" s="1"/>
  <c r="H351" i="1"/>
  <c r="R349" i="1"/>
  <c r="P349" i="1"/>
  <c r="R348" i="1"/>
  <c r="P348" i="1"/>
  <c r="L345" i="1"/>
  <c r="J345" i="1"/>
  <c r="H345" i="1"/>
  <c r="N342" i="1"/>
  <c r="L342" i="1"/>
  <c r="J342" i="1"/>
  <c r="H342" i="1"/>
  <c r="R340" i="1"/>
  <c r="P340" i="1"/>
  <c r="R339" i="1"/>
  <c r="P339" i="1"/>
  <c r="N337" i="1"/>
  <c r="L337" i="1"/>
  <c r="J337" i="1"/>
  <c r="H337" i="1"/>
  <c r="R336" i="1"/>
  <c r="P336" i="1"/>
  <c r="R335" i="1"/>
  <c r="P335" i="1"/>
  <c r="N333" i="1"/>
  <c r="L333" i="1"/>
  <c r="J333" i="1"/>
  <c r="H333" i="1"/>
  <c r="R332" i="1"/>
  <c r="P332" i="1"/>
  <c r="R331" i="1"/>
  <c r="P331" i="1"/>
  <c r="R330" i="1"/>
  <c r="P330" i="1"/>
  <c r="N328" i="1"/>
  <c r="L328" i="1"/>
  <c r="J328" i="1"/>
  <c r="H328" i="1"/>
  <c r="R327" i="1"/>
  <c r="P327" i="1"/>
  <c r="S327" i="1" s="1"/>
  <c r="R326" i="1"/>
  <c r="P326" i="1"/>
  <c r="N324" i="1"/>
  <c r="L324" i="1"/>
  <c r="J324" i="1"/>
  <c r="H324" i="1"/>
  <c r="R322" i="1"/>
  <c r="P322" i="1"/>
  <c r="R321" i="1"/>
  <c r="P321" i="1"/>
  <c r="R320" i="1"/>
  <c r="P320" i="1"/>
  <c r="R319" i="1"/>
  <c r="P319" i="1"/>
  <c r="R318" i="1"/>
  <c r="P318" i="1"/>
  <c r="R317" i="1"/>
  <c r="P317" i="1"/>
  <c r="R316" i="1"/>
  <c r="P316" i="1"/>
  <c r="R315" i="1"/>
  <c r="P315" i="1"/>
  <c r="R314" i="1"/>
  <c r="P314" i="1"/>
  <c r="R313" i="1"/>
  <c r="P313" i="1"/>
  <c r="R312" i="1"/>
  <c r="P312" i="1"/>
  <c r="R311" i="1"/>
  <c r="P311" i="1"/>
  <c r="R310" i="1"/>
  <c r="P310" i="1"/>
  <c r="R306" i="1"/>
  <c r="P306" i="1"/>
  <c r="R293" i="1"/>
  <c r="P293" i="1"/>
  <c r="R292" i="1"/>
  <c r="P292" i="1"/>
  <c r="N290" i="1"/>
  <c r="J290" i="1"/>
  <c r="H290" i="1"/>
  <c r="R289" i="1"/>
  <c r="P289" i="1"/>
  <c r="R288" i="1"/>
  <c r="P288" i="1"/>
  <c r="R287" i="1"/>
  <c r="P287" i="1"/>
  <c r="R286" i="1"/>
  <c r="P286" i="1"/>
  <c r="R285" i="1"/>
  <c r="P285" i="1"/>
  <c r="R284" i="1"/>
  <c r="P284" i="1"/>
  <c r="R283" i="1"/>
  <c r="P283" i="1"/>
  <c r="R282" i="1"/>
  <c r="P282" i="1"/>
  <c r="R281" i="1"/>
  <c r="P281" i="1"/>
  <c r="R279" i="1"/>
  <c r="P279" i="1"/>
  <c r="R278" i="1"/>
  <c r="P278" i="1"/>
  <c r="R277" i="1"/>
  <c r="P277" i="1"/>
  <c r="R276" i="1"/>
  <c r="P276" i="1"/>
  <c r="R275" i="1"/>
  <c r="P275" i="1"/>
  <c r="R274" i="1"/>
  <c r="P274" i="1"/>
  <c r="R273" i="1"/>
  <c r="P273" i="1"/>
  <c r="R272" i="1"/>
  <c r="P272" i="1"/>
  <c r="R271" i="1"/>
  <c r="P271" i="1"/>
  <c r="R270" i="1"/>
  <c r="P270" i="1"/>
  <c r="R269" i="1"/>
  <c r="P269" i="1"/>
  <c r="R268" i="1"/>
  <c r="P268" i="1"/>
  <c r="R267" i="1"/>
  <c r="P267" i="1"/>
  <c r="R266" i="1"/>
  <c r="P266" i="1"/>
  <c r="R265" i="1"/>
  <c r="P265" i="1"/>
  <c r="R264" i="1"/>
  <c r="P264" i="1"/>
  <c r="R263" i="1"/>
  <c r="P263" i="1"/>
  <c r="R262" i="1"/>
  <c r="P262" i="1"/>
  <c r="R261" i="1"/>
  <c r="P261" i="1"/>
  <c r="R260" i="1"/>
  <c r="P260" i="1"/>
  <c r="R259" i="1"/>
  <c r="P259" i="1"/>
  <c r="R258" i="1"/>
  <c r="P258" i="1"/>
  <c r="R241" i="1"/>
  <c r="P241" i="1"/>
  <c r="N239" i="1"/>
  <c r="L239" i="1"/>
  <c r="J239" i="1"/>
  <c r="H239" i="1"/>
  <c r="R238" i="1"/>
  <c r="P238" i="1"/>
  <c r="R237" i="1"/>
  <c r="P237" i="1"/>
  <c r="J234" i="1"/>
  <c r="H234" i="1"/>
  <c r="R233" i="1"/>
  <c r="P233" i="1"/>
  <c r="R232" i="1"/>
  <c r="P232" i="1"/>
  <c r="R231" i="1"/>
  <c r="P231" i="1"/>
  <c r="R230" i="1"/>
  <c r="P230" i="1"/>
  <c r="R229" i="1"/>
  <c r="P229" i="1"/>
  <c r="R228" i="1"/>
  <c r="P228" i="1"/>
  <c r="R227" i="1"/>
  <c r="P227" i="1"/>
  <c r="R226" i="1"/>
  <c r="P226" i="1"/>
  <c r="R225" i="1"/>
  <c r="P225" i="1"/>
  <c r="R224" i="1"/>
  <c r="P224" i="1"/>
  <c r="R223" i="1"/>
  <c r="P223" i="1"/>
  <c r="R222" i="1"/>
  <c r="P222" i="1"/>
  <c r="R221" i="1"/>
  <c r="P221" i="1"/>
  <c r="R220" i="1"/>
  <c r="P220" i="1"/>
  <c r="R219" i="1"/>
  <c r="P219" i="1"/>
  <c r="R218" i="1"/>
  <c r="P218" i="1"/>
  <c r="R217" i="1"/>
  <c r="P217" i="1"/>
  <c r="R214" i="1"/>
  <c r="P214" i="1"/>
  <c r="R213" i="1"/>
  <c r="P213" i="1"/>
  <c r="R212" i="1"/>
  <c r="P212" i="1"/>
  <c r="R211" i="1"/>
  <c r="P211" i="1"/>
  <c r="R210" i="1"/>
  <c r="P210" i="1"/>
  <c r="R208" i="1"/>
  <c r="P208" i="1"/>
  <c r="R207" i="1"/>
  <c r="P207" i="1"/>
  <c r="R206" i="1"/>
  <c r="P206" i="1"/>
  <c r="R205" i="1"/>
  <c r="P205" i="1"/>
  <c r="R204" i="1"/>
  <c r="P204" i="1"/>
  <c r="R203" i="1"/>
  <c r="P203" i="1"/>
  <c r="R202" i="1"/>
  <c r="P202" i="1"/>
  <c r="R201" i="1"/>
  <c r="P201" i="1"/>
  <c r="R200" i="1"/>
  <c r="P200" i="1"/>
  <c r="R199" i="1"/>
  <c r="P199" i="1"/>
  <c r="R198" i="1"/>
  <c r="P198" i="1"/>
  <c r="R197" i="1"/>
  <c r="P197" i="1"/>
  <c r="R196" i="1"/>
  <c r="P196" i="1"/>
  <c r="R195" i="1"/>
  <c r="P195" i="1"/>
  <c r="R194" i="1"/>
  <c r="P194" i="1"/>
  <c r="R193" i="1"/>
  <c r="P193" i="1"/>
  <c r="R192" i="1"/>
  <c r="P192" i="1"/>
  <c r="R191" i="1"/>
  <c r="P191" i="1"/>
  <c r="R190" i="1"/>
  <c r="P190" i="1"/>
  <c r="R189" i="1"/>
  <c r="P189" i="1"/>
  <c r="R188" i="1"/>
  <c r="P188" i="1"/>
  <c r="R187" i="1"/>
  <c r="P187" i="1"/>
  <c r="R186" i="1"/>
  <c r="P186" i="1"/>
  <c r="R185" i="1"/>
  <c r="P185" i="1"/>
  <c r="R184" i="1"/>
  <c r="P184" i="1"/>
  <c r="R183" i="1"/>
  <c r="P183" i="1"/>
  <c r="R182" i="1"/>
  <c r="P182" i="1"/>
  <c r="R178" i="1"/>
  <c r="P178" i="1"/>
  <c r="R157" i="1"/>
  <c r="P157" i="1"/>
  <c r="R156" i="1"/>
  <c r="P156" i="1"/>
  <c r="R209" i="1"/>
  <c r="P209" i="1"/>
  <c r="N153" i="1"/>
  <c r="L153" i="1"/>
  <c r="J153" i="1"/>
  <c r="H153" i="1"/>
  <c r="R152" i="1"/>
  <c r="P152" i="1"/>
  <c r="R151" i="1"/>
  <c r="P151" i="1"/>
  <c r="R150" i="1"/>
  <c r="P150" i="1"/>
  <c r="R149" i="1"/>
  <c r="P149" i="1"/>
  <c r="R148" i="1"/>
  <c r="P148" i="1"/>
  <c r="R147" i="1"/>
  <c r="P147" i="1"/>
  <c r="R146" i="1"/>
  <c r="P146" i="1"/>
  <c r="R145" i="1"/>
  <c r="P145" i="1"/>
  <c r="R144" i="1"/>
  <c r="P144" i="1"/>
  <c r="R143" i="1"/>
  <c r="P143" i="1"/>
  <c r="R142" i="1"/>
  <c r="P142" i="1"/>
  <c r="R141" i="1"/>
  <c r="P141" i="1"/>
  <c r="R140" i="1"/>
  <c r="P140" i="1"/>
  <c r="R138" i="1"/>
  <c r="P138" i="1"/>
  <c r="R137" i="1"/>
  <c r="P137" i="1"/>
  <c r="R136" i="1"/>
  <c r="P136" i="1"/>
  <c r="R135" i="1"/>
  <c r="P135" i="1"/>
  <c r="R134" i="1"/>
  <c r="P134" i="1"/>
  <c r="R133" i="1"/>
  <c r="P133" i="1"/>
  <c r="R132" i="1"/>
  <c r="P132" i="1"/>
  <c r="R131" i="1"/>
  <c r="P131" i="1"/>
  <c r="R130" i="1"/>
  <c r="P130" i="1"/>
  <c r="R126" i="1"/>
  <c r="P126" i="1"/>
  <c r="R125" i="1"/>
  <c r="P125" i="1"/>
  <c r="R122" i="1"/>
  <c r="P122" i="1"/>
  <c r="R121" i="1"/>
  <c r="P121" i="1"/>
  <c r="R116" i="1"/>
  <c r="P116" i="1"/>
  <c r="R115" i="1"/>
  <c r="P115" i="1"/>
  <c r="R114" i="1"/>
  <c r="P114" i="1"/>
  <c r="R113" i="1"/>
  <c r="P113" i="1"/>
  <c r="R112" i="1"/>
  <c r="P112" i="1"/>
  <c r="R111" i="1"/>
  <c r="P111" i="1"/>
  <c r="R110" i="1"/>
  <c r="P110" i="1"/>
  <c r="R109" i="1"/>
  <c r="P109" i="1"/>
  <c r="R108" i="1"/>
  <c r="P108" i="1"/>
  <c r="R107" i="1"/>
  <c r="P107" i="1"/>
  <c r="R106" i="1"/>
  <c r="P106" i="1"/>
  <c r="R105" i="1"/>
  <c r="P105" i="1"/>
  <c r="R104" i="1"/>
  <c r="P104" i="1"/>
  <c r="R103" i="1"/>
  <c r="P103" i="1"/>
  <c r="R102" i="1"/>
  <c r="P102" i="1"/>
  <c r="R101" i="1"/>
  <c r="P101" i="1"/>
  <c r="R100" i="1"/>
  <c r="P100" i="1"/>
  <c r="R99" i="1"/>
  <c r="P99" i="1"/>
  <c r="R98" i="1"/>
  <c r="P98" i="1"/>
  <c r="R97" i="1"/>
  <c r="P97" i="1"/>
  <c r="R96" i="1"/>
  <c r="P96" i="1"/>
  <c r="R95" i="1"/>
  <c r="P95" i="1"/>
  <c r="R94" i="1"/>
  <c r="P94" i="1"/>
  <c r="R93" i="1"/>
  <c r="P93" i="1"/>
  <c r="R92" i="1"/>
  <c r="P92" i="1"/>
  <c r="R91" i="1"/>
  <c r="P91" i="1"/>
  <c r="R89" i="1"/>
  <c r="P89" i="1"/>
  <c r="R88" i="1"/>
  <c r="P88" i="1"/>
  <c r="R87" i="1"/>
  <c r="P87" i="1"/>
  <c r="R86" i="1"/>
  <c r="P86" i="1"/>
  <c r="R85" i="1"/>
  <c r="P85" i="1"/>
  <c r="R84" i="1"/>
  <c r="P84" i="1"/>
  <c r="R83" i="1"/>
  <c r="P83" i="1"/>
  <c r="R78" i="1"/>
  <c r="P78" i="1"/>
  <c r="N77" i="1"/>
  <c r="Z77" i="1" s="1"/>
  <c r="AB77" i="1" s="1"/>
  <c r="L77" i="1"/>
  <c r="J77" i="1"/>
  <c r="H77" i="1"/>
  <c r="R76" i="1"/>
  <c r="P76" i="1"/>
  <c r="R75" i="1"/>
  <c r="P75" i="1"/>
  <c r="R74" i="1"/>
  <c r="P74" i="1"/>
  <c r="N72" i="1"/>
  <c r="L72" i="1"/>
  <c r="J72" i="1"/>
  <c r="H72" i="1"/>
  <c r="R71" i="1"/>
  <c r="P71" i="1"/>
  <c r="R69" i="1"/>
  <c r="P69" i="1"/>
  <c r="R67" i="1"/>
  <c r="P67" i="1"/>
  <c r="R66" i="1"/>
  <c r="P66" i="1"/>
  <c r="R65" i="1"/>
  <c r="P65" i="1"/>
  <c r="N64" i="1"/>
  <c r="L64" i="1"/>
  <c r="J64" i="1"/>
  <c r="H64" i="1"/>
  <c r="R63" i="1"/>
  <c r="P63" i="1"/>
  <c r="R62" i="1"/>
  <c r="P62" i="1"/>
  <c r="R61" i="1"/>
  <c r="P61" i="1"/>
  <c r="R60" i="1"/>
  <c r="P60" i="1"/>
  <c r="R59" i="1"/>
  <c r="P59" i="1"/>
  <c r="R58" i="1"/>
  <c r="P58" i="1"/>
  <c r="R57" i="1"/>
  <c r="P57" i="1"/>
  <c r="R56" i="1"/>
  <c r="P56" i="1"/>
  <c r="R55" i="1"/>
  <c r="P55" i="1"/>
  <c r="R54" i="1"/>
  <c r="P54" i="1"/>
  <c r="R53" i="1"/>
  <c r="P53" i="1"/>
  <c r="R52" i="1"/>
  <c r="P52" i="1"/>
  <c r="R51" i="1"/>
  <c r="P51" i="1"/>
  <c r="R50" i="1"/>
  <c r="P50" i="1"/>
  <c r="R49" i="1"/>
  <c r="P49" i="1"/>
  <c r="R48" i="1"/>
  <c r="P48" i="1"/>
  <c r="R47" i="1"/>
  <c r="P47" i="1"/>
  <c r="R46" i="1"/>
  <c r="P46" i="1"/>
  <c r="R45" i="1"/>
  <c r="P45" i="1"/>
  <c r="N43" i="1"/>
  <c r="L43" i="1"/>
  <c r="J43" i="1"/>
  <c r="H43" i="1"/>
  <c r="R42" i="1"/>
  <c r="P42" i="1"/>
  <c r="N40" i="1"/>
  <c r="L40" i="1"/>
  <c r="J40" i="1"/>
  <c r="H40" i="1"/>
  <c r="R39" i="1"/>
  <c r="P39" i="1"/>
  <c r="R38" i="1"/>
  <c r="P38" i="1"/>
  <c r="R36" i="1"/>
  <c r="P36" i="1"/>
  <c r="N35" i="1"/>
  <c r="J35" i="1"/>
  <c r="H35" i="1"/>
  <c r="R34" i="1"/>
  <c r="R33" i="1"/>
  <c r="R32" i="1"/>
  <c r="R31" i="1"/>
  <c r="R30" i="1"/>
  <c r="R29" i="1"/>
  <c r="R28" i="1"/>
  <c r="R27" i="1"/>
  <c r="R25" i="1"/>
  <c r="P25" i="1"/>
  <c r="N24" i="1"/>
  <c r="L24" i="1"/>
  <c r="J24" i="1"/>
  <c r="H24" i="1"/>
  <c r="R21" i="1"/>
  <c r="P21" i="1"/>
  <c r="R20" i="1"/>
  <c r="P20" i="1"/>
  <c r="N18" i="1"/>
  <c r="L18" i="1"/>
  <c r="J18" i="1"/>
  <c r="H18" i="1"/>
  <c r="R17" i="1"/>
  <c r="P17" i="1"/>
  <c r="R16" i="1"/>
  <c r="P16" i="1"/>
  <c r="N14" i="1"/>
  <c r="J14" i="1"/>
  <c r="H14" i="1"/>
  <c r="R13" i="1"/>
  <c r="P13" i="1"/>
  <c r="R12" i="1"/>
  <c r="P12" i="1"/>
  <c r="R10" i="1"/>
  <c r="P10" i="1"/>
  <c r="R9" i="1"/>
  <c r="P9" i="1"/>
  <c r="R6" i="1"/>
  <c r="P6" i="1"/>
  <c r="S6" i="1" s="1"/>
  <c r="R5" i="1"/>
  <c r="P5" i="1"/>
  <c r="S5" i="1" s="1"/>
  <c r="R4" i="1"/>
  <c r="P4" i="1"/>
  <c r="S4" i="1" s="1"/>
  <c r="X116" i="1" l="1"/>
  <c r="X79" i="1"/>
  <c r="X80" i="1" s="1"/>
  <c r="X234" i="1"/>
  <c r="X235" i="1" s="1"/>
  <c r="AB235" i="1" s="1"/>
  <c r="P234" i="1"/>
  <c r="S234" i="1" s="1"/>
  <c r="AB212" i="1"/>
  <c r="Z215" i="1"/>
  <c r="P215" i="1"/>
  <c r="S215" i="1" s="1"/>
  <c r="Z342" i="1"/>
  <c r="AB342" i="1" s="1"/>
  <c r="Z219" i="1"/>
  <c r="AB219" i="1" s="1"/>
  <c r="Z337" i="1"/>
  <c r="AB337" i="1" s="1"/>
  <c r="Z352" i="1"/>
  <c r="AB352" i="1" s="1"/>
  <c r="Z328" i="1"/>
  <c r="AB328" i="1" s="1"/>
  <c r="Z324" i="1"/>
  <c r="AB324" i="1" s="1"/>
  <c r="Z333" i="1"/>
  <c r="AB333" i="1" s="1"/>
  <c r="Z351" i="1"/>
  <c r="AB351" i="1" s="1"/>
  <c r="Z239" i="1"/>
  <c r="AB239" i="1" s="1"/>
  <c r="Z290" i="1"/>
  <c r="AB290" i="1" s="1"/>
  <c r="R290" i="1"/>
  <c r="P77" i="1"/>
  <c r="S77" i="1" s="1"/>
  <c r="Z64" i="1"/>
  <c r="AB64" i="1" s="1"/>
  <c r="P35" i="1"/>
  <c r="Z91" i="1"/>
  <c r="AB91" i="1" s="1"/>
  <c r="Z35" i="1"/>
  <c r="AB35" i="1" s="1"/>
  <c r="Z72" i="1"/>
  <c r="AB72" i="1" s="1"/>
  <c r="Z18" i="1"/>
  <c r="AB18" i="1" s="1"/>
  <c r="Z14" i="1"/>
  <c r="AB14" i="1" s="1"/>
  <c r="P342" i="1"/>
  <c r="P72" i="1"/>
  <c r="R24" i="1"/>
  <c r="Z40" i="1"/>
  <c r="AB40" i="1" s="1"/>
  <c r="P351" i="1"/>
  <c r="Z24" i="1"/>
  <c r="AB24" i="1" s="1"/>
  <c r="P337" i="1"/>
  <c r="Z43" i="1"/>
  <c r="AB43" i="1" s="1"/>
  <c r="P43" i="1"/>
  <c r="R153" i="1"/>
  <c r="P328" i="1"/>
  <c r="R77" i="1"/>
  <c r="R333" i="1"/>
  <c r="R35" i="1"/>
  <c r="R351" i="1"/>
  <c r="R43" i="1"/>
  <c r="R342" i="1"/>
  <c r="P64" i="1"/>
  <c r="P153" i="1"/>
  <c r="S153" i="1" s="1"/>
  <c r="P290" i="1"/>
  <c r="S290" i="1" s="1"/>
  <c r="P333" i="1"/>
  <c r="S333" i="1" s="1"/>
  <c r="R18" i="1"/>
  <c r="P24" i="1"/>
  <c r="P40" i="1"/>
  <c r="P324" i="1"/>
  <c r="S324" i="1" s="1"/>
  <c r="R324" i="1"/>
  <c r="H79" i="1"/>
  <c r="P18" i="1"/>
  <c r="L79" i="1"/>
  <c r="J79" i="1"/>
  <c r="L352" i="1"/>
  <c r="P352" i="1" s="1"/>
  <c r="R328" i="1"/>
  <c r="R72" i="1"/>
  <c r="R239" i="1"/>
  <c r="P239" i="1"/>
  <c r="S239" i="1" s="1"/>
  <c r="N79" i="1"/>
  <c r="R14" i="1"/>
  <c r="R64" i="1"/>
  <c r="H352" i="1"/>
  <c r="P14" i="1"/>
  <c r="R40" i="1"/>
  <c r="J353" i="1"/>
  <c r="R337" i="1"/>
  <c r="S353" i="1" l="1"/>
  <c r="H377" i="1" s="1"/>
  <c r="X125" i="1"/>
  <c r="Z125" i="1" s="1"/>
  <c r="AB125" i="1" s="1"/>
  <c r="X130" i="1"/>
  <c r="Z130" i="1" s="1"/>
  <c r="AB130" i="1" s="1"/>
  <c r="Z116" i="1"/>
  <c r="AB116" i="1" s="1"/>
  <c r="Z234" i="1"/>
  <c r="AB234" i="1" s="1"/>
  <c r="S80" i="1"/>
  <c r="H376" i="1" s="1"/>
  <c r="L360" i="1" s="1"/>
  <c r="P235" i="1"/>
  <c r="AB215" i="1"/>
  <c r="Z79" i="1"/>
  <c r="AB79" i="1" s="1"/>
  <c r="H80" i="1"/>
  <c r="H353" i="1"/>
  <c r="J80" i="1"/>
  <c r="P79" i="1"/>
  <c r="L80" i="1"/>
  <c r="N353" i="1" s="1"/>
  <c r="N80" i="1"/>
  <c r="R79" i="1"/>
  <c r="R352" i="1"/>
  <c r="X153" i="1" l="1"/>
  <c r="Z153" i="1" s="1"/>
  <c r="AB153" i="1" s="1"/>
  <c r="L353" i="1"/>
  <c r="U352" i="1" s="1"/>
  <c r="Z235" i="1"/>
  <c r="H378" i="1"/>
  <c r="L361" i="1"/>
  <c r="L362" i="1" s="1"/>
  <c r="Z80" i="1"/>
  <c r="AB80" i="1" s="1"/>
  <c r="N354" i="1"/>
  <c r="J354" i="1"/>
  <c r="P80" i="1"/>
  <c r="H354" i="1"/>
  <c r="R80" i="1"/>
  <c r="X353" i="1" l="1"/>
  <c r="X359" i="1" s="1"/>
  <c r="X361" i="1" s="1"/>
  <c r="X362" i="1" s="1"/>
  <c r="L373" i="1" s="1"/>
  <c r="P353" i="1"/>
  <c r="R353" i="1"/>
  <c r="L354" i="1"/>
  <c r="P354" i="1" s="1"/>
  <c r="L369" i="1" l="1"/>
  <c r="X354" i="1"/>
  <c r="H390" i="1"/>
  <c r="Z353" i="1"/>
  <c r="AB353" i="1" s="1"/>
  <c r="L364" i="1"/>
  <c r="R354" i="1"/>
  <c r="Z354" i="1"/>
  <c r="H380" i="1"/>
  <c r="H393" i="1" l="1"/>
  <c r="H381" i="1"/>
  <c r="L370" i="1"/>
  <c r="H389" i="1" s="1"/>
  <c r="L367" i="1"/>
  <c r="L368" i="1" s="1"/>
  <c r="L371" i="1" l="1"/>
  <c r="L374" i="1" s="1"/>
  <c r="H382" i="1"/>
  <c r="H385" i="1" s="1"/>
  <c r="H387" i="1" s="1"/>
  <c r="H391" i="1" s="1"/>
  <c r="H394" i="1" s="1"/>
  <c r="H395" i="1" s="1"/>
</calcChain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<sst xmlns="http://schemas.openxmlformats.org/spreadsheetml/2006/main" count="451" uniqueCount="410">
  <si>
    <t>Budget</t>
  </si>
  <si>
    <t>$ Over Budget</t>
  </si>
  <si>
    <t>% of Budget</t>
  </si>
  <si>
    <t>Jan - Dec 22</t>
  </si>
  <si>
    <t>Jan - Dec 23</t>
  </si>
  <si>
    <t>Jan - Dec 24</t>
  </si>
  <si>
    <t>Income</t>
  </si>
  <si>
    <t>301.100 · Real Estate Taxes - Current</t>
  </si>
  <si>
    <t>301.102 · Specialty Taxes</t>
  </si>
  <si>
    <t>310.200 · Earned Income Taxes</t>
  </si>
  <si>
    <t>Taxes Other</t>
  </si>
  <si>
    <t>301.101 · Judicial Sales - Tax Claim</t>
  </si>
  <si>
    <t>301.200 · Real Estate Taxes - Delinquent</t>
  </si>
  <si>
    <t>301.300 · Returned Taxes - Upset Sale</t>
  </si>
  <si>
    <t>301.400 · Returned Tax - Repository Sale</t>
  </si>
  <si>
    <t>310.100 · Real Estate Transfer Taxes</t>
  </si>
  <si>
    <t>310.500 · Local Services Taxes</t>
  </si>
  <si>
    <t>Total Taxes Other</t>
  </si>
  <si>
    <t>Licenses, permits and fees</t>
  </si>
  <si>
    <t>321.800 · Cable TV Franchise Fees</t>
  </si>
  <si>
    <t>322.100 · Application fees</t>
  </si>
  <si>
    <t>Total Licenses, permits and fees</t>
  </si>
  <si>
    <t>Fines and Forfeits</t>
  </si>
  <si>
    <t>331.100 · Court Fines - District Magistra</t>
  </si>
  <si>
    <t>331.110 · Motor Vehicle Code Violations</t>
  </si>
  <si>
    <t>331.200 · Ordinance Violations</t>
  </si>
  <si>
    <t>332.100 · Restitution</t>
  </si>
  <si>
    <t>Total Fines and Forfeits</t>
  </si>
  <si>
    <t>341.010 · Interest on Investments</t>
  </si>
  <si>
    <t>Other State Grants</t>
  </si>
  <si>
    <t>354.100 · Police Grants</t>
  </si>
  <si>
    <t>354.101 · PCCD GRANT POLICE</t>
  </si>
  <si>
    <t>354.102 · COP GRANT</t>
  </si>
  <si>
    <t>355.010 · Public Utility Realty Tax</t>
  </si>
  <si>
    <t>355.040 · Alcoholic Beverage Licenses</t>
  </si>
  <si>
    <t>355.050 · Pension System State Aid</t>
  </si>
  <si>
    <t>355.070 · Foreign Fire Insurance</t>
  </si>
  <si>
    <t>356.100 · State Payments in Lieu of Taxes</t>
  </si>
  <si>
    <t>Total Other State Grants</t>
  </si>
  <si>
    <t>351.140 · ARP FEDERAL FUND</t>
  </si>
  <si>
    <t>Police Services &amp; OT Reim.</t>
  </si>
  <si>
    <t>362.101 · Reimbursement Police overtime</t>
  </si>
  <si>
    <t>362.100 · Police Services</t>
  </si>
  <si>
    <t>Total Police Services &amp; OT Reim.</t>
  </si>
  <si>
    <t>Building Permits</t>
  </si>
  <si>
    <t>362.410 · Building Permits</t>
  </si>
  <si>
    <t>Total Building Permits</t>
  </si>
  <si>
    <t>Charges for Services</t>
  </si>
  <si>
    <t>361.101 · Sewer Admin. Services</t>
  </si>
  <si>
    <t>361.310 · Subdivision, Land Develop Fees</t>
  </si>
  <si>
    <t>361.330 · Zoning Hearing Board Fees</t>
  </si>
  <si>
    <t>361.340 · Cond Use, Curative PRD Fees</t>
  </si>
  <si>
    <t>361.700 · Reproduction of Records</t>
  </si>
  <si>
    <t>362.110 · Sale of Police Reports</t>
  </si>
  <si>
    <t>362.130 · Security Alarm Fees</t>
  </si>
  <si>
    <t>362.300 · Zoning Permits</t>
  </si>
  <si>
    <t>362.301 · GRADING PERMITS</t>
  </si>
  <si>
    <t>362.440 · Sewer System Permits</t>
  </si>
  <si>
    <t>362.450 · Use &amp; Occupancy Permits</t>
  </si>
  <si>
    <t>362.475 · Well Permits</t>
  </si>
  <si>
    <t>362.480 · Pool Permits</t>
  </si>
  <si>
    <t>362.485 · Sign Permits</t>
  </si>
  <si>
    <t>362.491 · Fireworks Permits</t>
  </si>
  <si>
    <t>362.493 · TRANSIENT DWELLING</t>
  </si>
  <si>
    <t>362.495 · UCC Fees</t>
  </si>
  <si>
    <t>362.600 · Miscellaneous Permits</t>
  </si>
  <si>
    <t>363.500 · Public Works Services</t>
  </si>
  <si>
    <t>Total Charges for Services</t>
  </si>
  <si>
    <t>367.140 · Pavilion Rental Fees</t>
  </si>
  <si>
    <t>367.180 · Heritage Center Rental Fees</t>
  </si>
  <si>
    <t>367.200 · Recreation Prog. Services</t>
  </si>
  <si>
    <t>Other Operating Revenue</t>
  </si>
  <si>
    <t>387.100 · Contributions and Donations</t>
  </si>
  <si>
    <t>387.200 · Fees in Lieu of Improvements</t>
  </si>
  <si>
    <t>Total Other Operating Revenue</t>
  </si>
  <si>
    <t>Other Financing Sources</t>
  </si>
  <si>
    <t>391.100 · Sale of Surplus Property</t>
  </si>
  <si>
    <t>395.000 · Refunds of Prior Year Expenses</t>
  </si>
  <si>
    <t>395.001 · EE Portion Health Ins.</t>
  </si>
  <si>
    <t>Total Other Financing Sources</t>
  </si>
  <si>
    <t>392.900 · Transfer from Fund Balance</t>
  </si>
  <si>
    <t>Total Income</t>
  </si>
  <si>
    <t>Gross Profit</t>
  </si>
  <si>
    <t>Expense</t>
  </si>
  <si>
    <t>General Government</t>
  </si>
  <si>
    <t>400.110 · Salary &amp; Wages - Legislative</t>
  </si>
  <si>
    <t>400.192 · Legislative SSI Tax</t>
  </si>
  <si>
    <t>400.260 · Minor Equipment</t>
  </si>
  <si>
    <t>400.420 · Dues, Subscriptions &amp; Membershi</t>
  </si>
  <si>
    <t>400.460 · Legislaive -Meetings &amp; Training</t>
  </si>
  <si>
    <t>400.540 · Legislative - Donations</t>
  </si>
  <si>
    <t>401.110 · Admin Salaries &amp; Wages</t>
  </si>
  <si>
    <t>401.192 · Admin SSI Taxes</t>
  </si>
  <si>
    <t>401.196 · Admin Health Insurance</t>
  </si>
  <si>
    <t>401.198 · Non-Uniformed Pension Plan</t>
  </si>
  <si>
    <t>401.199 · Admin Life and Disability Ins</t>
  </si>
  <si>
    <t>401.200 · Administration Allowances</t>
  </si>
  <si>
    <t>401.220 · Admin Operating Supplies</t>
  </si>
  <si>
    <t>401.231 · ADMIN VEHICLE GASOLINE</t>
  </si>
  <si>
    <t>401.235 · ADMIN VEHICLE REPAIRS &amp; MAINT.</t>
  </si>
  <si>
    <t>401.260 · Admin Minor Equipment</t>
  </si>
  <si>
    <t>401.420 · Admin Dues, Subscriptions &amp; Mem</t>
  </si>
  <si>
    <t>401.460 · Admin Meetings &amp; Training</t>
  </si>
  <si>
    <t>402.110 · Fin Admin Salaries &amp; Wages</t>
  </si>
  <si>
    <t>402.192 · Fin Admin SSI Taxes</t>
  </si>
  <si>
    <t>402.196 · Fin Admin Health Insurance</t>
  </si>
  <si>
    <t>402.198 · Fin Admin Non-Uni Pension Plan</t>
  </si>
  <si>
    <t>402.199 · Fin Admin Life &amp; Disability Ins</t>
  </si>
  <si>
    <t>402.310 · Fin Admin Professional Srvs</t>
  </si>
  <si>
    <t>403.110 · Tax Collection Salaries &amp; Wages</t>
  </si>
  <si>
    <t>403.192 · Tax Collection SSI Taxes</t>
  </si>
  <si>
    <t>403.199 · Tax Collection Bond Ins</t>
  </si>
  <si>
    <t>403.215 · Tax Collection Postage</t>
  </si>
  <si>
    <t>403.220 · Tax Collection Operating Supply</t>
  </si>
  <si>
    <t>403.310 · Tax Collection Professional Srv</t>
  </si>
  <si>
    <t>404.310 · Township Solicitor</t>
  </si>
  <si>
    <t>404.314 · Legal Services Special Counsel</t>
  </si>
  <si>
    <t>405.110 · Secretary Salaries &amp; Wages</t>
  </si>
  <si>
    <t>405.120 · Secretary OT</t>
  </si>
  <si>
    <t>405.179 · Secretary Longevity</t>
  </si>
  <si>
    <t>405.192 · Secretary SSI Taxes</t>
  </si>
  <si>
    <t>405.196 · Secretary Insurance</t>
  </si>
  <si>
    <t>405.198 · Secretary Non-Uni Pension Plan</t>
  </si>
  <si>
    <t>405.199 · Secretary Life &amp; Disability Ins</t>
  </si>
  <si>
    <t>406.215 · Gen Govt Postage</t>
  </si>
  <si>
    <t>406.220 · Gen Govt Operation Supplies</t>
  </si>
  <si>
    <t>406.310 · Gen Govt Professional Srvs</t>
  </si>
  <si>
    <t>406.320 · Gen Govt Communications</t>
  </si>
  <si>
    <t>406.340 · Gen Govt Advertising &amp; Printing</t>
  </si>
  <si>
    <t>406.374 · Gen Govt Office Equipment Maint</t>
  </si>
  <si>
    <t>406.384 · Gen Govt Equipment Leases</t>
  </si>
  <si>
    <t>406.540 · Gen. Gov Grants</t>
  </si>
  <si>
    <t>407.252 · Computer Parts &amp; Supplies</t>
  </si>
  <si>
    <t>407.260 · Technology Minor Equipment</t>
  </si>
  <si>
    <t>407.421 · Gen Gov. SAS Subscriptions</t>
  </si>
  <si>
    <t>407.450 · Contracted Services</t>
  </si>
  <si>
    <t>407.451 · GEN GOV IT CONTRACTED SERVICES</t>
  </si>
  <si>
    <t>408.310 · Township Engineer</t>
  </si>
  <si>
    <t>409.220 · Building Operating Supplies</t>
  </si>
  <si>
    <t>409.260 · New Building Maint Minor Equip.</t>
  </si>
  <si>
    <t>409.360 · Building Utilities</t>
  </si>
  <si>
    <t>409.361 · New Building Utilities &amp; Maint.</t>
  </si>
  <si>
    <t>409.373 · Building Maint &amp; Repairs</t>
  </si>
  <si>
    <t>409.374 · New Bld. Cntrct. Janitor Serv.</t>
  </si>
  <si>
    <t>409.450 · Building Contracted Services</t>
  </si>
  <si>
    <t>Total General Government</t>
  </si>
  <si>
    <t>Public Safety</t>
  </si>
  <si>
    <t>410.384 · POLICE EQUIPMENT LEASES</t>
  </si>
  <si>
    <t>410.120 · Police Salaries &amp; Wages-Admin</t>
  </si>
  <si>
    <t>410.130 · Police Salaries &amp; Wages-Officer</t>
  </si>
  <si>
    <t>410.140 · Police Salaries &amp; Wages-Civilia</t>
  </si>
  <si>
    <t>410.179 · Police Longevity Pay</t>
  </si>
  <si>
    <t>410.180 · Police Overtime Wages</t>
  </si>
  <si>
    <t>410.185 · Sick &amp; Vacation Buy Back</t>
  </si>
  <si>
    <t>410.187 · Police Overtime Civ Support</t>
  </si>
  <si>
    <t>410.191 · Uniform Allowance</t>
  </si>
  <si>
    <t>410.192 · Police SSI Taxes</t>
  </si>
  <si>
    <t>410.196 · Police Health Insurance</t>
  </si>
  <si>
    <t>410.197 · Police Pension Plan</t>
  </si>
  <si>
    <t>410.198 · Police Life &amp; Disability Ins</t>
  </si>
  <si>
    <t>410.199 · Police Non-Uniform Pension</t>
  </si>
  <si>
    <t>410.200 · Police 457 Contribution</t>
  </si>
  <si>
    <t>410.216 · Police Community Outreach</t>
  </si>
  <si>
    <t>410.220 · Police Operating Supplies</t>
  </si>
  <si>
    <t>410.221 · Crime Scene Supplies</t>
  </si>
  <si>
    <t>410.231 · Vehicle Fuel</t>
  </si>
  <si>
    <t>410.238 · Uniform Expense</t>
  </si>
  <si>
    <t>410.260 · Police Minor Equipment</t>
  </si>
  <si>
    <t>410.270 · Police IT</t>
  </si>
  <si>
    <t>410.310 · Police Professional Services</t>
  </si>
  <si>
    <t>410.314 · Civil Service Comm Solicitor</t>
  </si>
  <si>
    <t>410.317 · POLICE NEW HIRES EXP</t>
  </si>
  <si>
    <t>410.320 · Police Communications</t>
  </si>
  <si>
    <t>410.331 · Travel/Lodging</t>
  </si>
  <si>
    <t>410.341 · Police Advertising &amp; Printing</t>
  </si>
  <si>
    <t>410.373 · Police Maint &amp; Repair Bldg</t>
  </si>
  <si>
    <t>410.374 · Police Equipment Maint</t>
  </si>
  <si>
    <t>410.420 · Police Dues, Subscriptions</t>
  </si>
  <si>
    <t>410.421 · POLICE SaaS SUBSCRIPTIONS</t>
  </si>
  <si>
    <t>410.450 · Police Contracted Services</t>
  </si>
  <si>
    <t>410.451 · Police Vehicle Maintenance</t>
  </si>
  <si>
    <t>410.460 · Police Meetings &amp; Training</t>
  </si>
  <si>
    <t>411.232 · Fire Department Fuel</t>
  </si>
  <si>
    <t>411.540 · Foreign Fire Payments</t>
  </si>
  <si>
    <t>413.310 · Prof Services -BC Officer</t>
  </si>
  <si>
    <t>413.311 · Prof Services - SEO</t>
  </si>
  <si>
    <t>413.319 · Code Enforcement UCC Fees</t>
  </si>
  <si>
    <t>414.220 · Planning &amp; Zoning Supplies</t>
  </si>
  <si>
    <t>414.310 · Planning &amp; Zoning Prof Srvs</t>
  </si>
  <si>
    <t>414.313 · Planning &amp; Zoning Engineering</t>
  </si>
  <si>
    <t>414.314 · Planning &amp; Zoning Legal</t>
  </si>
  <si>
    <t>414.319 · MS4 Fees</t>
  </si>
  <si>
    <t>414.341 · Planning &amp; Zoning Advertising</t>
  </si>
  <si>
    <t>414.421 · Planning &amp; Zoning SaaS subs.</t>
  </si>
  <si>
    <t>415.220 · Emer Mgmt Operating Supplies</t>
  </si>
  <si>
    <t>415.364 · Emergency Management Operations</t>
  </si>
  <si>
    <t>415.431 · EMA GASOLINE</t>
  </si>
  <si>
    <t>415.434 · EMA VEHICLE MAINT.</t>
  </si>
  <si>
    <t>415.460 · Emer Mgmt Meetings &amp; Training</t>
  </si>
  <si>
    <t>Public Works - Other</t>
  </si>
  <si>
    <t>427.220 · Solid Waste Coll Supplies</t>
  </si>
  <si>
    <t>427.450 · Contracted Srvs - Clean-Up Days</t>
  </si>
  <si>
    <t>Total Public Works - Other</t>
  </si>
  <si>
    <t>PW-Hwys, Roads &amp; Streets</t>
  </si>
  <si>
    <t>430.110 · Public Works Salaries</t>
  </si>
  <si>
    <t>430.120 · Public Works OT Wages</t>
  </si>
  <si>
    <t>430.179 · PW Longevity</t>
  </si>
  <si>
    <t>430.192 · Public Works SSI Taxes</t>
  </si>
  <si>
    <t>430.196 · Public Works Insurance</t>
  </si>
  <si>
    <t>430.198 · Public Works N-U Pension</t>
  </si>
  <si>
    <t>430.199 · Public Works Life &amp; Disab Ins</t>
  </si>
  <si>
    <t>430.220 · Public Works Oper Supplies</t>
  </si>
  <si>
    <t>430.231 · Public Works Gasoline</t>
  </si>
  <si>
    <t>430.232 · Public Works Diesel</t>
  </si>
  <si>
    <t>430.238 · Public Works Uniforms</t>
  </si>
  <si>
    <t>430.242 · PW Safety Gear &amp; Equip</t>
  </si>
  <si>
    <t>430.260 · Public Works Minor Equip Purch</t>
  </si>
  <si>
    <t>430.261 · PW Shop Tools</t>
  </si>
  <si>
    <t>430.310 · Public Works Professional Srvs</t>
  </si>
  <si>
    <t>430.320 · Public Works Communications Exp</t>
  </si>
  <si>
    <t>430.341 · Public Works Advertising</t>
  </si>
  <si>
    <t>430.373 · Public Works Maint &amp; Rep Bldg</t>
  </si>
  <si>
    <t>430.376 · PW Equp. Maint. &amp; Supp.</t>
  </si>
  <si>
    <t>430.384 · Public Works Equip Rental</t>
  </si>
  <si>
    <t>430.420 · Public Works Dues, Subscription</t>
  </si>
  <si>
    <t>430.421 · PW SaaS SUBSCRIPTIONS</t>
  </si>
  <si>
    <t>430.450 · Public Works Contracted Srvs</t>
  </si>
  <si>
    <t>430.460 · Public Works Meetings &amp; Trainin</t>
  </si>
  <si>
    <t>432.220 · Snow &amp; Ice Rem Oper Supplies</t>
  </si>
  <si>
    <t>432.375 · Snow &amp; Ice Rem Equipment Maint</t>
  </si>
  <si>
    <t>432.450 · Snow &amp; Ice Rem Subcontractors</t>
  </si>
  <si>
    <t>433.220 · Traffic Signals &amp; Signs Supply</t>
  </si>
  <si>
    <t>433.360 · Traffic Signals &amp; Signs Utiliti</t>
  </si>
  <si>
    <t>433.450 · Traffic Signals Contracted Srvs</t>
  </si>
  <si>
    <t>438.220 · Road Maint Supplies</t>
  </si>
  <si>
    <t>438.613 · Vegetation Control</t>
  </si>
  <si>
    <t>Total PW-Hwys, Roads &amp; Streets</t>
  </si>
  <si>
    <t>Culture and Recreation</t>
  </si>
  <si>
    <t>452.390 · Recreation fees</t>
  </si>
  <si>
    <t>454.110 · Park Salary &amp; Wage</t>
  </si>
  <si>
    <t>454.192 · Park SSI</t>
  </si>
  <si>
    <t>454.220 · Park Operating Supplies</t>
  </si>
  <si>
    <t>454.231 · Park Vehicle Fuel</t>
  </si>
  <si>
    <t>454.238 · Park Uniforms</t>
  </si>
  <si>
    <t>454.260 · Park Minor Equipment</t>
  </si>
  <si>
    <t>454.320 · Park Communications</t>
  </si>
  <si>
    <t>454.340 · Park Advertising &amp; Printing</t>
  </si>
  <si>
    <t>454.360 · Park Utilities</t>
  </si>
  <si>
    <t>454.373 · Park Repairs &amp; Maintenance</t>
  </si>
  <si>
    <t>454.374 · Park Equipment Maintenance</t>
  </si>
  <si>
    <t>454.450 · Park Contracted Services</t>
  </si>
  <si>
    <t>454.452 · Park Program Expenditures</t>
  </si>
  <si>
    <t>454.460 · Park Meetings &amp; Training</t>
  </si>
  <si>
    <t>457.450 · Community Events</t>
  </si>
  <si>
    <t>457.540 · Community Day Celebration</t>
  </si>
  <si>
    <t>Total Culture and Recreation</t>
  </si>
  <si>
    <t>Debt Service</t>
  </si>
  <si>
    <t>471.100 · New Twp Complex Principal</t>
  </si>
  <si>
    <t>472.000 · NEW TWP COMPLEX LOAN INTEREST</t>
  </si>
  <si>
    <t>Total Debt Service</t>
  </si>
  <si>
    <t>Benefits and Withholding</t>
  </si>
  <si>
    <t>483.194 · Employer Pd Unemployment Comp</t>
  </si>
  <si>
    <t>483.195 · Employer Pd Worker's Comp</t>
  </si>
  <si>
    <t>483.200 · Federal Healthcare Tax</t>
  </si>
  <si>
    <t>Total Benefits and Withholding</t>
  </si>
  <si>
    <t>Insurance</t>
  </si>
  <si>
    <t>486.350 · Property &amp; Liability Insurance</t>
  </si>
  <si>
    <t>486.355 · Professional Bonds</t>
  </si>
  <si>
    <t>Total Insurance</t>
  </si>
  <si>
    <t>Other Expenses</t>
  </si>
  <si>
    <t>463.540 · TIF</t>
  </si>
  <si>
    <t>491.000 · Refund of Prior Year Revenues</t>
  </si>
  <si>
    <t>66900 · Reconciliation Discrepancies</t>
  </si>
  <si>
    <t>Total Other Expenses</t>
  </si>
  <si>
    <t>Misc Expenses</t>
  </si>
  <si>
    <t>489.100 · Miscellaneous Expenses</t>
  </si>
  <si>
    <t>Total Misc Expenses</t>
  </si>
  <si>
    <t>Interfund Transfers Out</t>
  </si>
  <si>
    <t>492.300 · Interfund Transfer to Cap Fund</t>
  </si>
  <si>
    <t>COMMITTED FUND TRANSFER</t>
  </si>
  <si>
    <t>UNCOMMITED FUNDS TRANSFER</t>
  </si>
  <si>
    <t>492.300 · Interfund Transfer to Cap Fund - Other</t>
  </si>
  <si>
    <t>Total 492.300 · Interfund Transfer to Cap Fund</t>
  </si>
  <si>
    <t>Total Interfund Transfers Out</t>
  </si>
  <si>
    <t>Total Expense</t>
  </si>
  <si>
    <t>Net Income</t>
  </si>
  <si>
    <t>2025 PROPOSED  Budget</t>
  </si>
  <si>
    <t>SEC 1</t>
  </si>
  <si>
    <t>SEC 2</t>
  </si>
  <si>
    <t>LIC. (2)</t>
  </si>
  <si>
    <t xml:space="preserve"> </t>
  </si>
  <si>
    <t>6 MONTHS</t>
  </si>
  <si>
    <t>PW New hire</t>
  </si>
  <si>
    <t>Licenses (7@.5 each)</t>
  </si>
  <si>
    <t>COMMITED FOR DEBT SERVICE</t>
  </si>
  <si>
    <t>$ Difference</t>
  </si>
  <si>
    <t>% Difference</t>
  </si>
  <si>
    <t xml:space="preserve">PW UNION </t>
  </si>
  <si>
    <t>Park  OT Wages</t>
  </si>
  <si>
    <t>Park Insurance</t>
  </si>
  <si>
    <t>Park  N-U Pension</t>
  </si>
  <si>
    <t>Park Life &amp; Disab Ins</t>
  </si>
  <si>
    <t>PARK MAINT FULL TIME (=PW CONTRACT))</t>
  </si>
  <si>
    <t>32 hrs/35 weeks (3/1/2025-10/31/2025)</t>
  </si>
  <si>
    <t>Park Maint lead @19</t>
  </si>
  <si>
    <t>Park Maint  crew 1@18</t>
  </si>
  <si>
    <t>Park Maint  crew 2 @18</t>
  </si>
  <si>
    <t>Park Maint  crew 3@18</t>
  </si>
  <si>
    <t>Park Maint  crew 4@18</t>
  </si>
  <si>
    <t>Park Maint  crew 5@18</t>
  </si>
  <si>
    <t>Park Parking 1@15</t>
  </si>
  <si>
    <t>Park Parking 2@15</t>
  </si>
  <si>
    <t>Park Parking 3@15</t>
  </si>
  <si>
    <t>Park Parking 4@15</t>
  </si>
  <si>
    <t>18 hrs/4 days/16 weeks (Memorial - Labor day)</t>
  </si>
  <si>
    <t>Budget adj needed to reflect 2025 fund raiser</t>
  </si>
  <si>
    <t>410.222 · Firearms/Ammunition/Field Materials</t>
  </si>
  <si>
    <t>TOTAL POLICE</t>
  </si>
  <si>
    <t>Other Public Safety</t>
  </si>
  <si>
    <t>NO NEW HIRES 2025</t>
  </si>
  <si>
    <t>From ARPA budget</t>
  </si>
  <si>
    <t>MIDNIGHT SHIFT DIFFERENTIAL</t>
  </si>
  <si>
    <t>Additional budgeted officer removed</t>
  </si>
  <si>
    <t>Differential caused by Swiftwater solar permit</t>
  </si>
  <si>
    <t>Total Other Public Safety</t>
  </si>
  <si>
    <t>TOTAL PUBLIC SAFETY</t>
  </si>
  <si>
    <t>26.07/28.97</t>
  </si>
  <si>
    <t>23.18/26.07</t>
  </si>
  <si>
    <t>MOU for additional $2 foreman and $1 assistant foreman</t>
  </si>
  <si>
    <t>2025 OPERATIONS</t>
  </si>
  <si>
    <t>Operational Reserve @ 20%</t>
  </si>
  <si>
    <t>2025 use of fund balance</t>
  </si>
  <si>
    <t>Uncommitted to Capital</t>
  </si>
  <si>
    <t>Uncommited to Operations</t>
  </si>
  <si>
    <t>Committed Open Spaces</t>
  </si>
  <si>
    <t>COMMITTED NEW BUILDING</t>
  </si>
  <si>
    <t>Total Commited New Building</t>
  </si>
  <si>
    <t>UNCOMMITED FUND BALANCE 8/30/2024</t>
  </si>
  <si>
    <t>Estimated remainng revenue 2024</t>
  </si>
  <si>
    <t>Estimated remaining expenses 2024</t>
  </si>
  <si>
    <t>Estimated Uncommitted Fund Balance 12/31/2024</t>
  </si>
  <si>
    <t>Assigned Operating Reserve @ 20%</t>
  </si>
  <si>
    <t>Use of fund balance operations</t>
  </si>
  <si>
    <t>Transfer to Cap Reserve Uncommited</t>
  </si>
  <si>
    <t>Total Uncommited Available 2025</t>
  </si>
  <si>
    <t>Commited Open space to Capital</t>
  </si>
  <si>
    <t>TOTAL COMMITED FUND BALANCE 2024</t>
  </si>
  <si>
    <t>Total Estimated Uncommited 12/31/2025</t>
  </si>
  <si>
    <t>COMMITED</t>
  </si>
  <si>
    <t>UNCOMMITED</t>
  </si>
  <si>
    <t>UNCOMMITED 2025</t>
  </si>
  <si>
    <t>COMMITED 2025</t>
  </si>
  <si>
    <t>Commited available 2025</t>
  </si>
  <si>
    <t>Total Avaliable Commited 2025</t>
  </si>
  <si>
    <t>Transfer to Capital Fund</t>
  </si>
  <si>
    <t>Total Estimated Commited 12/31/2025</t>
  </si>
  <si>
    <t>Total Estimated Committed 12/31/2025</t>
  </si>
  <si>
    <t>Operating reserve</t>
  </si>
  <si>
    <t>Transfer to cap</t>
  </si>
  <si>
    <t>Use of fund balance</t>
  </si>
  <si>
    <t>2025 Revenue</t>
  </si>
  <si>
    <t>2025 Operational Expense</t>
  </si>
  <si>
    <t>FUND BALANCE WORKSHEET</t>
  </si>
  <si>
    <t>2025 Operational Expenses</t>
  </si>
  <si>
    <t>2025 Revenue net of use of fund balance</t>
  </si>
  <si>
    <t>2025 operations net of debt service</t>
  </si>
  <si>
    <t>Stop the bleed, CPR, AED trainings, ICMA, PSATS</t>
  </si>
  <si>
    <t>Additional subscriptions, complaint tracking software &amp; adobe</t>
  </si>
  <si>
    <t>Adobe licensing</t>
  </si>
  <si>
    <t xml:space="preserve">New ADMIN </t>
  </si>
  <si>
    <t xml:space="preserve">Full-Time </t>
  </si>
  <si>
    <t>NEW ADMIN (FAM)</t>
  </si>
  <si>
    <t>LIC. (1)</t>
  </si>
  <si>
    <t>Chief</t>
  </si>
  <si>
    <t>Seargeant of Detectives</t>
  </si>
  <si>
    <t>Detective</t>
  </si>
  <si>
    <t>Patrolman</t>
  </si>
  <si>
    <t>Sergeant</t>
  </si>
  <si>
    <t>Corporal</t>
  </si>
  <si>
    <t>Patrolman (Gupko)</t>
  </si>
  <si>
    <t xml:space="preserve">No increase </t>
  </si>
  <si>
    <t>PW Assistant Manager (90 % gf 10% sewer)</t>
  </si>
  <si>
    <t>PW director</t>
  </si>
  <si>
    <t>Foreman</t>
  </si>
  <si>
    <t>Assistant foreman</t>
  </si>
  <si>
    <t>Road crew</t>
  </si>
  <si>
    <t>PW part time</t>
  </si>
  <si>
    <t>$14,753.43 *12+ 6600</t>
  </si>
  <si>
    <t>Monthly fee minus use of sewer truck + 10% PW assistant manager hrs</t>
  </si>
  <si>
    <t>Estimated Fund balance 12-31-2024</t>
  </si>
  <si>
    <t>FUND BALANCE RECONCILIATION</t>
  </si>
  <si>
    <t>FUND BALANCE CALCULATIONS</t>
  </si>
  <si>
    <t>Debt service</t>
  </si>
  <si>
    <t>OPERATIONAL RESERVE CALCUALTION</t>
  </si>
  <si>
    <t>Estimated Unencumbered Fund balance 12-31-2025</t>
  </si>
  <si>
    <t>Estimated Fund Balance 12-31-2025</t>
  </si>
  <si>
    <t>Estimated Unencumbered Fund Balance 12/31/2025</t>
  </si>
  <si>
    <t>Estimated Total Fund Balance 12/31/2025</t>
  </si>
  <si>
    <t>Operational Reserve</t>
  </si>
  <si>
    <t>As of 8/30/2024/</t>
  </si>
  <si>
    <t>FUND BALANCE 11/14/2024</t>
  </si>
  <si>
    <t>389-500 Miscellaneous Reimbursements</t>
  </si>
  <si>
    <t>430-451 Vehicle Maintenance</t>
  </si>
  <si>
    <t>401-181 Hazard Pay</t>
  </si>
  <si>
    <t>PW Director</t>
  </si>
  <si>
    <t>PW Asst Mgr</t>
  </si>
  <si>
    <t>check</t>
  </si>
  <si>
    <t>var</t>
  </si>
  <si>
    <t xml:space="preserve">  </t>
  </si>
  <si>
    <t xml:space="preserve">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</si>
</sst>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#,##0.00;\-#,##0.00"/>
    <numFmt numFmtId="165" formatCode="#,##0.0#%;\-#,##0.0#%"/>
    <numFmt numFmtId="166" formatCode="#,##0.000000_);\(#,##0.000000\)"/>
    <numFmt numFmtId="167" formatCode="#,##0.00000_);\(#,##0.00000\)"/>
    <numFmt numFmtId="168" formatCode="#,##0.0_);\(#,##0.0\)"/>
    <numFmt numFmtId="170" formatCode="#,##0;\-#,##0"/>
  </numFmts>
  <fonts count="12" x14ac:knownFonts="1">
    <font>
      <sz val="11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0"/>
      <name val="Arial"/>
      <family val="2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0000"/>
      <name val="Arial"/>
      <family val="2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0" fontId="3" fillId="0" borderId="0"/>
    <xf numFmtId="43" fontId="8" fillId="0" borderId="0" applyFont="0" applyFill="0" applyBorder="0" applyAlignment="0" applyProtection="0"/>
    <xf numFmtId="0" fontId="11" fillId="0" borderId="0"/>
  </cellStyleXfs>
  <cellXfs count="64">
    <xf numFmtId="0" fontId="0" fillId="0" borderId="0" xfId="0"/>
    <xf numFmtId="49" fontId="0" fillId="0" borderId="0" xfId="0" applyNumberFormat="1"/>
    <xf numFmtId="49" fontId="1" fillId="0" borderId="0" xfId="0" applyNumberFormat="1" applyFont="1"/>
    <xf numFmtId="49" fontId="0" fillId="0" borderId="1" xfId="0" applyNumberFormat="1" applyBorder="1" applyAlignment="1">
      <alignment horizontal="centerContinuous"/>
    </xf>
    <xf numFmtId="49" fontId="0" fillId="0" borderId="0" xfId="0" applyNumberFormat="1" applyAlignment="1">
      <alignment horizontal="centerContinuous"/>
    </xf>
    <xf numFmtId="164" fontId="2" fillId="0" borderId="0" xfId="0" applyNumberFormat="1" applyFont="1"/>
    <xf numFmtId="49" fontId="2" fillId="0" borderId="0" xfId="0" applyNumberFormat="1" applyFont="1"/>
    <xf numFmtId="165" fontId="2" fillId="0" borderId="0" xfId="0" applyNumberFormat="1" applyFont="1"/>
    <xf numFmtId="164" fontId="2" fillId="0" borderId="3" xfId="0" applyNumberFormat="1" applyFont="1" applyBorder="1"/>
    <xf numFmtId="165" fontId="2" fillId="0" borderId="3" xfId="0" applyNumberFormat="1" applyFont="1" applyBorder="1"/>
    <xf numFmtId="164" fontId="2" fillId="0" borderId="4" xfId="0" applyNumberFormat="1" applyFont="1" applyBorder="1"/>
    <xf numFmtId="165" fontId="2" fillId="0" borderId="4" xfId="0" applyNumberFormat="1" applyFont="1" applyBorder="1"/>
    <xf numFmtId="164" fontId="2" fillId="0" borderId="5" xfId="0" applyNumberFormat="1" applyFont="1" applyBorder="1"/>
    <xf numFmtId="165" fontId="2" fillId="0" borderId="5" xfId="0" applyNumberFormat="1" applyFont="1" applyBorder="1"/>
    <xf numFmtId="164" fontId="1" fillId="0" borderId="6" xfId="0" applyNumberFormat="1" applyFont="1" applyBorder="1"/>
    <xf numFmtId="165" fontId="1" fillId="0" borderId="6" xfId="0" applyNumberFormat="1" applyFont="1" applyBorder="1"/>
    <xf numFmtId="0" fontId="1" fillId="0" borderId="0" xfId="0" applyFont="1"/>
    <xf numFmtId="49" fontId="1" fillId="0" borderId="0" xfId="0" applyNumberFormat="1" applyFont="1" applyAlignment="1">
      <alignment horizontal="center"/>
    </xf>
    <xf numFmtId="49" fontId="1" fillId="0" borderId="2" xfId="0" applyNumberFormat="1" applyFont="1" applyBorder="1" applyAlignment="1">
      <alignment horizontal="center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64" fontId="2" fillId="0" borderId="0" xfId="0" quotePrefix="1" applyNumberFormat="1" applyFont="1"/>
    <xf numFmtId="49" fontId="1" fillId="2" borderId="2" xfId="0" applyNumberFormat="1" applyFont="1" applyFill="1" applyBorder="1" applyAlignment="1">
      <alignment horizontal="center" wrapText="1"/>
    </xf>
    <xf numFmtId="164" fontId="2" fillId="2" borderId="0" xfId="0" applyNumberFormat="1" applyFont="1" applyFill="1"/>
    <xf numFmtId="164" fontId="2" fillId="2" borderId="3" xfId="0" applyNumberFormat="1" applyFont="1" applyFill="1" applyBorder="1"/>
    <xf numFmtId="164" fontId="2" fillId="2" borderId="4" xfId="0" applyNumberFormat="1" applyFont="1" applyFill="1" applyBorder="1"/>
    <xf numFmtId="164" fontId="2" fillId="2" borderId="5" xfId="0" applyNumberFormat="1" applyFont="1" applyFill="1" applyBorder="1"/>
    <xf numFmtId="164" fontId="1" fillId="2" borderId="6" xfId="0" applyNumberFormat="1" applyFont="1" applyFill="1" applyBorder="1"/>
    <xf numFmtId="165" fontId="1" fillId="0" borderId="0" xfId="0" applyNumberFormat="1" applyFont="1"/>
    <xf numFmtId="49" fontId="2" fillId="0" borderId="0" xfId="0" applyNumberFormat="1" applyFont="1" applyAlignment="1">
      <alignment horizontal="right"/>
    </xf>
    <xf numFmtId="49" fontId="2" fillId="2" borderId="0" xfId="0" applyNumberFormat="1" applyFont="1" applyFill="1" applyAlignment="1">
      <alignment horizontal="right"/>
    </xf>
    <xf numFmtId="9" fontId="0" fillId="0" borderId="0" xfId="0" applyNumberFormat="1"/>
    <xf numFmtId="165" fontId="2" fillId="0" borderId="0" xfId="0" applyNumberFormat="1" applyFont="1" applyAlignment="1">
      <alignment horizontal="right"/>
    </xf>
    <xf numFmtId="164" fontId="2" fillId="0" borderId="0" xfId="0" applyNumberFormat="1" applyFont="1" applyAlignment="1">
      <alignment horizontal="right"/>
    </xf>
    <xf numFmtId="49" fontId="1" fillId="2" borderId="0" xfId="0" applyNumberFormat="1" applyFont="1" applyFill="1"/>
    <xf numFmtId="165" fontId="2" fillId="2" borderId="0" xfId="0" applyNumberFormat="1" applyFont="1" applyFill="1"/>
    <xf numFmtId="165" fontId="2" fillId="2" borderId="0" xfId="0" applyNumberFormat="1" applyFont="1" applyFill="1" applyAlignment="1">
      <alignment horizontal="right"/>
    </xf>
    <xf numFmtId="0" fontId="0" fillId="0" borderId="0" xfId="0" applyAlignment="1">
      <alignment horizontal="right"/>
    </xf>
    <xf numFmtId="164" fontId="0" fillId="0" borderId="0" xfId="0" applyNumberFormat="1"/>
    <xf numFmtId="164" fontId="2" fillId="0" borderId="8" xfId="0" applyNumberFormat="1" applyFont="1" applyBorder="1"/>
    <xf numFmtId="166" fontId="0" fillId="0" borderId="0" xfId="0" applyNumberFormat="1"/>
    <xf numFmtId="164" fontId="2" fillId="0" borderId="9" xfId="0" applyNumberFormat="1" applyFont="1" applyBorder="1"/>
    <xf numFmtId="164" fontId="2" fillId="0" borderId="10" xfId="0" applyNumberFormat="1" applyFont="1" applyBorder="1"/>
    <xf numFmtId="0" fontId="2" fillId="0" borderId="0" xfId="0" applyFont="1"/>
    <xf numFmtId="0" fontId="5" fillId="0" borderId="0" xfId="0" applyFont="1"/>
    <xf numFmtId="164" fontId="1" fillId="0" borderId="8" xfId="0" applyNumberFormat="1" applyFont="1" applyBorder="1"/>
    <xf numFmtId="0" fontId="2" fillId="0" borderId="0" xfId="0" applyFont="1" applyAlignment="1">
      <alignment horizontal="right"/>
    </xf>
    <xf numFmtId="0" fontId="6" fillId="0" borderId="0" xfId="0" applyFont="1" applyAlignment="1">
      <alignment horizontal="centerContinuous"/>
    </xf>
    <xf numFmtId="0" fontId="7" fillId="0" borderId="0" xfId="0" applyFont="1" applyAlignment="1">
      <alignment horizontal="centerContinuous"/>
    </xf>
    <xf numFmtId="167" fontId="0" fillId="0" borderId="0" xfId="0" applyNumberFormat="1"/>
    <xf numFmtId="164" fontId="2" fillId="0" borderId="7" xfId="0" applyNumberFormat="1" applyFont="1" applyBorder="1"/>
    <xf numFmtId="43" fontId="2" fillId="0" borderId="0" xfId="2" applyFont="1"/>
    <xf numFmtId="168" fontId="0" fillId="0" borderId="0" xfId="0" applyNumberFormat="1"/>
    <xf numFmtId="164" fontId="1" fillId="0" borderId="11" xfId="0" applyNumberFormat="1" applyFont="1" applyBorder="1"/>
    <xf numFmtId="0" fontId="9" fillId="0" borderId="0" xfId="0" applyFont="1"/>
    <xf numFmtId="0" fontId="10" fillId="0" borderId="7" xfId="0" applyFont="1" applyBorder="1" applyAlignment="1">
      <alignment horizontal="right"/>
    </xf>
    <xf numFmtId="0" fontId="10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39" fontId="0" fillId="0" borderId="0" xfId="0" applyNumberFormat="1"/>
    <xf numFmtId="170" fontId="0" fillId="0" borderId="0" xfId="0" applyNumberFormat="1"/>
    <xf numFmtId="37" fontId="0" fillId="0" borderId="0" xfId="0" applyNumberFormat="1"/>
    <xf numFmtId="43" fontId="0" fillId="0" borderId="0" xfId="2" applyFont="1"/>
    <xf numFmtId="43" fontId="1" fillId="0" borderId="0" xfId="2" applyFont="1"/>
    <xf numFmtId="43" fontId="0" fillId="0" borderId="0" xfId="0" applyNumberFormat="1"/>
  </cellXfs>
  <cellStyles count="4">
    <cellStyle name="Comma" xfId="2" builtinId="3"/>
    <cellStyle name="Normal" xfId="0" builtinId="0"/>
    <cellStyle name="Normal 2" xfId="1" xr:uid="{B15D6F44-805D-40EB-B0DA-A5F8808A1EE5}"/>
    <cellStyle name="Normal 3" xfId="3" xr:uid="{BB82CC16-8E07-474D-8772-C00D600EA7C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heetMetadata" Target="metadata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Sheet1!$X$348:$X$349</c:f>
              <c:numCache>
                <c:formatCode>#,##0.00;\-#,##0.00</c:formatCode>
                <c:ptCount val="2"/>
                <c:pt idx="0">
                  <c:v>50000</c:v>
                </c:pt>
                <c:pt idx="1">
                  <c:v>393358.07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A2-498A-AF5B-D159CA36E6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13091120"/>
        <c:axId val="1913085360"/>
      </c:barChart>
      <c:catAx>
        <c:axId val="191309112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13085360"/>
        <c:crosses val="autoZero"/>
        <c:auto val="1"/>
        <c:lblAlgn val="ctr"/>
        <c:lblOffset val="100"/>
        <c:noMultiLvlLbl val="0"/>
      </c:catAx>
      <c:valAx>
        <c:axId val="19130853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;\-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130911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3284379-6ACF-4787-91ED-0138E7740BBD}">
  <sheetPr/>
  <sheetViews>
    <sheetView zoomScale="86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10787616" cy="7852587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8529261-7590-045C-31B0-DB74839965EC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4</xdr:col>
          <xdr:colOff>114300</xdr:colOff>
          <xdr:row>1</xdr:row>
          <xdr:rowOff>19050</xdr:rowOff>
        </xdr:to>
        <xdr:sp macro="" textlink="">
          <xdr:nvSpPr>
            <xdr:cNvPr id="1025" name="FILTER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4</xdr:col>
          <xdr:colOff>114300</xdr:colOff>
          <xdr:row>1</xdr:row>
          <xdr:rowOff>19050</xdr:rowOff>
        </xdr:to>
        <xdr:sp macro="" textlink="">
          <xdr:nvSpPr>
            <xdr:cNvPr id="1026" name="HEADER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5F313A-3ECF-4615-97A8-E1CC668C8426}">
  <sheetPr codeName="Sheet1">
    <pageSetUpPr fitToPage="1"/>
  </sheetPr>
  <dimension ref="A1:AI395"/>
  <sheetViews>
    <sheetView tabSelected="1" topLeftCell="A344" zoomScale="98" zoomScaleNormal="98" workbookViewId="0">
      <selection activeCell="X375" sqref="X375"/>
    </sheetView>
  </sheetViews>
  <sheetFormatPr defaultRowHeight="14.4" x14ac:dyDescent="0.3"/>
  <cols>
    <col min="1" max="5" width="3" style="16" customWidth="1"/>
    <col min="6" max="6" width="39.109375" style="16" customWidth="1"/>
    <col min="7" max="7" width="2.33203125" customWidth="1"/>
    <col min="8" max="8" width="14.109375" customWidth="1"/>
    <col min="9" max="9" width="2.33203125" customWidth="1"/>
    <col min="10" max="10" width="14" customWidth="1"/>
    <col min="11" max="11" width="2.88671875" customWidth="1"/>
    <col min="12" max="12" width="13.44140625" customWidth="1"/>
    <col min="13" max="13" width="2.33203125" customWidth="1"/>
    <col min="14" max="14" width="10.88671875" bestFit="1" customWidth="1"/>
    <col min="15" max="15" width="2.33203125" customWidth="1"/>
    <col min="16" max="16" width="12" bestFit="1" customWidth="1"/>
    <col min="17" max="17" width="2.33203125" customWidth="1"/>
    <col min="18" max="18" width="10.33203125" bestFit="1" customWidth="1"/>
    <col min="19" max="19" width="12" hidden="1" customWidth="1"/>
    <col min="20" max="20" width="32.109375" hidden="1" customWidth="1"/>
    <col min="21" max="21" width="16" hidden="1" customWidth="1"/>
    <col min="22" max="22" width="15.6640625" bestFit="1" customWidth="1"/>
    <col min="23" max="23" width="10.33203125" customWidth="1"/>
    <col min="24" max="24" width="15.109375" bestFit="1" customWidth="1"/>
    <col min="25" max="25" width="2.33203125" customWidth="1"/>
    <col min="26" max="26" width="14.33203125" bestFit="1" customWidth="1"/>
    <col min="27" max="27" width="2.33203125" customWidth="1"/>
    <col min="28" max="28" width="10.33203125" bestFit="1" customWidth="1"/>
    <col min="29" max="29" width="15.21875" bestFit="1" customWidth="1"/>
    <col min="30" max="30" width="13.77734375" bestFit="1" customWidth="1"/>
    <col min="31" max="31" width="13.33203125" bestFit="1" customWidth="1"/>
    <col min="33" max="34" width="13.88671875" bestFit="1" customWidth="1"/>
  </cols>
  <sheetData>
    <row r="1" spans="1:30" ht="15" thickBot="1" x14ac:dyDescent="0.35">
      <c r="A1" s="2"/>
      <c r="B1" s="2"/>
      <c r="C1" s="2"/>
      <c r="D1" s="2"/>
      <c r="E1" s="2"/>
      <c r="F1" s="2"/>
      <c r="G1" s="3"/>
      <c r="H1" s="4"/>
      <c r="I1" s="1"/>
      <c r="L1" s="1" t="s">
        <v>399</v>
      </c>
      <c r="M1" s="3"/>
      <c r="N1" s="4"/>
      <c r="O1" s="3"/>
      <c r="P1" s="4"/>
      <c r="Q1" s="3"/>
      <c r="R1" s="4"/>
      <c r="S1" s="4"/>
      <c r="T1" s="4"/>
      <c r="U1" s="4"/>
      <c r="V1" s="4"/>
      <c r="W1" s="4"/>
      <c r="X1" s="4"/>
      <c r="Y1" s="3"/>
      <c r="Z1" s="4"/>
      <c r="AA1" s="3"/>
      <c r="AB1" s="4"/>
    </row>
    <row r="2" spans="1:30" s="20" customFormat="1" ht="22.8" thickTop="1" thickBot="1" x14ac:dyDescent="0.35">
      <c r="A2" s="17"/>
      <c r="B2" s="17"/>
      <c r="C2" s="17"/>
      <c r="D2" s="17"/>
      <c r="E2" s="17"/>
      <c r="F2" s="17"/>
      <c r="G2" s="19"/>
      <c r="H2" s="18" t="s">
        <v>3</v>
      </c>
      <c r="I2" s="19"/>
      <c r="J2" s="18" t="s">
        <v>4</v>
      </c>
      <c r="K2" s="19"/>
      <c r="L2" s="18" t="s">
        <v>5</v>
      </c>
      <c r="M2" s="19"/>
      <c r="N2" s="18" t="s">
        <v>0</v>
      </c>
      <c r="O2" s="19"/>
      <c r="P2" s="18" t="s">
        <v>1</v>
      </c>
      <c r="Q2" s="19"/>
      <c r="R2" s="18" t="s">
        <v>2</v>
      </c>
      <c r="S2" s="18"/>
      <c r="T2" s="17"/>
      <c r="U2" s="17"/>
      <c r="V2" s="17"/>
      <c r="W2" s="17"/>
      <c r="X2" s="22" t="s">
        <v>286</v>
      </c>
      <c r="Y2" s="19"/>
      <c r="Z2" s="18" t="s">
        <v>295</v>
      </c>
      <c r="AA2" s="19"/>
      <c r="AB2" s="18" t="s">
        <v>296</v>
      </c>
    </row>
    <row r="3" spans="1:30" ht="15" thickTop="1" x14ac:dyDescent="0.3">
      <c r="A3" s="2"/>
      <c r="B3" s="2"/>
      <c r="C3" s="2" t="s">
        <v>6</v>
      </c>
      <c r="D3" s="2"/>
      <c r="E3" s="2"/>
      <c r="F3" s="2"/>
      <c r="G3" s="6"/>
      <c r="H3" s="5"/>
      <c r="I3" s="6"/>
      <c r="J3" s="5"/>
      <c r="K3" s="6"/>
      <c r="L3" s="5"/>
      <c r="M3" s="6"/>
      <c r="N3" s="5"/>
      <c r="O3" s="6"/>
      <c r="P3" s="5"/>
      <c r="Q3" s="6"/>
      <c r="R3" s="7"/>
      <c r="S3" s="5"/>
      <c r="T3" s="7"/>
      <c r="U3" s="7"/>
      <c r="V3" s="7"/>
      <c r="W3" s="7"/>
      <c r="X3" s="23"/>
      <c r="Y3" s="6"/>
      <c r="Z3" s="5"/>
      <c r="AA3" s="6"/>
      <c r="AB3" s="7"/>
    </row>
    <row r="4" spans="1:30" x14ac:dyDescent="0.3">
      <c r="A4" s="2"/>
      <c r="B4" s="2"/>
      <c r="C4" s="2"/>
      <c r="D4" s="2" t="s">
        <v>7</v>
      </c>
      <c r="E4" s="2"/>
      <c r="F4" s="2"/>
      <c r="G4" s="6"/>
      <c r="H4" s="5">
        <v>3205128.28</v>
      </c>
      <c r="I4" s="6"/>
      <c r="J4" s="5">
        <v>4511347.6900000004</v>
      </c>
      <c r="K4" s="6"/>
      <c r="L4" s="5">
        <v>4610984.45</v>
      </c>
      <c r="M4" s="6"/>
      <c r="N4" s="5">
        <v>4599009.34</v>
      </c>
      <c r="O4" s="6"/>
      <c r="P4" s="5">
        <f>ROUND((L4-N4),5)</f>
        <v>11975.11</v>
      </c>
      <c r="Q4" s="6"/>
      <c r="R4" s="7">
        <f>ROUND(IF(N4=0, IF(L4=0, 0, 1), L4/N4),5)</f>
        <v>1.0025999999999999</v>
      </c>
      <c r="S4" s="5">
        <f>P4*-1</f>
        <v>-11975.11</v>
      </c>
      <c r="T4" s="7"/>
      <c r="U4" s="7"/>
      <c r="V4" s="7"/>
      <c r="W4" s="7"/>
      <c r="X4" s="23">
        <v>4599009.34</v>
      </c>
      <c r="Y4" s="6"/>
      <c r="Z4" s="5">
        <f>X4-N4</f>
        <v>0</v>
      </c>
      <c r="AA4" s="6"/>
      <c r="AB4" s="7">
        <f>Z4/N4</f>
        <v>0</v>
      </c>
      <c r="AC4" s="38"/>
    </row>
    <row r="5" spans="1:30" x14ac:dyDescent="0.3">
      <c r="A5" s="2"/>
      <c r="B5" s="2"/>
      <c r="C5" s="2"/>
      <c r="D5" s="2" t="s">
        <v>8</v>
      </c>
      <c r="E5" s="2"/>
      <c r="F5" s="2"/>
      <c r="G5" s="6"/>
      <c r="H5" s="5">
        <v>764546.15</v>
      </c>
      <c r="I5" s="6"/>
      <c r="J5" s="5">
        <v>833160.38</v>
      </c>
      <c r="K5" s="6"/>
      <c r="L5" s="5">
        <v>734134.16</v>
      </c>
      <c r="M5" s="6"/>
      <c r="N5" s="5">
        <v>800000</v>
      </c>
      <c r="O5" s="6"/>
      <c r="P5" s="5">
        <f>ROUND((L5-N5),5)</f>
        <v>-65865.84</v>
      </c>
      <c r="Q5" s="6"/>
      <c r="R5" s="7">
        <f>ROUND(IF(N5=0, IF(L5=0, 0, 1), L5/N5),5)</f>
        <v>0.91766999999999999</v>
      </c>
      <c r="S5" s="5">
        <f t="shared" ref="S5:S6" si="0">P5*-1</f>
        <v>65865.84</v>
      </c>
      <c r="T5" s="7"/>
      <c r="U5" s="7"/>
      <c r="V5" s="7"/>
      <c r="W5" s="7"/>
      <c r="X5" s="23">
        <v>800000</v>
      </c>
      <c r="Y5" s="6"/>
      <c r="Z5" s="5">
        <f>X5-N5</f>
        <v>0</v>
      </c>
      <c r="AA5" s="6"/>
      <c r="AB5" s="7">
        <f>Z5/N5</f>
        <v>0</v>
      </c>
      <c r="AC5" s="38"/>
    </row>
    <row r="6" spans="1:30" x14ac:dyDescent="0.3">
      <c r="A6" s="2"/>
      <c r="B6" s="2"/>
      <c r="C6" s="2"/>
      <c r="D6" s="2" t="s">
        <v>9</v>
      </c>
      <c r="E6" s="2"/>
      <c r="F6" s="2"/>
      <c r="G6" s="6"/>
      <c r="H6" s="5">
        <v>1866644.68</v>
      </c>
      <c r="I6" s="6"/>
      <c r="J6" s="5">
        <v>1887818.56</v>
      </c>
      <c r="K6" s="6"/>
      <c r="L6" s="5">
        <v>1508636.17</v>
      </c>
      <c r="M6" s="6"/>
      <c r="N6" s="5">
        <v>1600000</v>
      </c>
      <c r="O6" s="6"/>
      <c r="P6" s="5">
        <f>ROUND((L6-N6),5)</f>
        <v>-91363.83</v>
      </c>
      <c r="Q6" s="6"/>
      <c r="R6" s="7">
        <f>ROUND(IF(N6=0, IF(L6=0, 0, 1), L6/N6),5)</f>
        <v>0.94289999999999996</v>
      </c>
      <c r="S6" s="5">
        <f t="shared" si="0"/>
        <v>91363.83</v>
      </c>
      <c r="T6" s="7"/>
      <c r="U6" s="7"/>
      <c r="V6" s="7"/>
      <c r="W6" s="7"/>
      <c r="X6" s="23">
        <v>1700000</v>
      </c>
      <c r="Y6" s="6"/>
      <c r="Z6" s="5">
        <f>X6-N6</f>
        <v>100000</v>
      </c>
      <c r="AA6" s="6"/>
      <c r="AB6" s="7">
        <f>Z6/N6</f>
        <v>6.25E-2</v>
      </c>
      <c r="AC6" s="38"/>
    </row>
    <row r="7" spans="1:30" x14ac:dyDescent="0.3">
      <c r="A7" s="2"/>
      <c r="B7" s="2"/>
      <c r="C7" s="2"/>
      <c r="D7" s="2" t="s">
        <v>10</v>
      </c>
      <c r="E7" s="2"/>
      <c r="F7" s="2"/>
      <c r="G7" s="6"/>
      <c r="H7" s="5"/>
      <c r="I7" s="6"/>
      <c r="J7" s="5"/>
      <c r="K7" s="6"/>
      <c r="L7" s="5"/>
      <c r="M7" s="6"/>
      <c r="N7" s="5"/>
      <c r="O7" s="6"/>
      <c r="P7" s="5"/>
      <c r="Q7" s="6"/>
      <c r="R7" s="7"/>
      <c r="S7" s="5"/>
      <c r="T7" s="7"/>
      <c r="U7" s="7"/>
      <c r="V7" s="7"/>
      <c r="W7" s="7"/>
      <c r="X7" s="23"/>
      <c r="Y7" s="6"/>
      <c r="Z7" s="5"/>
      <c r="AA7" s="6"/>
      <c r="AB7" s="7"/>
    </row>
    <row r="8" spans="1:30" x14ac:dyDescent="0.3">
      <c r="A8" s="2"/>
      <c r="B8" s="2"/>
      <c r="C8" s="2"/>
      <c r="D8" s="2"/>
      <c r="E8" s="2" t="s">
        <v>11</v>
      </c>
      <c r="F8" s="2"/>
      <c r="G8" s="6"/>
      <c r="H8" s="5">
        <v>0</v>
      </c>
      <c r="I8" s="6"/>
      <c r="J8" s="5">
        <v>19250.25</v>
      </c>
      <c r="K8" s="6"/>
      <c r="L8" s="5">
        <v>0</v>
      </c>
      <c r="M8" s="6"/>
      <c r="N8" s="5"/>
      <c r="O8" s="6"/>
      <c r="P8" s="5"/>
      <c r="Q8" s="6"/>
      <c r="R8" s="7"/>
      <c r="S8" s="5"/>
      <c r="T8" s="7"/>
      <c r="U8" s="7"/>
      <c r="V8" s="7"/>
      <c r="W8" s="7"/>
      <c r="X8" s="23"/>
      <c r="Y8" s="6"/>
      <c r="Z8" s="5"/>
      <c r="AA8" s="6"/>
      <c r="AB8" s="7"/>
    </row>
    <row r="9" spans="1:30" x14ac:dyDescent="0.3">
      <c r="A9" s="2"/>
      <c r="B9" s="2"/>
      <c r="C9" s="2"/>
      <c r="D9" s="2"/>
      <c r="E9" s="2" t="s">
        <v>12</v>
      </c>
      <c r="F9" s="2"/>
      <c r="G9" s="6"/>
      <c r="H9" s="5">
        <v>106847.65</v>
      </c>
      <c r="I9" s="6"/>
      <c r="J9" s="5">
        <v>177676.77</v>
      </c>
      <c r="K9" s="6"/>
      <c r="L9" s="5">
        <v>129182.96</v>
      </c>
      <c r="M9" s="6"/>
      <c r="N9" s="5">
        <v>100000</v>
      </c>
      <c r="O9" s="6"/>
      <c r="P9" s="5">
        <f>ROUND((L9-N9),5)</f>
        <v>29182.959999999999</v>
      </c>
      <c r="Q9" s="6"/>
      <c r="R9" s="7">
        <f>ROUND(IF(N9=0, IF(L9=0, 0, 1), L9/N9),5)</f>
        <v>1.29183</v>
      </c>
      <c r="S9" s="5"/>
      <c r="T9" s="7"/>
      <c r="U9" s="7"/>
      <c r="V9" s="7"/>
      <c r="W9" s="7"/>
      <c r="X9" s="23">
        <v>100000</v>
      </c>
      <c r="Y9" s="6"/>
      <c r="Z9" s="5">
        <f>X9-N9</f>
        <v>0</v>
      </c>
      <c r="AA9" s="6"/>
      <c r="AB9" s="7">
        <f>Z9/N9</f>
        <v>0</v>
      </c>
    </row>
    <row r="10" spans="1:30" x14ac:dyDescent="0.3">
      <c r="A10" s="2"/>
      <c r="B10" s="2"/>
      <c r="C10" s="2"/>
      <c r="D10" s="2"/>
      <c r="E10" s="2" t="s">
        <v>13</v>
      </c>
      <c r="F10" s="2"/>
      <c r="G10" s="6"/>
      <c r="H10" s="5">
        <v>3483.32</v>
      </c>
      <c r="I10" s="6"/>
      <c r="J10" s="5">
        <v>4584.82</v>
      </c>
      <c r="K10" s="6"/>
      <c r="L10" s="5">
        <v>0</v>
      </c>
      <c r="M10" s="6"/>
      <c r="N10" s="5">
        <v>2000</v>
      </c>
      <c r="O10" s="6"/>
      <c r="P10" s="5">
        <f>ROUND((L10-N10),5)</f>
        <v>-2000</v>
      </c>
      <c r="Q10" s="6"/>
      <c r="R10" s="7">
        <f>ROUND(IF(N10=0, IF(L10=0, 0, 1), L10/N10),5)</f>
        <v>0</v>
      </c>
      <c r="S10" s="5"/>
      <c r="T10" s="7"/>
      <c r="U10" s="7"/>
      <c r="V10" s="7"/>
      <c r="W10" s="7"/>
      <c r="X10" s="23">
        <v>2000</v>
      </c>
      <c r="Y10" s="6"/>
      <c r="Z10" s="5">
        <f>X10-N10</f>
        <v>0</v>
      </c>
      <c r="AA10" s="6"/>
      <c r="AB10" s="7">
        <f>Z10/N10</f>
        <v>0</v>
      </c>
    </row>
    <row r="11" spans="1:30" x14ac:dyDescent="0.3">
      <c r="A11" s="2"/>
      <c r="B11" s="2"/>
      <c r="C11" s="2"/>
      <c r="D11" s="2"/>
      <c r="E11" s="2" t="s">
        <v>14</v>
      </c>
      <c r="F11" s="2"/>
      <c r="G11" s="6"/>
      <c r="H11" s="5">
        <v>349.93</v>
      </c>
      <c r="I11" s="6"/>
      <c r="J11" s="5">
        <v>281.83999999999997</v>
      </c>
      <c r="K11" s="6"/>
      <c r="L11" s="5">
        <v>69.42</v>
      </c>
      <c r="M11" s="6"/>
      <c r="N11" s="5"/>
      <c r="O11" s="6"/>
      <c r="P11" s="5"/>
      <c r="Q11" s="6"/>
      <c r="R11" s="7"/>
      <c r="S11" s="5"/>
      <c r="T11" s="7"/>
      <c r="U11" s="7"/>
      <c r="V11" s="7"/>
      <c r="W11" s="7"/>
      <c r="X11" s="23"/>
      <c r="Y11" s="6"/>
      <c r="Z11" s="5"/>
      <c r="AA11" s="6"/>
      <c r="AB11" s="7"/>
    </row>
    <row r="12" spans="1:30" x14ac:dyDescent="0.3">
      <c r="A12" s="2"/>
      <c r="B12" s="2"/>
      <c r="C12" s="2"/>
      <c r="D12" s="2"/>
      <c r="E12" s="2" t="s">
        <v>15</v>
      </c>
      <c r="F12" s="2"/>
      <c r="G12" s="6"/>
      <c r="H12" s="5">
        <v>509482.63</v>
      </c>
      <c r="I12" s="6"/>
      <c r="J12" s="5">
        <v>391212.49</v>
      </c>
      <c r="K12" s="6"/>
      <c r="L12" s="5">
        <v>316654.52</v>
      </c>
      <c r="M12" s="6"/>
      <c r="N12" s="5">
        <v>275000</v>
      </c>
      <c r="O12" s="6"/>
      <c r="P12" s="5">
        <f>ROUND((L12-N12),5)</f>
        <v>41654.519999999997</v>
      </c>
      <c r="Q12" s="6"/>
      <c r="R12" s="7">
        <f>ROUND(IF(N12=0, IF(L12=0, 0, 1), L12/N12),5)</f>
        <v>1.15147</v>
      </c>
      <c r="S12" s="5"/>
      <c r="T12" s="7"/>
      <c r="U12" s="7"/>
      <c r="V12" s="7"/>
      <c r="W12" s="7"/>
      <c r="X12" s="23">
        <v>275000</v>
      </c>
      <c r="Y12" s="6"/>
      <c r="Z12" s="5">
        <f>X12-N12</f>
        <v>0</v>
      </c>
      <c r="AA12" s="6"/>
      <c r="AB12" s="7">
        <f>Z12/N12</f>
        <v>0</v>
      </c>
    </row>
    <row r="13" spans="1:30" ht="15" thickBot="1" x14ac:dyDescent="0.35">
      <c r="A13" s="2"/>
      <c r="B13" s="2"/>
      <c r="C13" s="2"/>
      <c r="D13" s="2"/>
      <c r="E13" s="2" t="s">
        <v>16</v>
      </c>
      <c r="F13" s="2"/>
      <c r="G13" s="6"/>
      <c r="H13" s="8">
        <v>450598.12</v>
      </c>
      <c r="I13" s="6"/>
      <c r="J13" s="8">
        <v>470709.65</v>
      </c>
      <c r="K13" s="6"/>
      <c r="L13" s="8">
        <v>359561.96</v>
      </c>
      <c r="M13" s="6"/>
      <c r="N13" s="8">
        <v>370000</v>
      </c>
      <c r="O13" s="6"/>
      <c r="P13" s="8">
        <f>ROUND((L13-N13),5)</f>
        <v>-10438.040000000001</v>
      </c>
      <c r="Q13" s="6"/>
      <c r="R13" s="9">
        <f>ROUND(IF(N13=0, IF(L13=0, 0, 1), L13/N13),5)</f>
        <v>0.97179000000000004</v>
      </c>
      <c r="S13" s="8"/>
      <c r="T13" s="7"/>
      <c r="U13" s="7"/>
      <c r="V13" s="7"/>
      <c r="W13" s="7"/>
      <c r="X13" s="24">
        <v>400000</v>
      </c>
      <c r="Y13" s="6"/>
      <c r="Z13" s="8">
        <f>X13-N13</f>
        <v>30000</v>
      </c>
      <c r="AA13" s="6"/>
      <c r="AB13" s="9">
        <f>Z13/N13</f>
        <v>8.1081081081081086E-2</v>
      </c>
    </row>
    <row r="14" spans="1:30" x14ac:dyDescent="0.3">
      <c r="A14" s="2"/>
      <c r="B14" s="2"/>
      <c r="C14" s="2"/>
      <c r="D14" s="2" t="s">
        <v>17</v>
      </c>
      <c r="E14" s="2"/>
      <c r="F14" s="2"/>
      <c r="G14" s="6"/>
      <c r="H14" s="5">
        <f>ROUND(SUM(H7:H13),5)</f>
        <v>1070761.6499999999</v>
      </c>
      <c r="I14" s="6"/>
      <c r="J14" s="5">
        <f>ROUND(SUM(J7:J13),5)</f>
        <v>1063715.82</v>
      </c>
      <c r="K14" s="6"/>
      <c r="L14" s="5">
        <f>ROUND(SUM(L7:L13),5)</f>
        <v>805468.86</v>
      </c>
      <c r="M14" s="6"/>
      <c r="N14" s="5">
        <f>ROUND(SUM(N7:N13),5)</f>
        <v>747000</v>
      </c>
      <c r="O14" s="6"/>
      <c r="P14" s="5">
        <f>ROUND((L14-N14),5)</f>
        <v>58468.86</v>
      </c>
      <c r="Q14" s="6"/>
      <c r="R14" s="7">
        <f>ROUND(IF(N14=0, IF(L14=0, 0, 1), L14/N14),5)</f>
        <v>1.0782700000000001</v>
      </c>
      <c r="S14" s="5"/>
      <c r="T14" s="7"/>
      <c r="U14" s="7"/>
      <c r="V14" s="7"/>
      <c r="W14" s="7"/>
      <c r="X14" s="23">
        <f>ROUND(SUM(X7:X13),5)</f>
        <v>777000</v>
      </c>
      <c r="Y14" s="6"/>
      <c r="Z14" s="5">
        <f>X14-N14</f>
        <v>30000</v>
      </c>
      <c r="AA14" s="6"/>
      <c r="AB14" s="7">
        <f>Z14/N14</f>
        <v>4.0160642570281124E-2</v>
      </c>
      <c r="AC14" s="38"/>
    </row>
    <row r="15" spans="1:30" x14ac:dyDescent="0.3">
      <c r="A15" s="2"/>
      <c r="B15" s="2"/>
      <c r="C15" s="2"/>
      <c r="D15" s="2" t="s">
        <v>18</v>
      </c>
      <c r="E15" s="2"/>
      <c r="F15" s="2"/>
      <c r="G15" s="6"/>
      <c r="H15" s="5"/>
      <c r="I15" s="6"/>
      <c r="J15" s="5"/>
      <c r="K15" s="6"/>
      <c r="L15" s="5"/>
      <c r="M15" s="6"/>
      <c r="N15" s="5"/>
      <c r="O15" s="6"/>
      <c r="P15" s="5"/>
      <c r="Q15" s="6"/>
      <c r="R15" s="7"/>
      <c r="S15" s="5"/>
      <c r="T15" s="7"/>
      <c r="U15" s="7"/>
      <c r="V15" s="7"/>
      <c r="W15" s="7"/>
      <c r="X15" s="23"/>
      <c r="Y15" s="6"/>
      <c r="Z15" s="5"/>
      <c r="AA15" s="6"/>
      <c r="AB15" s="7"/>
      <c r="AD15" s="38"/>
    </row>
    <row r="16" spans="1:30" x14ac:dyDescent="0.3">
      <c r="A16" s="2"/>
      <c r="B16" s="2"/>
      <c r="C16" s="2"/>
      <c r="D16" s="2"/>
      <c r="E16" s="2" t="s">
        <v>19</v>
      </c>
      <c r="F16" s="2"/>
      <c r="G16" s="6"/>
      <c r="H16" s="5">
        <v>174046.28</v>
      </c>
      <c r="I16" s="6"/>
      <c r="J16" s="5">
        <v>154724.24</v>
      </c>
      <c r="K16" s="6"/>
      <c r="L16" s="5">
        <v>69822</v>
      </c>
      <c r="M16" s="6"/>
      <c r="N16" s="5">
        <v>200000</v>
      </c>
      <c r="O16" s="6"/>
      <c r="P16" s="5">
        <f>ROUND((L16-N16),5)</f>
        <v>-130178</v>
      </c>
      <c r="Q16" s="6"/>
      <c r="R16" s="7">
        <f>ROUND(IF(N16=0, IF(L16=0, 0, 1), L16/N16),5)</f>
        <v>0.34910999999999998</v>
      </c>
      <c r="S16" s="5"/>
      <c r="T16" s="7"/>
      <c r="U16" s="7"/>
      <c r="V16" s="7"/>
      <c r="W16" s="7"/>
      <c r="X16" s="23">
        <v>150000</v>
      </c>
      <c r="Y16" s="6"/>
      <c r="Z16" s="5">
        <f>X16-N16</f>
        <v>-50000</v>
      </c>
      <c r="AA16" s="6"/>
      <c r="AB16" s="7">
        <f>Z16/N16</f>
        <v>-0.25</v>
      </c>
    </row>
    <row r="17" spans="1:29" ht="15" thickBot="1" x14ac:dyDescent="0.35">
      <c r="A17" s="2"/>
      <c r="B17" s="2"/>
      <c r="C17" s="2"/>
      <c r="D17" s="2"/>
      <c r="E17" s="2" t="s">
        <v>20</v>
      </c>
      <c r="F17" s="2"/>
      <c r="G17" s="6"/>
      <c r="H17" s="8">
        <v>600</v>
      </c>
      <c r="I17" s="6"/>
      <c r="J17" s="8">
        <v>0</v>
      </c>
      <c r="K17" s="6"/>
      <c r="L17" s="8">
        <v>1100</v>
      </c>
      <c r="M17" s="6"/>
      <c r="N17" s="8">
        <v>100</v>
      </c>
      <c r="O17" s="6"/>
      <c r="P17" s="8">
        <f>ROUND((L17-N17),5)</f>
        <v>1000</v>
      </c>
      <c r="Q17" s="6"/>
      <c r="R17" s="9">
        <f>ROUND(IF(N17=0, IF(L17=0, 0, 1), L17/N17),5)</f>
        <v>11</v>
      </c>
      <c r="S17" s="8"/>
      <c r="T17" s="7"/>
      <c r="U17" s="7"/>
      <c r="V17" s="7"/>
      <c r="W17" s="7"/>
      <c r="X17" s="24">
        <v>100</v>
      </c>
      <c r="Y17" s="6"/>
      <c r="Z17" s="8">
        <f>X17-N17</f>
        <v>0</v>
      </c>
      <c r="AA17" s="6"/>
      <c r="AB17" s="9">
        <f>Z17/N17</f>
        <v>0</v>
      </c>
    </row>
    <row r="18" spans="1:29" x14ac:dyDescent="0.3">
      <c r="A18" s="2"/>
      <c r="B18" s="2"/>
      <c r="C18" s="2"/>
      <c r="D18" s="2" t="s">
        <v>21</v>
      </c>
      <c r="E18" s="2"/>
      <c r="F18" s="2"/>
      <c r="G18" s="6"/>
      <c r="H18" s="5">
        <f>ROUND(SUM(H15:H17),5)</f>
        <v>174646.28</v>
      </c>
      <c r="I18" s="6"/>
      <c r="J18" s="5">
        <f>ROUND(SUM(J15:J17),5)</f>
        <v>154724.24</v>
      </c>
      <c r="K18" s="6"/>
      <c r="L18" s="5">
        <f>ROUND(SUM(L15:L17),5)</f>
        <v>70922</v>
      </c>
      <c r="M18" s="6"/>
      <c r="N18" s="5">
        <f>ROUND(SUM(N15:N17),5)</f>
        <v>200100</v>
      </c>
      <c r="O18" s="6"/>
      <c r="P18" s="5">
        <f>ROUND((L18-N18),5)</f>
        <v>-129178</v>
      </c>
      <c r="Q18" s="6"/>
      <c r="R18" s="7">
        <f>ROUND(IF(N18=0, IF(L18=0, 0, 1), L18/N18),5)</f>
        <v>0.35443000000000002</v>
      </c>
      <c r="S18" s="5">
        <v>30000</v>
      </c>
      <c r="T18" s="7"/>
      <c r="U18" s="7"/>
      <c r="V18" s="7"/>
      <c r="W18" s="7"/>
      <c r="X18" s="23">
        <f>ROUND(SUM(X15:X17),5)</f>
        <v>150100</v>
      </c>
      <c r="Y18" s="6"/>
      <c r="Z18" s="5">
        <f>X18-N18</f>
        <v>-50000</v>
      </c>
      <c r="AA18" s="6"/>
      <c r="AB18" s="7">
        <f>Z18/N18</f>
        <v>-0.24987506246876562</v>
      </c>
      <c r="AC18" s="38"/>
    </row>
    <row r="19" spans="1:29" x14ac:dyDescent="0.3">
      <c r="A19" s="2"/>
      <c r="B19" s="2"/>
      <c r="C19" s="2"/>
      <c r="D19" s="2" t="s">
        <v>22</v>
      </c>
      <c r="E19" s="2"/>
      <c r="F19" s="2"/>
      <c r="G19" s="6"/>
      <c r="H19" s="5"/>
      <c r="I19" s="6"/>
      <c r="J19" s="5"/>
      <c r="K19" s="6"/>
      <c r="L19" s="5"/>
      <c r="M19" s="6"/>
      <c r="N19" s="5"/>
      <c r="O19" s="6"/>
      <c r="P19" s="5"/>
      <c r="Q19" s="6"/>
      <c r="R19" s="7"/>
      <c r="S19" s="5"/>
      <c r="T19" s="7"/>
      <c r="U19" s="7"/>
      <c r="V19" s="7"/>
      <c r="W19" s="7"/>
      <c r="X19" s="23"/>
      <c r="Y19" s="6"/>
      <c r="Z19" s="5"/>
      <c r="AA19" s="6"/>
      <c r="AB19" s="7"/>
    </row>
    <row r="20" spans="1:29" x14ac:dyDescent="0.3">
      <c r="A20" s="2"/>
      <c r="B20" s="2"/>
      <c r="C20" s="2"/>
      <c r="D20" s="2"/>
      <c r="E20" s="2" t="s">
        <v>23</v>
      </c>
      <c r="F20" s="2"/>
      <c r="G20" s="6"/>
      <c r="H20" s="5">
        <v>61081.93</v>
      </c>
      <c r="I20" s="6"/>
      <c r="J20" s="5">
        <v>55699.9</v>
      </c>
      <c r="K20" s="6"/>
      <c r="L20" s="5">
        <v>53394.39</v>
      </c>
      <c r="M20" s="6"/>
      <c r="N20" s="5">
        <v>50000</v>
      </c>
      <c r="O20" s="6"/>
      <c r="P20" s="5">
        <f>ROUND((L20-N20),5)</f>
        <v>3394.39</v>
      </c>
      <c r="Q20" s="6"/>
      <c r="R20" s="7">
        <f>ROUND(IF(N20=0, IF(L20=0, 0, 1), L20/N20),5)</f>
        <v>1.06789</v>
      </c>
      <c r="S20" s="5"/>
      <c r="T20" s="7"/>
      <c r="U20" s="7"/>
      <c r="V20" s="7"/>
      <c r="W20" s="7"/>
      <c r="X20" s="23">
        <v>50000</v>
      </c>
      <c r="Y20" s="6"/>
      <c r="Z20" s="5">
        <f>X20-N20</f>
        <v>0</v>
      </c>
      <c r="AA20" s="6"/>
      <c r="AB20" s="7">
        <f>Z20/N20</f>
        <v>0</v>
      </c>
    </row>
    <row r="21" spans="1:29" x14ac:dyDescent="0.3">
      <c r="A21" s="2"/>
      <c r="B21" s="2"/>
      <c r="C21" s="2"/>
      <c r="D21" s="2"/>
      <c r="E21" s="2" t="s">
        <v>24</v>
      </c>
      <c r="F21" s="2"/>
      <c r="G21" s="6"/>
      <c r="H21" s="5">
        <v>14827.88</v>
      </c>
      <c r="I21" s="6"/>
      <c r="J21" s="5">
        <v>18583.419999999998</v>
      </c>
      <c r="K21" s="6"/>
      <c r="L21" s="5">
        <v>6406.61</v>
      </c>
      <c r="M21" s="6"/>
      <c r="N21" s="5">
        <v>15000</v>
      </c>
      <c r="O21" s="6"/>
      <c r="P21" s="5">
        <f>ROUND((L21-N21),5)</f>
        <v>-8593.39</v>
      </c>
      <c r="Q21" s="6"/>
      <c r="R21" s="7">
        <f>ROUND(IF(N21=0, IF(L21=0, 0, 1), L21/N21),5)</f>
        <v>0.42710999999999999</v>
      </c>
      <c r="S21" s="5"/>
      <c r="T21" s="7"/>
      <c r="U21" s="7"/>
      <c r="V21" s="7"/>
      <c r="W21" s="7"/>
      <c r="X21" s="23">
        <v>15000</v>
      </c>
      <c r="Y21" s="6"/>
      <c r="Z21" s="5">
        <f>X21-N21</f>
        <v>0</v>
      </c>
      <c r="AA21" s="6"/>
      <c r="AB21" s="7">
        <f>Z21/N21</f>
        <v>0</v>
      </c>
    </row>
    <row r="22" spans="1:29" x14ac:dyDescent="0.3">
      <c r="A22" s="2"/>
      <c r="B22" s="2"/>
      <c r="C22" s="2"/>
      <c r="D22" s="2"/>
      <c r="E22" s="2" t="s">
        <v>25</v>
      </c>
      <c r="F22" s="2"/>
      <c r="G22" s="6"/>
      <c r="H22" s="5">
        <v>10000</v>
      </c>
      <c r="I22" s="6"/>
      <c r="J22" s="5">
        <v>25530.880000000001</v>
      </c>
      <c r="K22" s="6"/>
      <c r="L22" s="5">
        <v>8734.25</v>
      </c>
      <c r="M22" s="6"/>
      <c r="N22" s="5"/>
      <c r="O22" s="6"/>
      <c r="P22" s="5"/>
      <c r="Q22" s="6"/>
      <c r="R22" s="7"/>
      <c r="S22" s="5"/>
      <c r="T22" s="7"/>
      <c r="U22" s="7"/>
      <c r="V22" s="7"/>
      <c r="W22" s="7"/>
      <c r="X22" s="23"/>
      <c r="Y22" s="6"/>
      <c r="Z22" s="5"/>
      <c r="AA22" s="6"/>
      <c r="AB22" s="7"/>
    </row>
    <row r="23" spans="1:29" ht="15" thickBot="1" x14ac:dyDescent="0.35">
      <c r="A23" s="2"/>
      <c r="B23" s="2"/>
      <c r="C23" s="2"/>
      <c r="D23" s="2"/>
      <c r="E23" s="2" t="s">
        <v>26</v>
      </c>
      <c r="F23" s="2"/>
      <c r="G23" s="6"/>
      <c r="H23" s="8">
        <v>0</v>
      </c>
      <c r="I23" s="6"/>
      <c r="J23" s="8">
        <v>510.64</v>
      </c>
      <c r="K23" s="6"/>
      <c r="L23" s="8">
        <v>0</v>
      </c>
      <c r="M23" s="6"/>
      <c r="N23" s="8"/>
      <c r="O23" s="6"/>
      <c r="P23" s="8"/>
      <c r="Q23" s="6"/>
      <c r="R23" s="9"/>
      <c r="S23" s="8"/>
      <c r="T23" s="7"/>
      <c r="U23" s="7"/>
      <c r="V23" s="7"/>
      <c r="W23" s="7"/>
      <c r="X23" s="24"/>
      <c r="Y23" s="6"/>
      <c r="Z23" s="8"/>
      <c r="AA23" s="6"/>
      <c r="AB23" s="9"/>
    </row>
    <row r="24" spans="1:29" x14ac:dyDescent="0.3">
      <c r="A24" s="2"/>
      <c r="B24" s="2"/>
      <c r="C24" s="2"/>
      <c r="D24" s="2" t="s">
        <v>27</v>
      </c>
      <c r="E24" s="2"/>
      <c r="F24" s="2"/>
      <c r="G24" s="6"/>
      <c r="H24" s="5">
        <f>ROUND(SUM(H19:H23),5)</f>
        <v>85909.81</v>
      </c>
      <c r="I24" s="6"/>
      <c r="J24" s="5">
        <f>ROUND(SUM(J19:J23),5)</f>
        <v>100324.84</v>
      </c>
      <c r="K24" s="6"/>
      <c r="L24" s="5">
        <f>ROUND(SUM(L19:L23),5)</f>
        <v>68535.25</v>
      </c>
      <c r="M24" s="6"/>
      <c r="N24" s="5">
        <f>ROUND(SUM(N19:N23),5)</f>
        <v>65000</v>
      </c>
      <c r="O24" s="6"/>
      <c r="P24" s="5">
        <f>ROUND((L24-N24),5)</f>
        <v>3535.25</v>
      </c>
      <c r="Q24" s="6"/>
      <c r="R24" s="7">
        <f>ROUND(IF(N24=0, IF(L24=0, 0, 1), L24/N24),5)</f>
        <v>1.0543899999999999</v>
      </c>
      <c r="S24" s="5"/>
      <c r="T24" s="7"/>
      <c r="U24" s="7"/>
      <c r="V24" s="7"/>
      <c r="W24" s="7"/>
      <c r="X24" s="23">
        <f>ROUND(SUM(X19:X23),5)</f>
        <v>65000</v>
      </c>
      <c r="Y24" s="6"/>
      <c r="Z24" s="5">
        <f>X24-N24</f>
        <v>0</v>
      </c>
      <c r="AA24" s="6"/>
      <c r="AB24" s="7">
        <f>Z24/N24</f>
        <v>0</v>
      </c>
      <c r="AC24" s="38"/>
    </row>
    <row r="25" spans="1:29" x14ac:dyDescent="0.3">
      <c r="A25" s="2"/>
      <c r="B25" s="2"/>
      <c r="C25" s="2"/>
      <c r="D25" s="2" t="s">
        <v>28</v>
      </c>
      <c r="E25" s="2"/>
      <c r="F25" s="2"/>
      <c r="G25" s="6"/>
      <c r="H25" s="5">
        <v>7646.74</v>
      </c>
      <c r="I25" s="6"/>
      <c r="J25" s="5">
        <v>102693.63</v>
      </c>
      <c r="K25" s="6"/>
      <c r="L25" s="5">
        <v>269385.52</v>
      </c>
      <c r="M25" s="6"/>
      <c r="N25" s="5">
        <v>30000</v>
      </c>
      <c r="O25" s="6"/>
      <c r="P25" s="5">
        <f>ROUND((L25-N25),5)</f>
        <v>239385.52</v>
      </c>
      <c r="Q25" s="6"/>
      <c r="R25" s="7">
        <f>ROUND(IF(N25=0, IF(L25=0, 0, 1), L25/N25),5)</f>
        <v>8.9795200000000008</v>
      </c>
      <c r="S25" s="5"/>
      <c r="T25" s="7"/>
      <c r="U25" s="7"/>
      <c r="V25" s="7"/>
      <c r="W25" s="7"/>
      <c r="X25" s="23">
        <v>80000</v>
      </c>
      <c r="Y25" s="6"/>
      <c r="Z25" s="5">
        <f>X25-N25</f>
        <v>50000</v>
      </c>
      <c r="AA25" s="6"/>
      <c r="AB25" s="7">
        <f>Z25/N25</f>
        <v>1.6666666666666667</v>
      </c>
      <c r="AC25" s="38"/>
    </row>
    <row r="26" spans="1:29" x14ac:dyDescent="0.3">
      <c r="A26" s="2"/>
      <c r="B26" s="2"/>
      <c r="C26" s="2"/>
      <c r="D26" s="2" t="s">
        <v>29</v>
      </c>
      <c r="E26" s="2"/>
      <c r="F26" s="2"/>
      <c r="G26" s="6"/>
      <c r="H26" s="5"/>
      <c r="I26" s="6"/>
      <c r="J26" s="5"/>
      <c r="K26" s="6"/>
      <c r="L26" s="5"/>
      <c r="M26" s="6"/>
      <c r="N26" s="5"/>
      <c r="O26" s="6"/>
      <c r="P26" s="5"/>
      <c r="Q26" s="6"/>
      <c r="R26" s="7"/>
      <c r="S26" s="5"/>
      <c r="T26" s="7"/>
      <c r="U26" s="7"/>
      <c r="V26" s="7"/>
      <c r="W26" s="7"/>
      <c r="X26" s="23"/>
      <c r="Y26" s="6"/>
      <c r="Z26" s="5"/>
      <c r="AA26" s="6"/>
      <c r="AB26" s="7"/>
    </row>
    <row r="27" spans="1:29" x14ac:dyDescent="0.3">
      <c r="A27" s="2"/>
      <c r="B27" s="2"/>
      <c r="C27" s="2"/>
      <c r="D27" s="2"/>
      <c r="E27" s="2" t="s">
        <v>30</v>
      </c>
      <c r="F27" s="2"/>
      <c r="G27" s="6"/>
      <c r="H27" s="5">
        <v>6026.88</v>
      </c>
      <c r="I27" s="6"/>
      <c r="J27" s="5">
        <v>5931.68</v>
      </c>
      <c r="K27" s="6"/>
      <c r="L27" s="5">
        <v>3136.45</v>
      </c>
      <c r="M27" s="6"/>
      <c r="N27" s="5">
        <v>4000</v>
      </c>
      <c r="O27" s="6"/>
      <c r="P27" s="5">
        <f t="shared" ref="P27:P36" si="1">ROUND((L27-N27),5)</f>
        <v>-863.55</v>
      </c>
      <c r="Q27" s="6"/>
      <c r="R27" s="7">
        <f t="shared" ref="R27:R36" si="2">ROUND(IF(N27=0, IF(L27=0, 0, 1), L27/N27),5)</f>
        <v>0.78410999999999997</v>
      </c>
      <c r="S27" s="5"/>
      <c r="T27" s="7"/>
      <c r="U27" s="7"/>
      <c r="V27" s="7"/>
      <c r="W27" s="7"/>
      <c r="X27" s="23">
        <v>4000</v>
      </c>
      <c r="Y27" s="6"/>
      <c r="Z27" s="5">
        <f t="shared" ref="Z27:Z36" si="3">X27-N27</f>
        <v>0</v>
      </c>
      <c r="AA27" s="6"/>
      <c r="AB27" s="7">
        <f t="shared" ref="AB27:AB36" si="4">Z27/N27</f>
        <v>0</v>
      </c>
    </row>
    <row r="28" spans="1:29" x14ac:dyDescent="0.3">
      <c r="A28" s="2"/>
      <c r="B28" s="2"/>
      <c r="C28" s="2"/>
      <c r="D28" s="2"/>
      <c r="E28" s="2" t="s">
        <v>31</v>
      </c>
      <c r="F28" s="2"/>
      <c r="G28" s="6"/>
      <c r="H28" s="5">
        <v>0</v>
      </c>
      <c r="I28" s="6"/>
      <c r="J28" s="5">
        <v>27775.9</v>
      </c>
      <c r="K28" s="6"/>
      <c r="L28" s="5">
        <v>11535.1</v>
      </c>
      <c r="M28" s="6"/>
      <c r="N28" s="5">
        <v>11535</v>
      </c>
      <c r="O28" s="6"/>
      <c r="P28" s="5">
        <f t="shared" si="1"/>
        <v>0.1</v>
      </c>
      <c r="Q28" s="6"/>
      <c r="R28" s="7">
        <f t="shared" si="2"/>
        <v>1.0000100000000001</v>
      </c>
      <c r="S28" s="5"/>
      <c r="T28" s="7"/>
      <c r="U28" s="7"/>
      <c r="V28" s="7"/>
      <c r="W28" s="7"/>
      <c r="X28" s="23"/>
      <c r="Y28" s="6"/>
      <c r="Z28" s="5">
        <f t="shared" si="3"/>
        <v>-11535</v>
      </c>
      <c r="AA28" s="6"/>
      <c r="AB28" s="7">
        <f t="shared" si="4"/>
        <v>-1</v>
      </c>
    </row>
    <row r="29" spans="1:29" x14ac:dyDescent="0.3">
      <c r="A29" s="2"/>
      <c r="B29" s="2"/>
      <c r="C29" s="2"/>
      <c r="D29" s="2"/>
      <c r="E29" s="2" t="s">
        <v>32</v>
      </c>
      <c r="F29" s="2"/>
      <c r="G29" s="6"/>
      <c r="H29" s="5">
        <v>0</v>
      </c>
      <c r="I29" s="6"/>
      <c r="J29" s="5">
        <v>135446.39000000001</v>
      </c>
      <c r="K29" s="6"/>
      <c r="L29" s="5">
        <v>68485.289999999994</v>
      </c>
      <c r="M29" s="6"/>
      <c r="N29" s="5">
        <v>83333.33</v>
      </c>
      <c r="O29" s="6"/>
      <c r="P29" s="5">
        <f t="shared" si="1"/>
        <v>-14848.04</v>
      </c>
      <c r="Q29" s="6"/>
      <c r="R29" s="7">
        <f t="shared" si="2"/>
        <v>0.82181999999999999</v>
      </c>
      <c r="S29" s="5"/>
      <c r="T29" s="7"/>
      <c r="U29" s="7"/>
      <c r="V29" s="7"/>
      <c r="W29" s="7"/>
      <c r="X29" s="23">
        <v>83333.33</v>
      </c>
      <c r="Y29" s="6"/>
      <c r="Z29" s="5">
        <f t="shared" si="3"/>
        <v>0</v>
      </c>
      <c r="AA29" s="6"/>
      <c r="AB29" s="7">
        <f t="shared" si="4"/>
        <v>0</v>
      </c>
    </row>
    <row r="30" spans="1:29" x14ac:dyDescent="0.3">
      <c r="A30" s="2"/>
      <c r="B30" s="2"/>
      <c r="C30" s="2"/>
      <c r="D30" s="2"/>
      <c r="E30" s="2" t="s">
        <v>33</v>
      </c>
      <c r="F30" s="2"/>
      <c r="G30" s="6"/>
      <c r="H30" s="5">
        <v>5869.14</v>
      </c>
      <c r="I30" s="6"/>
      <c r="J30" s="5">
        <v>6178.51</v>
      </c>
      <c r="K30" s="6"/>
      <c r="L30" s="5">
        <v>0</v>
      </c>
      <c r="M30" s="6"/>
      <c r="N30" s="5">
        <v>5500</v>
      </c>
      <c r="O30" s="6"/>
      <c r="P30" s="5">
        <f t="shared" si="1"/>
        <v>-5500</v>
      </c>
      <c r="Q30" s="6"/>
      <c r="R30" s="7">
        <f t="shared" si="2"/>
        <v>0</v>
      </c>
      <c r="S30" s="5"/>
      <c r="T30" s="7"/>
      <c r="U30" s="7"/>
      <c r="V30" s="7"/>
      <c r="W30" s="7"/>
      <c r="X30" s="23">
        <v>5500</v>
      </c>
      <c r="Y30" s="6"/>
      <c r="Z30" s="5">
        <f t="shared" si="3"/>
        <v>0</v>
      </c>
      <c r="AA30" s="6"/>
      <c r="AB30" s="7">
        <f t="shared" si="4"/>
        <v>0</v>
      </c>
    </row>
    <row r="31" spans="1:29" x14ac:dyDescent="0.3">
      <c r="A31" s="2"/>
      <c r="B31" s="2"/>
      <c r="C31" s="2"/>
      <c r="D31" s="2"/>
      <c r="E31" s="2" t="s">
        <v>34</v>
      </c>
      <c r="F31" s="2"/>
      <c r="G31" s="6"/>
      <c r="H31" s="5">
        <v>1200</v>
      </c>
      <c r="I31" s="6"/>
      <c r="J31" s="5">
        <v>4350</v>
      </c>
      <c r="K31" s="6"/>
      <c r="L31" s="5">
        <v>4750</v>
      </c>
      <c r="M31" s="6"/>
      <c r="N31" s="5">
        <v>4000</v>
      </c>
      <c r="O31" s="6"/>
      <c r="P31" s="5">
        <f t="shared" si="1"/>
        <v>750</v>
      </c>
      <c r="Q31" s="6"/>
      <c r="R31" s="7">
        <f t="shared" si="2"/>
        <v>1.1875</v>
      </c>
      <c r="S31" s="5"/>
      <c r="T31" s="7"/>
      <c r="U31" s="7"/>
      <c r="V31" s="7"/>
      <c r="W31" s="7"/>
      <c r="X31" s="23">
        <v>4000</v>
      </c>
      <c r="Y31" s="6"/>
      <c r="Z31" s="5">
        <f t="shared" si="3"/>
        <v>0</v>
      </c>
      <c r="AA31" s="6"/>
      <c r="AB31" s="7">
        <f t="shared" si="4"/>
        <v>0</v>
      </c>
    </row>
    <row r="32" spans="1:29" x14ac:dyDescent="0.3">
      <c r="A32" s="2"/>
      <c r="B32" s="2"/>
      <c r="C32" s="2"/>
      <c r="D32" s="2"/>
      <c r="E32" s="2" t="s">
        <v>35</v>
      </c>
      <c r="F32" s="2"/>
      <c r="G32" s="6"/>
      <c r="H32" s="5">
        <v>250571.75</v>
      </c>
      <c r="I32" s="6"/>
      <c r="J32" s="5">
        <v>274985.21999999997</v>
      </c>
      <c r="K32" s="6"/>
      <c r="L32" s="5">
        <v>377493.31</v>
      </c>
      <c r="M32" s="6"/>
      <c r="N32" s="5">
        <v>250000</v>
      </c>
      <c r="O32" s="6"/>
      <c r="P32" s="5">
        <f t="shared" si="1"/>
        <v>127493.31</v>
      </c>
      <c r="Q32" s="6"/>
      <c r="R32" s="7">
        <f t="shared" si="2"/>
        <v>1.50997</v>
      </c>
      <c r="S32" s="5"/>
      <c r="T32" s="7"/>
      <c r="U32" s="7"/>
      <c r="V32" s="7"/>
      <c r="W32" s="7"/>
      <c r="X32" s="23">
        <v>250000</v>
      </c>
      <c r="Y32" s="6"/>
      <c r="Z32" s="5">
        <f t="shared" si="3"/>
        <v>0</v>
      </c>
      <c r="AA32" s="6"/>
      <c r="AB32" s="7">
        <f t="shared" si="4"/>
        <v>0</v>
      </c>
    </row>
    <row r="33" spans="1:29" x14ac:dyDescent="0.3">
      <c r="A33" s="2"/>
      <c r="B33" s="2"/>
      <c r="C33" s="2"/>
      <c r="D33" s="2"/>
      <c r="E33" s="2" t="s">
        <v>36</v>
      </c>
      <c r="F33" s="2"/>
      <c r="G33" s="6"/>
      <c r="H33" s="5">
        <v>82584.820000000007</v>
      </c>
      <c r="I33" s="6"/>
      <c r="J33" s="5">
        <v>87846.92</v>
      </c>
      <c r="K33" s="6"/>
      <c r="L33" s="5">
        <v>84676.04</v>
      </c>
      <c r="M33" s="6"/>
      <c r="N33" s="5">
        <v>88000</v>
      </c>
      <c r="O33" s="6"/>
      <c r="P33" s="5">
        <f t="shared" si="1"/>
        <v>-3323.96</v>
      </c>
      <c r="Q33" s="6"/>
      <c r="R33" s="7">
        <f t="shared" si="2"/>
        <v>0.96223000000000003</v>
      </c>
      <c r="S33" s="5"/>
      <c r="T33" s="7"/>
      <c r="U33" s="7"/>
      <c r="V33" s="7"/>
      <c r="W33" s="7"/>
      <c r="X33" s="23">
        <v>88000</v>
      </c>
      <c r="Y33" s="6"/>
      <c r="Z33" s="5">
        <f t="shared" si="3"/>
        <v>0</v>
      </c>
      <c r="AA33" s="6"/>
      <c r="AB33" s="7">
        <f t="shared" si="4"/>
        <v>0</v>
      </c>
    </row>
    <row r="34" spans="1:29" ht="15" thickBot="1" x14ac:dyDescent="0.35">
      <c r="A34" s="2"/>
      <c r="B34" s="2"/>
      <c r="C34" s="2"/>
      <c r="D34" s="2"/>
      <c r="E34" s="2" t="s">
        <v>37</v>
      </c>
      <c r="F34" s="2"/>
      <c r="G34" s="6"/>
      <c r="H34" s="8">
        <v>432.32</v>
      </c>
      <c r="I34" s="6"/>
      <c r="J34" s="8">
        <v>412.32</v>
      </c>
      <c r="K34" s="6"/>
      <c r="L34" s="8">
        <v>24</v>
      </c>
      <c r="M34" s="6"/>
      <c r="N34" s="8">
        <v>400</v>
      </c>
      <c r="O34" s="6"/>
      <c r="P34" s="8">
        <f t="shared" si="1"/>
        <v>-376</v>
      </c>
      <c r="Q34" s="6"/>
      <c r="R34" s="9">
        <f t="shared" si="2"/>
        <v>0.06</v>
      </c>
      <c r="S34" s="8"/>
      <c r="T34" s="7"/>
      <c r="U34" s="7"/>
      <c r="V34" s="7"/>
      <c r="W34" s="7"/>
      <c r="X34" s="24">
        <v>400</v>
      </c>
      <c r="Y34" s="6"/>
      <c r="Z34" s="8">
        <f t="shared" si="3"/>
        <v>0</v>
      </c>
      <c r="AA34" s="6"/>
      <c r="AB34" s="9">
        <f t="shared" si="4"/>
        <v>0</v>
      </c>
      <c r="AC34" s="7"/>
    </row>
    <row r="35" spans="1:29" x14ac:dyDescent="0.3">
      <c r="A35" s="2"/>
      <c r="B35" s="2"/>
      <c r="C35" s="2"/>
      <c r="D35" s="2" t="s">
        <v>38</v>
      </c>
      <c r="E35" s="2"/>
      <c r="F35" s="2"/>
      <c r="G35" s="6"/>
      <c r="H35" s="5">
        <f>ROUND(SUM(H26:H34),5)</f>
        <v>346684.91</v>
      </c>
      <c r="I35" s="6"/>
      <c r="J35" s="5">
        <f>ROUND(SUM(J26:J34),5)</f>
        <v>542926.93999999994</v>
      </c>
      <c r="K35" s="6"/>
      <c r="L35" s="5">
        <f>ROUND(SUM(L26:L34),5)</f>
        <v>550100.18999999994</v>
      </c>
      <c r="M35" s="6"/>
      <c r="N35" s="5">
        <f>ROUND(SUM(N26:N34),5)</f>
        <v>446768.33</v>
      </c>
      <c r="O35" s="6"/>
      <c r="P35" s="5">
        <f t="shared" si="1"/>
        <v>103331.86</v>
      </c>
      <c r="Q35" s="6"/>
      <c r="R35" s="7">
        <f t="shared" si="2"/>
        <v>1.23129</v>
      </c>
      <c r="S35" s="5"/>
      <c r="T35" s="7"/>
      <c r="U35" s="7"/>
      <c r="V35" s="7"/>
      <c r="W35" s="7"/>
      <c r="X35" s="23">
        <f>ROUND(SUM(X26:X34),5)</f>
        <v>435233.33</v>
      </c>
      <c r="Y35" s="6"/>
      <c r="Z35" s="5">
        <f t="shared" si="3"/>
        <v>-11535</v>
      </c>
      <c r="AA35" s="6"/>
      <c r="AB35" s="7">
        <f t="shared" si="4"/>
        <v>-2.5818750402473691E-2</v>
      </c>
      <c r="AC35" s="59"/>
    </row>
    <row r="36" spans="1:29" x14ac:dyDescent="0.3">
      <c r="A36" s="2"/>
      <c r="B36" s="2"/>
      <c r="C36" s="2"/>
      <c r="D36" s="2" t="s">
        <v>39</v>
      </c>
      <c r="E36" s="2"/>
      <c r="F36" s="2"/>
      <c r="G36" s="6"/>
      <c r="H36" s="5">
        <v>26231.55</v>
      </c>
      <c r="I36" s="6"/>
      <c r="J36" s="5">
        <v>66361.63</v>
      </c>
      <c r="K36" s="6"/>
      <c r="L36" s="5">
        <v>31738.78</v>
      </c>
      <c r="M36" s="6"/>
      <c r="N36" s="5">
        <v>82750</v>
      </c>
      <c r="O36" s="6"/>
      <c r="P36" s="5">
        <f t="shared" si="1"/>
        <v>-51011.22</v>
      </c>
      <c r="Q36" s="6"/>
      <c r="R36" s="7">
        <f t="shared" si="2"/>
        <v>0.38355</v>
      </c>
      <c r="S36" s="5"/>
      <c r="T36" s="7"/>
      <c r="U36" s="7"/>
      <c r="V36" s="7"/>
      <c r="W36" s="7"/>
      <c r="X36" s="23">
        <v>49145.96</v>
      </c>
      <c r="Y36" s="6"/>
      <c r="Z36" s="5">
        <f t="shared" si="3"/>
        <v>-33604.04</v>
      </c>
      <c r="AA36" s="6"/>
      <c r="AB36" s="7">
        <f t="shared" si="4"/>
        <v>-0.40609111782477342</v>
      </c>
      <c r="AC36" s="7" t="s">
        <v>320</v>
      </c>
    </row>
    <row r="37" spans="1:29" x14ac:dyDescent="0.3">
      <c r="A37" s="2"/>
      <c r="B37" s="2"/>
      <c r="C37" s="2"/>
      <c r="D37" s="2" t="s">
        <v>40</v>
      </c>
      <c r="E37" s="2"/>
      <c r="F37" s="2"/>
      <c r="G37" s="6"/>
      <c r="H37" s="5"/>
      <c r="I37" s="6"/>
      <c r="J37" s="5"/>
      <c r="K37" s="6"/>
      <c r="L37" s="5"/>
      <c r="M37" s="6"/>
      <c r="N37" s="5"/>
      <c r="O37" s="6"/>
      <c r="P37" s="5"/>
      <c r="Q37" s="6"/>
      <c r="R37" s="7"/>
      <c r="S37" s="5"/>
      <c r="T37" s="7"/>
      <c r="U37" s="7"/>
      <c r="V37" s="7"/>
      <c r="W37" s="7"/>
      <c r="X37" s="23"/>
      <c r="Y37" s="6"/>
      <c r="Z37" s="5"/>
      <c r="AA37" s="6"/>
      <c r="AB37" s="7"/>
      <c r="AC37" s="7"/>
    </row>
    <row r="38" spans="1:29" x14ac:dyDescent="0.3">
      <c r="A38" s="2"/>
      <c r="B38" s="2"/>
      <c r="C38" s="2"/>
      <c r="D38" s="2"/>
      <c r="E38" s="2" t="s">
        <v>41</v>
      </c>
      <c r="F38" s="2"/>
      <c r="G38" s="6"/>
      <c r="H38" s="5">
        <v>19428.099999999999</v>
      </c>
      <c r="I38" s="6"/>
      <c r="J38" s="5">
        <v>37035.68</v>
      </c>
      <c r="K38" s="6"/>
      <c r="L38" s="5">
        <v>16821.580000000002</v>
      </c>
      <c r="M38" s="6"/>
      <c r="N38" s="5">
        <v>15000</v>
      </c>
      <c r="O38" s="6"/>
      <c r="P38" s="5">
        <f>ROUND((L38-N38),5)</f>
        <v>1821.58</v>
      </c>
      <c r="Q38" s="6"/>
      <c r="R38" s="7">
        <f>ROUND(IF(N38=0, IF(L38=0, 0, 1), L38/N38),5)</f>
        <v>1.12144</v>
      </c>
      <c r="S38" s="5"/>
      <c r="T38" s="7"/>
      <c r="U38" s="7"/>
      <c r="V38" s="7"/>
      <c r="W38" s="7"/>
      <c r="X38" s="23">
        <v>15000</v>
      </c>
      <c r="Y38" s="6"/>
      <c r="Z38" s="5">
        <f>X38-N38</f>
        <v>0</v>
      </c>
      <c r="AA38" s="6"/>
      <c r="AB38" s="7">
        <f>Z38/N38</f>
        <v>0</v>
      </c>
      <c r="AC38" s="7"/>
    </row>
    <row r="39" spans="1:29" ht="15" thickBot="1" x14ac:dyDescent="0.35">
      <c r="A39" s="2"/>
      <c r="B39" s="2"/>
      <c r="C39" s="2"/>
      <c r="D39" s="2"/>
      <c r="E39" s="2" t="s">
        <v>42</v>
      </c>
      <c r="F39" s="2"/>
      <c r="G39" s="6"/>
      <c r="H39" s="8">
        <v>26081.81</v>
      </c>
      <c r="I39" s="6"/>
      <c r="J39" s="8">
        <v>27474.45</v>
      </c>
      <c r="K39" s="6"/>
      <c r="L39" s="8">
        <v>15652.66</v>
      </c>
      <c r="M39" s="6"/>
      <c r="N39" s="8">
        <v>10000</v>
      </c>
      <c r="O39" s="6"/>
      <c r="P39" s="8">
        <f>ROUND((L39-N39),5)</f>
        <v>5652.66</v>
      </c>
      <c r="Q39" s="6"/>
      <c r="R39" s="9">
        <f>ROUND(IF(N39=0, IF(L39=0, 0, 1), L39/N39),5)</f>
        <v>1.5652699999999999</v>
      </c>
      <c r="S39" s="8"/>
      <c r="T39" s="7"/>
      <c r="U39" s="7"/>
      <c r="V39" s="7"/>
      <c r="W39" s="7"/>
      <c r="X39" s="24">
        <v>10000</v>
      </c>
      <c r="Y39" s="6"/>
      <c r="Z39" s="8">
        <f>X39-N39</f>
        <v>0</v>
      </c>
      <c r="AA39" s="6"/>
      <c r="AB39" s="9">
        <f>Z39/N39</f>
        <v>0</v>
      </c>
      <c r="AC39" s="7"/>
    </row>
    <row r="40" spans="1:29" x14ac:dyDescent="0.3">
      <c r="A40" s="2"/>
      <c r="B40" s="2"/>
      <c r="C40" s="2"/>
      <c r="D40" s="2" t="s">
        <v>43</v>
      </c>
      <c r="E40" s="2"/>
      <c r="F40" s="2"/>
      <c r="G40" s="6"/>
      <c r="H40" s="5">
        <f>ROUND(SUM(H37:H39),5)</f>
        <v>45509.91</v>
      </c>
      <c r="I40" s="6"/>
      <c r="J40" s="5">
        <f>ROUND(SUM(J37:J39),5)</f>
        <v>64510.13</v>
      </c>
      <c r="K40" s="6"/>
      <c r="L40" s="5">
        <f>ROUND(SUM(L37:L39),5)</f>
        <v>32474.240000000002</v>
      </c>
      <c r="M40" s="6"/>
      <c r="N40" s="5">
        <f>ROUND(SUM(N37:N39),5)</f>
        <v>25000</v>
      </c>
      <c r="O40" s="6"/>
      <c r="P40" s="5">
        <f>ROUND((L40-N40),5)</f>
        <v>7474.24</v>
      </c>
      <c r="Q40" s="6"/>
      <c r="R40" s="7">
        <f>ROUND(IF(N40=0, IF(L40=0, 0, 1), L40/N40),5)</f>
        <v>1.29897</v>
      </c>
      <c r="S40" s="5">
        <v>5000</v>
      </c>
      <c r="T40" s="7"/>
      <c r="U40" s="7"/>
      <c r="V40" s="7"/>
      <c r="W40" s="7"/>
      <c r="X40" s="23">
        <f>ROUND(SUM(X37:X39),5)</f>
        <v>25000</v>
      </c>
      <c r="Y40" s="6"/>
      <c r="Z40" s="5">
        <f>X40-N40</f>
        <v>0</v>
      </c>
      <c r="AA40" s="6"/>
      <c r="AB40" s="7">
        <f>Z40/N40</f>
        <v>0</v>
      </c>
      <c r="AC40" s="7">
        <f>X40</f>
        <v>25000</v>
      </c>
    </row>
    <row r="41" spans="1:29" x14ac:dyDescent="0.3">
      <c r="A41" s="2"/>
      <c r="B41" s="2"/>
      <c r="C41" s="2"/>
      <c r="D41" s="2" t="s">
        <v>44</v>
      </c>
      <c r="E41" s="2"/>
      <c r="F41" s="2"/>
      <c r="G41" s="6"/>
      <c r="H41" s="5"/>
      <c r="I41" s="6"/>
      <c r="J41" s="5"/>
      <c r="K41" s="6"/>
      <c r="L41" s="5"/>
      <c r="M41" s="6"/>
      <c r="N41" s="5"/>
      <c r="O41" s="6"/>
      <c r="P41" s="5"/>
      <c r="Q41" s="6"/>
      <c r="R41" s="7"/>
      <c r="S41" s="5"/>
      <c r="T41" s="7"/>
      <c r="U41" s="7"/>
      <c r="V41" s="7"/>
      <c r="W41" s="7"/>
      <c r="X41" s="23"/>
      <c r="Y41" s="6"/>
      <c r="Z41" s="5"/>
      <c r="AA41" s="6"/>
      <c r="AB41" s="7"/>
      <c r="AC41" s="7"/>
    </row>
    <row r="42" spans="1:29" ht="15" thickBot="1" x14ac:dyDescent="0.35">
      <c r="A42" s="2"/>
      <c r="B42" s="2"/>
      <c r="C42" s="2"/>
      <c r="D42" s="2"/>
      <c r="E42" s="2" t="s">
        <v>45</v>
      </c>
      <c r="F42" s="2"/>
      <c r="G42" s="6"/>
      <c r="H42" s="8">
        <v>603786.75</v>
      </c>
      <c r="I42" s="6"/>
      <c r="J42" s="8">
        <v>489960.57</v>
      </c>
      <c r="K42" s="6"/>
      <c r="L42" s="8">
        <v>1350223.05</v>
      </c>
      <c r="M42" s="6"/>
      <c r="N42" s="8">
        <v>1068973</v>
      </c>
      <c r="O42" s="6"/>
      <c r="P42" s="8">
        <f>ROUND((L42-N42),5)</f>
        <v>281250.05</v>
      </c>
      <c r="Q42" s="6"/>
      <c r="R42" s="9">
        <f>ROUND(IF(N42=0, IF(L42=0, 0, 1), L42/N42),5)</f>
        <v>1.2630999999999999</v>
      </c>
      <c r="S42" s="8"/>
      <c r="T42" s="7"/>
      <c r="U42" s="7"/>
      <c r="V42" s="7"/>
      <c r="W42" s="7"/>
      <c r="X42" s="24">
        <v>400000</v>
      </c>
      <c r="Y42" s="6"/>
      <c r="Z42" s="8">
        <f>X42-N42</f>
        <v>-668973</v>
      </c>
      <c r="AA42" s="6"/>
      <c r="AB42" s="9">
        <f>Z42/N42</f>
        <v>-0.62580907094940663</v>
      </c>
      <c r="AC42" s="7"/>
    </row>
    <row r="43" spans="1:29" x14ac:dyDescent="0.3">
      <c r="A43" s="2"/>
      <c r="B43" s="2"/>
      <c r="C43" s="2"/>
      <c r="D43" s="2" t="s">
        <v>46</v>
      </c>
      <c r="E43" s="2"/>
      <c r="F43" s="2"/>
      <c r="G43" s="6"/>
      <c r="H43" s="5">
        <f>ROUND(SUM(H41:H42),5)</f>
        <v>603786.75</v>
      </c>
      <c r="I43" s="6"/>
      <c r="J43" s="5">
        <f>ROUND(SUM(J41:J42),5)</f>
        <v>489960.57</v>
      </c>
      <c r="K43" s="6"/>
      <c r="L43" s="5">
        <f>ROUND(SUM(L41:L42),5)</f>
        <v>1350223.05</v>
      </c>
      <c r="M43" s="6"/>
      <c r="N43" s="5">
        <f>ROUND(SUM(N41:N42),5)</f>
        <v>1068973</v>
      </c>
      <c r="O43" s="6"/>
      <c r="P43" s="5">
        <f>ROUND((L43-N43),5)</f>
        <v>281250.05</v>
      </c>
      <c r="Q43" s="6"/>
      <c r="R43" s="7">
        <f>ROUND(IF(N43=0, IF(L43=0, 0, 1), L43/N43),5)</f>
        <v>1.2630999999999999</v>
      </c>
      <c r="S43" s="5">
        <v>50000</v>
      </c>
      <c r="T43" s="7"/>
      <c r="U43" s="7"/>
      <c r="V43" s="7"/>
      <c r="W43" s="7"/>
      <c r="X43" s="23">
        <f>ROUND(SUM(X41:X42),5)</f>
        <v>400000</v>
      </c>
      <c r="Y43" s="6"/>
      <c r="Z43" s="5">
        <f>X43-N43</f>
        <v>-668973</v>
      </c>
      <c r="AA43" s="6"/>
      <c r="AB43" s="7">
        <f>Z43/N43</f>
        <v>-0.62580907094940663</v>
      </c>
      <c r="AC43" s="38"/>
    </row>
    <row r="44" spans="1:29" x14ac:dyDescent="0.3">
      <c r="A44" s="2"/>
      <c r="B44" s="2"/>
      <c r="C44" s="2"/>
      <c r="D44" s="2" t="s">
        <v>47</v>
      </c>
      <c r="E44" s="2"/>
      <c r="F44" s="2"/>
      <c r="G44" s="6"/>
      <c r="H44" s="5"/>
      <c r="I44" s="6"/>
      <c r="J44" s="5"/>
      <c r="K44" s="6"/>
      <c r="L44" s="5"/>
      <c r="M44" s="6"/>
      <c r="N44" s="5"/>
      <c r="O44" s="6"/>
      <c r="P44" s="5"/>
      <c r="Q44" s="6"/>
      <c r="R44" s="7"/>
      <c r="S44" s="5"/>
      <c r="T44" s="7"/>
      <c r="U44" s="7"/>
      <c r="V44" s="7"/>
      <c r="W44" s="7"/>
      <c r="X44" s="23"/>
      <c r="Y44" s="6"/>
      <c r="Z44" s="5"/>
      <c r="AA44" s="6"/>
      <c r="AB44" s="7"/>
      <c r="AC44" s="7"/>
    </row>
    <row r="45" spans="1:29" x14ac:dyDescent="0.3">
      <c r="A45" s="2"/>
      <c r="B45" s="2"/>
      <c r="C45" s="2"/>
      <c r="D45" s="2"/>
      <c r="E45" s="2" t="s">
        <v>48</v>
      </c>
      <c r="F45" s="2"/>
      <c r="G45" s="6"/>
      <c r="H45" s="5">
        <v>9905.89</v>
      </c>
      <c r="I45" s="6"/>
      <c r="J45" s="5">
        <v>92089.55</v>
      </c>
      <c r="K45" s="6"/>
      <c r="L45" s="5">
        <v>209369.85</v>
      </c>
      <c r="M45" s="6"/>
      <c r="N45" s="5">
        <v>212194.18</v>
      </c>
      <c r="O45" s="6"/>
      <c r="P45" s="5">
        <f>ROUND((L45-N45),5)</f>
        <v>-2824.33</v>
      </c>
      <c r="Q45" s="6"/>
      <c r="R45" s="7">
        <f>ROUND(IF(N45=0, IF(L45=0, 0, 1), L45/N45),5)</f>
        <v>0.98668999999999996</v>
      </c>
      <c r="S45" s="5"/>
      <c r="T45" s="7"/>
      <c r="U45" s="7"/>
      <c r="W45" s="32" t="s">
        <v>387</v>
      </c>
      <c r="X45" s="23">
        <v>183639</v>
      </c>
      <c r="Y45" s="6"/>
      <c r="Z45" s="5">
        <f t="shared" ref="Z45:Z67" si="5">X45-N45</f>
        <v>-28555.179999999993</v>
      </c>
      <c r="AA45" s="6"/>
      <c r="AB45" s="7">
        <f t="shared" ref="AB45:AB67" si="6">Z45/N45</f>
        <v>-0.13457098587718097</v>
      </c>
      <c r="AC45" s="7" t="s">
        <v>388</v>
      </c>
    </row>
    <row r="46" spans="1:29" x14ac:dyDescent="0.3">
      <c r="A46" s="2"/>
      <c r="B46" s="2"/>
      <c r="C46" s="2"/>
      <c r="D46" s="2"/>
      <c r="E46" s="2" t="s">
        <v>49</v>
      </c>
      <c r="F46" s="2"/>
      <c r="G46" s="6"/>
      <c r="H46" s="5">
        <v>14444</v>
      </c>
      <c r="I46" s="6"/>
      <c r="J46" s="5">
        <v>6600</v>
      </c>
      <c r="K46" s="6"/>
      <c r="L46" s="5">
        <v>13250</v>
      </c>
      <c r="M46" s="6"/>
      <c r="N46" s="5">
        <v>5000</v>
      </c>
      <c r="O46" s="6"/>
      <c r="P46" s="5">
        <f>ROUND((L46-N46),5)</f>
        <v>8250</v>
      </c>
      <c r="Q46" s="6"/>
      <c r="R46" s="7">
        <f>ROUND(IF(N46=0, IF(L46=0, 0, 1), L46/N46),5)</f>
        <v>2.65</v>
      </c>
      <c r="S46" s="5"/>
      <c r="T46" s="7"/>
      <c r="U46" s="7"/>
      <c r="V46" s="51"/>
      <c r="W46" s="7"/>
      <c r="X46" s="23">
        <v>5000</v>
      </c>
      <c r="Y46" s="6"/>
      <c r="Z46" s="5">
        <f t="shared" si="5"/>
        <v>0</v>
      </c>
      <c r="AA46" s="6"/>
      <c r="AB46" s="7">
        <f t="shared" si="6"/>
        <v>0</v>
      </c>
      <c r="AC46" s="7"/>
    </row>
    <row r="47" spans="1:29" x14ac:dyDescent="0.3">
      <c r="A47" s="2"/>
      <c r="B47" s="2"/>
      <c r="C47" s="2"/>
      <c r="D47" s="2"/>
      <c r="E47" s="2" t="s">
        <v>50</v>
      </c>
      <c r="F47" s="2"/>
      <c r="G47" s="6"/>
      <c r="H47" s="5">
        <v>13700.54</v>
      </c>
      <c r="I47" s="6"/>
      <c r="J47" s="5">
        <v>14570.5</v>
      </c>
      <c r="K47" s="6"/>
      <c r="L47" s="5">
        <v>12300</v>
      </c>
      <c r="M47" s="6"/>
      <c r="N47" s="5">
        <v>4000</v>
      </c>
      <c r="O47" s="6"/>
      <c r="P47" s="5">
        <f>ROUND((L47-N47),5)</f>
        <v>8300</v>
      </c>
      <c r="Q47" s="6"/>
      <c r="R47" s="7">
        <f>ROUND(IF(N47=0, IF(L47=0, 0, 1), L47/N47),5)</f>
        <v>3.0750000000000002</v>
      </c>
      <c r="S47" s="5"/>
      <c r="T47" s="7"/>
      <c r="U47" s="7"/>
      <c r="V47" s="7"/>
      <c r="W47" s="7"/>
      <c r="X47" s="23">
        <v>4000</v>
      </c>
      <c r="Y47" s="6"/>
      <c r="Z47" s="5">
        <f t="shared" si="5"/>
        <v>0</v>
      </c>
      <c r="AA47" s="6"/>
      <c r="AB47" s="7">
        <f t="shared" si="6"/>
        <v>0</v>
      </c>
      <c r="AC47" s="7"/>
    </row>
    <row r="48" spans="1:29" x14ac:dyDescent="0.3">
      <c r="A48" s="2"/>
      <c r="B48" s="2"/>
      <c r="C48" s="2"/>
      <c r="D48" s="2"/>
      <c r="E48" s="2" t="s">
        <v>51</v>
      </c>
      <c r="F48" s="2"/>
      <c r="G48" s="6"/>
      <c r="H48" s="5">
        <v>0</v>
      </c>
      <c r="I48" s="6"/>
      <c r="J48" s="5">
        <v>0</v>
      </c>
      <c r="K48" s="6"/>
      <c r="L48" s="5">
        <v>0</v>
      </c>
      <c r="M48" s="6"/>
      <c r="N48" s="5">
        <v>750</v>
      </c>
      <c r="O48" s="6"/>
      <c r="P48" s="5">
        <f>ROUND((L48-N48),5)</f>
        <v>-750</v>
      </c>
      <c r="Q48" s="6"/>
      <c r="R48" s="7">
        <f>ROUND(IF(N48=0, IF(L48=0, 0, 1), L48/N48),5)</f>
        <v>0</v>
      </c>
      <c r="S48" s="5"/>
      <c r="T48" s="7"/>
      <c r="U48" s="7"/>
      <c r="V48" s="7"/>
      <c r="W48" s="7"/>
      <c r="X48" s="23">
        <v>750</v>
      </c>
      <c r="Y48" s="6"/>
      <c r="Z48" s="5">
        <f t="shared" si="5"/>
        <v>0</v>
      </c>
      <c r="AA48" s="6"/>
      <c r="AB48" s="7">
        <f t="shared" si="6"/>
        <v>0</v>
      </c>
      <c r="AC48" s="7"/>
    </row>
    <row r="49" spans="1:30" x14ac:dyDescent="0.3">
      <c r="A49" s="2"/>
      <c r="B49" s="2"/>
      <c r="C49" s="2"/>
      <c r="D49" s="2"/>
      <c r="E49" s="2" t="s">
        <v>52</v>
      </c>
      <c r="F49" s="2"/>
      <c r="G49" s="6"/>
      <c r="H49" s="5">
        <v>90</v>
      </c>
      <c r="I49" s="6"/>
      <c r="J49" s="5">
        <v>241.75</v>
      </c>
      <c r="K49" s="6"/>
      <c r="L49" s="5">
        <v>784.25</v>
      </c>
      <c r="M49" s="6"/>
      <c r="N49" s="5">
        <v>50</v>
      </c>
      <c r="O49" s="6"/>
      <c r="P49" s="5">
        <f t="shared" ref="P49:P67" si="7">ROUND((L49-N49),5)</f>
        <v>734.25</v>
      </c>
      <c r="Q49" s="6"/>
      <c r="R49" s="7">
        <f t="shared" ref="R49:R67" si="8">ROUND(IF(N49=0, IF(L49=0, 0, 1), L49/N49),5)</f>
        <v>15.685</v>
      </c>
      <c r="S49" s="5"/>
      <c r="T49" s="7"/>
      <c r="U49" s="7"/>
      <c r="V49" s="7"/>
      <c r="W49" s="7"/>
      <c r="X49" s="23">
        <v>50</v>
      </c>
      <c r="Y49" s="6"/>
      <c r="Z49" s="5">
        <f t="shared" si="5"/>
        <v>0</v>
      </c>
      <c r="AA49" s="6"/>
      <c r="AB49" s="7">
        <f t="shared" si="6"/>
        <v>0</v>
      </c>
    </row>
    <row r="50" spans="1:30" x14ac:dyDescent="0.3">
      <c r="A50" s="2"/>
      <c r="B50" s="2"/>
      <c r="C50" s="2"/>
      <c r="D50" s="2"/>
      <c r="E50" s="2" t="s">
        <v>53</v>
      </c>
      <c r="F50" s="2"/>
      <c r="G50" s="6"/>
      <c r="H50" s="5">
        <v>9126.8700000000008</v>
      </c>
      <c r="I50" s="6"/>
      <c r="J50" s="5">
        <v>5335.95</v>
      </c>
      <c r="K50" s="6"/>
      <c r="L50" s="5">
        <v>4224.5</v>
      </c>
      <c r="M50" s="6"/>
      <c r="N50" s="5">
        <v>4000</v>
      </c>
      <c r="O50" s="6"/>
      <c r="P50" s="5">
        <f t="shared" si="7"/>
        <v>224.5</v>
      </c>
      <c r="Q50" s="6"/>
      <c r="R50" s="7">
        <f t="shared" si="8"/>
        <v>1.05613</v>
      </c>
      <c r="S50" s="5"/>
      <c r="T50" s="7"/>
      <c r="U50" s="7"/>
      <c r="V50" s="7"/>
      <c r="W50" s="7"/>
      <c r="X50" s="23">
        <v>4000</v>
      </c>
      <c r="Y50" s="6"/>
      <c r="Z50" s="5">
        <f t="shared" si="5"/>
        <v>0</v>
      </c>
      <c r="AA50" s="6"/>
      <c r="AB50" s="7">
        <f t="shared" si="6"/>
        <v>0</v>
      </c>
    </row>
    <row r="51" spans="1:30" x14ac:dyDescent="0.3">
      <c r="A51" s="2"/>
      <c r="B51" s="2"/>
      <c r="C51" s="2"/>
      <c r="D51" s="2"/>
      <c r="E51" s="2" t="s">
        <v>54</v>
      </c>
      <c r="F51" s="2"/>
      <c r="G51" s="6"/>
      <c r="H51" s="5">
        <v>20</v>
      </c>
      <c r="I51" s="6"/>
      <c r="J51" s="5">
        <v>140</v>
      </c>
      <c r="K51" s="6"/>
      <c r="L51" s="5">
        <v>60</v>
      </c>
      <c r="M51" s="6"/>
      <c r="N51" s="5">
        <v>100</v>
      </c>
      <c r="O51" s="6"/>
      <c r="P51" s="5">
        <f t="shared" si="7"/>
        <v>-40</v>
      </c>
      <c r="Q51" s="6"/>
      <c r="R51" s="7">
        <f t="shared" si="8"/>
        <v>0.6</v>
      </c>
      <c r="S51" s="5"/>
      <c r="T51" s="7"/>
      <c r="U51" s="7"/>
      <c r="V51" s="7"/>
      <c r="W51" s="7"/>
      <c r="X51" s="23">
        <v>100</v>
      </c>
      <c r="Y51" s="6"/>
      <c r="Z51" s="5">
        <f t="shared" si="5"/>
        <v>0</v>
      </c>
      <c r="AA51" s="6"/>
      <c r="AB51" s="7">
        <f t="shared" si="6"/>
        <v>0</v>
      </c>
    </row>
    <row r="52" spans="1:30" x14ac:dyDescent="0.3">
      <c r="A52" s="2"/>
      <c r="B52" s="2"/>
      <c r="C52" s="2"/>
      <c r="D52" s="2"/>
      <c r="E52" s="2" t="s">
        <v>55</v>
      </c>
      <c r="F52" s="2"/>
      <c r="G52" s="6"/>
      <c r="H52" s="5">
        <v>88961.03</v>
      </c>
      <c r="I52" s="6"/>
      <c r="J52" s="5">
        <v>50002.23</v>
      </c>
      <c r="K52" s="6"/>
      <c r="L52" s="5">
        <v>582084.24</v>
      </c>
      <c r="M52" s="6"/>
      <c r="N52" s="5">
        <v>50000</v>
      </c>
      <c r="O52" s="6"/>
      <c r="P52" s="5">
        <f t="shared" si="7"/>
        <v>532084.24</v>
      </c>
      <c r="Q52" s="6"/>
      <c r="R52" s="7">
        <f t="shared" si="8"/>
        <v>11.641679999999999</v>
      </c>
      <c r="S52" s="5"/>
      <c r="T52" s="7"/>
      <c r="U52" s="7"/>
      <c r="V52" s="7"/>
      <c r="W52" s="7"/>
      <c r="X52" s="23">
        <v>50000</v>
      </c>
      <c r="Y52" s="6"/>
      <c r="Z52" s="5">
        <f t="shared" si="5"/>
        <v>0</v>
      </c>
      <c r="AA52" s="6"/>
      <c r="AB52" s="7">
        <f t="shared" si="6"/>
        <v>0</v>
      </c>
    </row>
    <row r="53" spans="1:30" x14ac:dyDescent="0.3">
      <c r="A53" s="2"/>
      <c r="B53" s="2"/>
      <c r="C53" s="2"/>
      <c r="D53" s="2"/>
      <c r="E53" s="2" t="s">
        <v>56</v>
      </c>
      <c r="F53" s="2"/>
      <c r="G53" s="6"/>
      <c r="H53" s="5">
        <v>5500</v>
      </c>
      <c r="I53" s="6"/>
      <c r="J53" s="5">
        <v>4000</v>
      </c>
      <c r="K53" s="6"/>
      <c r="L53" s="5">
        <v>5000</v>
      </c>
      <c r="M53" s="6"/>
      <c r="N53" s="5">
        <v>4000</v>
      </c>
      <c r="O53" s="6"/>
      <c r="P53" s="5">
        <f t="shared" si="7"/>
        <v>1000</v>
      </c>
      <c r="Q53" s="6"/>
      <c r="R53" s="7">
        <f t="shared" si="8"/>
        <v>1.25</v>
      </c>
      <c r="S53" s="5"/>
      <c r="T53" s="7"/>
      <c r="U53" s="7"/>
      <c r="V53" s="7"/>
      <c r="W53" s="7"/>
      <c r="X53" s="23">
        <v>4000</v>
      </c>
      <c r="Y53" s="6"/>
      <c r="Z53" s="5">
        <f t="shared" si="5"/>
        <v>0</v>
      </c>
      <c r="AA53" s="6"/>
      <c r="AB53" s="7">
        <f t="shared" si="6"/>
        <v>0</v>
      </c>
    </row>
    <row r="54" spans="1:30" x14ac:dyDescent="0.3">
      <c r="A54" s="2"/>
      <c r="B54" s="2"/>
      <c r="C54" s="2"/>
      <c r="D54" s="2"/>
      <c r="E54" s="2" t="s">
        <v>57</v>
      </c>
      <c r="F54" s="2"/>
      <c r="G54" s="6"/>
      <c r="H54" s="5">
        <v>23600</v>
      </c>
      <c r="I54" s="6"/>
      <c r="J54" s="5">
        <v>28450</v>
      </c>
      <c r="K54" s="6"/>
      <c r="L54" s="5">
        <v>19300</v>
      </c>
      <c r="M54" s="6"/>
      <c r="N54" s="5">
        <v>20000</v>
      </c>
      <c r="O54" s="6"/>
      <c r="P54" s="5">
        <f t="shared" si="7"/>
        <v>-700</v>
      </c>
      <c r="Q54" s="6"/>
      <c r="R54" s="7">
        <f t="shared" si="8"/>
        <v>0.96499999999999997</v>
      </c>
      <c r="S54" s="5"/>
      <c r="T54" s="7"/>
      <c r="U54" s="7"/>
      <c r="V54" s="7"/>
      <c r="W54" s="7"/>
      <c r="X54" s="23">
        <v>20000</v>
      </c>
      <c r="Y54" s="6"/>
      <c r="Z54" s="5">
        <f t="shared" si="5"/>
        <v>0</v>
      </c>
      <c r="AA54" s="6"/>
      <c r="AB54" s="7">
        <f t="shared" si="6"/>
        <v>0</v>
      </c>
    </row>
    <row r="55" spans="1:30" x14ac:dyDescent="0.3">
      <c r="A55" s="2"/>
      <c r="B55" s="2"/>
      <c r="C55" s="2"/>
      <c r="D55" s="2"/>
      <c r="E55" s="2" t="s">
        <v>58</v>
      </c>
      <c r="F55" s="2"/>
      <c r="G55" s="6"/>
      <c r="H55" s="5">
        <v>1230</v>
      </c>
      <c r="I55" s="6"/>
      <c r="J55" s="5">
        <v>1700</v>
      </c>
      <c r="K55" s="6"/>
      <c r="L55" s="5">
        <v>1119.56</v>
      </c>
      <c r="M55" s="6"/>
      <c r="N55" s="5">
        <v>2500</v>
      </c>
      <c r="O55" s="6"/>
      <c r="P55" s="5">
        <f t="shared" si="7"/>
        <v>-1380.44</v>
      </c>
      <c r="Q55" s="6"/>
      <c r="R55" s="7">
        <f t="shared" si="8"/>
        <v>0.44782</v>
      </c>
      <c r="S55" s="5"/>
      <c r="T55" s="7"/>
      <c r="U55" s="7"/>
      <c r="V55" s="7"/>
      <c r="W55" s="7"/>
      <c r="X55" s="23">
        <v>2500</v>
      </c>
      <c r="Y55" s="6"/>
      <c r="Z55" s="5">
        <f t="shared" si="5"/>
        <v>0</v>
      </c>
      <c r="AA55" s="6"/>
      <c r="AB55" s="7">
        <f t="shared" si="6"/>
        <v>0</v>
      </c>
    </row>
    <row r="56" spans="1:30" x14ac:dyDescent="0.3">
      <c r="A56" s="2"/>
      <c r="B56" s="2"/>
      <c r="C56" s="2"/>
      <c r="D56" s="2"/>
      <c r="E56" s="2" t="s">
        <v>59</v>
      </c>
      <c r="F56" s="2"/>
      <c r="G56" s="6"/>
      <c r="H56" s="5">
        <v>1200</v>
      </c>
      <c r="I56" s="6"/>
      <c r="J56" s="5">
        <v>700</v>
      </c>
      <c r="K56" s="6"/>
      <c r="L56" s="5">
        <v>1000</v>
      </c>
      <c r="M56" s="6"/>
      <c r="N56" s="5">
        <v>1500</v>
      </c>
      <c r="O56" s="6"/>
      <c r="P56" s="5">
        <f t="shared" si="7"/>
        <v>-500</v>
      </c>
      <c r="Q56" s="6"/>
      <c r="R56" s="7">
        <f t="shared" si="8"/>
        <v>0.66666999999999998</v>
      </c>
      <c r="S56" s="5"/>
      <c r="T56" s="7"/>
      <c r="U56" s="7"/>
      <c r="V56" s="7"/>
      <c r="W56" s="7"/>
      <c r="X56" s="23">
        <v>1500</v>
      </c>
      <c r="Y56" s="6"/>
      <c r="Z56" s="5">
        <f t="shared" si="5"/>
        <v>0</v>
      </c>
      <c r="AA56" s="6"/>
      <c r="AB56" s="7">
        <f t="shared" si="6"/>
        <v>0</v>
      </c>
    </row>
    <row r="57" spans="1:30" x14ac:dyDescent="0.3">
      <c r="A57" s="2"/>
      <c r="B57" s="2"/>
      <c r="C57" s="2"/>
      <c r="D57" s="2"/>
      <c r="E57" s="2" t="s">
        <v>60</v>
      </c>
      <c r="F57" s="2"/>
      <c r="G57" s="6"/>
      <c r="H57" s="5">
        <v>0</v>
      </c>
      <c r="I57" s="6"/>
      <c r="J57" s="5">
        <v>0</v>
      </c>
      <c r="K57" s="6"/>
      <c r="L57" s="5">
        <v>0</v>
      </c>
      <c r="M57" s="6"/>
      <c r="N57" s="5">
        <v>100</v>
      </c>
      <c r="O57" s="6"/>
      <c r="P57" s="5">
        <f t="shared" si="7"/>
        <v>-100</v>
      </c>
      <c r="Q57" s="6"/>
      <c r="R57" s="7">
        <f t="shared" si="8"/>
        <v>0</v>
      </c>
      <c r="S57" s="5"/>
      <c r="T57" s="7"/>
      <c r="U57" s="7"/>
      <c r="V57" s="7"/>
      <c r="W57" s="7"/>
      <c r="X57" s="23">
        <v>100</v>
      </c>
      <c r="Y57" s="6"/>
      <c r="Z57" s="5">
        <f t="shared" si="5"/>
        <v>0</v>
      </c>
      <c r="AA57" s="6"/>
      <c r="AB57" s="7">
        <f t="shared" si="6"/>
        <v>0</v>
      </c>
    </row>
    <row r="58" spans="1:30" x14ac:dyDescent="0.3">
      <c r="A58" s="2"/>
      <c r="B58" s="2"/>
      <c r="C58" s="2"/>
      <c r="D58" s="2"/>
      <c r="E58" s="2" t="s">
        <v>61</v>
      </c>
      <c r="F58" s="2"/>
      <c r="G58" s="6"/>
      <c r="H58" s="5">
        <v>900</v>
      </c>
      <c r="I58" s="6"/>
      <c r="J58" s="5">
        <v>0</v>
      </c>
      <c r="K58" s="6"/>
      <c r="L58" s="5">
        <v>0</v>
      </c>
      <c r="M58" s="6"/>
      <c r="N58" s="5">
        <v>3000</v>
      </c>
      <c r="O58" s="6"/>
      <c r="P58" s="5">
        <f t="shared" si="7"/>
        <v>-3000</v>
      </c>
      <c r="Q58" s="6"/>
      <c r="R58" s="7">
        <f t="shared" si="8"/>
        <v>0</v>
      </c>
      <c r="S58" s="5"/>
      <c r="T58" s="7"/>
      <c r="U58" s="7"/>
      <c r="V58" s="7"/>
      <c r="W58" s="7"/>
      <c r="X58" s="23">
        <v>3000</v>
      </c>
      <c r="Y58" s="6"/>
      <c r="Z58" s="5">
        <f t="shared" si="5"/>
        <v>0</v>
      </c>
      <c r="AA58" s="6"/>
      <c r="AB58" s="7">
        <f t="shared" si="6"/>
        <v>0</v>
      </c>
    </row>
    <row r="59" spans="1:30" x14ac:dyDescent="0.3">
      <c r="A59" s="2"/>
      <c r="B59" s="2"/>
      <c r="C59" s="2"/>
      <c r="D59" s="2"/>
      <c r="E59" s="2" t="s">
        <v>62</v>
      </c>
      <c r="F59" s="2"/>
      <c r="G59" s="6"/>
      <c r="H59" s="5">
        <v>0</v>
      </c>
      <c r="I59" s="6"/>
      <c r="J59" s="5">
        <v>0</v>
      </c>
      <c r="K59" s="6"/>
      <c r="L59" s="5">
        <v>0</v>
      </c>
      <c r="M59" s="6"/>
      <c r="N59" s="5">
        <v>200</v>
      </c>
      <c r="O59" s="6"/>
      <c r="P59" s="5">
        <f t="shared" si="7"/>
        <v>-200</v>
      </c>
      <c r="Q59" s="6"/>
      <c r="R59" s="7">
        <f t="shared" si="8"/>
        <v>0</v>
      </c>
      <c r="S59" s="5"/>
      <c r="T59" s="7"/>
      <c r="U59" s="7"/>
      <c r="V59" s="7"/>
      <c r="W59" s="7"/>
      <c r="X59" s="23">
        <v>200</v>
      </c>
      <c r="Y59" s="6"/>
      <c r="Z59" s="5">
        <f t="shared" si="5"/>
        <v>0</v>
      </c>
      <c r="AA59" s="6"/>
      <c r="AB59" s="7">
        <f t="shared" si="6"/>
        <v>0</v>
      </c>
    </row>
    <row r="60" spans="1:30" x14ac:dyDescent="0.3">
      <c r="A60" s="2"/>
      <c r="B60" s="2"/>
      <c r="C60" s="2"/>
      <c r="D60" s="2"/>
      <c r="E60" s="2" t="s">
        <v>63</v>
      </c>
      <c r="F60" s="2"/>
      <c r="G60" s="6"/>
      <c r="H60" s="5">
        <v>28500</v>
      </c>
      <c r="I60" s="6"/>
      <c r="J60" s="5">
        <v>33500</v>
      </c>
      <c r="K60" s="6"/>
      <c r="L60" s="5">
        <v>36000</v>
      </c>
      <c r="M60" s="6"/>
      <c r="N60" s="5">
        <v>20000</v>
      </c>
      <c r="O60" s="6"/>
      <c r="P60" s="5">
        <f t="shared" si="7"/>
        <v>16000</v>
      </c>
      <c r="Q60" s="6"/>
      <c r="R60" s="7">
        <f t="shared" si="8"/>
        <v>1.8</v>
      </c>
      <c r="S60" s="5"/>
      <c r="T60" s="7"/>
      <c r="U60" s="7"/>
      <c r="V60" s="7"/>
      <c r="W60" s="7"/>
      <c r="X60" s="23">
        <v>20000</v>
      </c>
      <c r="Y60" s="6"/>
      <c r="Z60" s="5">
        <f t="shared" si="5"/>
        <v>0</v>
      </c>
      <c r="AA60" s="6"/>
      <c r="AB60" s="7">
        <f t="shared" si="6"/>
        <v>0</v>
      </c>
    </row>
    <row r="61" spans="1:30" x14ac:dyDescent="0.3">
      <c r="A61" s="2"/>
      <c r="B61" s="2"/>
      <c r="C61" s="2"/>
      <c r="D61" s="2"/>
      <c r="E61" s="2" t="s">
        <v>64</v>
      </c>
      <c r="F61" s="2"/>
      <c r="G61" s="6"/>
      <c r="H61" s="5">
        <v>1029</v>
      </c>
      <c r="I61" s="6"/>
      <c r="J61" s="5">
        <v>1172.5</v>
      </c>
      <c r="K61" s="6"/>
      <c r="L61" s="5">
        <v>809.9</v>
      </c>
      <c r="M61" s="6"/>
      <c r="N61" s="5">
        <v>800</v>
      </c>
      <c r="O61" s="6"/>
      <c r="P61" s="5">
        <f t="shared" si="7"/>
        <v>9.9</v>
      </c>
      <c r="Q61" s="6"/>
      <c r="R61" s="7">
        <f t="shared" si="8"/>
        <v>1.0123800000000001</v>
      </c>
      <c r="S61" s="5"/>
      <c r="T61" s="7"/>
      <c r="U61" s="7"/>
      <c r="V61" s="7"/>
      <c r="W61" s="7"/>
      <c r="X61" s="23">
        <v>800</v>
      </c>
      <c r="Y61" s="6"/>
      <c r="Z61" s="5">
        <f t="shared" si="5"/>
        <v>0</v>
      </c>
      <c r="AA61" s="6"/>
      <c r="AB61" s="7">
        <f t="shared" si="6"/>
        <v>0</v>
      </c>
    </row>
    <row r="62" spans="1:30" x14ac:dyDescent="0.3">
      <c r="A62" s="2"/>
      <c r="B62" s="2"/>
      <c r="C62" s="2"/>
      <c r="D62" s="2"/>
      <c r="E62" s="2" t="s">
        <v>65</v>
      </c>
      <c r="F62" s="2"/>
      <c r="G62" s="6"/>
      <c r="H62" s="5">
        <v>600</v>
      </c>
      <c r="I62" s="6"/>
      <c r="J62" s="5">
        <v>7600</v>
      </c>
      <c r="K62" s="6"/>
      <c r="L62" s="5">
        <v>2852.9</v>
      </c>
      <c r="M62" s="6"/>
      <c r="N62" s="5">
        <v>500</v>
      </c>
      <c r="O62" s="6"/>
      <c r="P62" s="5">
        <f t="shared" si="7"/>
        <v>2352.9</v>
      </c>
      <c r="Q62" s="6"/>
      <c r="R62" s="7">
        <f t="shared" si="8"/>
        <v>5.7058</v>
      </c>
      <c r="S62" s="5"/>
      <c r="T62" s="7"/>
      <c r="U62" s="7"/>
      <c r="V62" s="7"/>
      <c r="W62" s="7"/>
      <c r="X62" s="23">
        <v>500</v>
      </c>
      <c r="Y62" s="6"/>
      <c r="Z62" s="5">
        <f t="shared" si="5"/>
        <v>0</v>
      </c>
      <c r="AA62" s="6"/>
      <c r="AB62" s="7">
        <f t="shared" si="6"/>
        <v>0</v>
      </c>
    </row>
    <row r="63" spans="1:30" ht="15" thickBot="1" x14ac:dyDescent="0.35">
      <c r="A63" s="2"/>
      <c r="B63" s="2"/>
      <c r="C63" s="2"/>
      <c r="D63" s="2"/>
      <c r="E63" s="2" t="s">
        <v>66</v>
      </c>
      <c r="F63" s="2"/>
      <c r="G63" s="6"/>
      <c r="H63" s="8">
        <v>12609.4</v>
      </c>
      <c r="I63" s="6"/>
      <c r="J63" s="8">
        <v>12208</v>
      </c>
      <c r="K63" s="6"/>
      <c r="L63" s="8">
        <v>6052</v>
      </c>
      <c r="M63" s="6"/>
      <c r="N63" s="8">
        <v>12500</v>
      </c>
      <c r="O63" s="6"/>
      <c r="P63" s="8">
        <f t="shared" si="7"/>
        <v>-6448</v>
      </c>
      <c r="Q63" s="6"/>
      <c r="R63" s="9">
        <f t="shared" si="8"/>
        <v>0.48415999999999998</v>
      </c>
      <c r="S63" s="8"/>
      <c r="T63" s="7"/>
      <c r="U63" s="7"/>
      <c r="V63" s="7"/>
      <c r="W63" s="7"/>
      <c r="X63" s="24">
        <v>12500</v>
      </c>
      <c r="Y63" s="6"/>
      <c r="Z63" s="8">
        <f t="shared" si="5"/>
        <v>0</v>
      </c>
      <c r="AA63" s="6"/>
      <c r="AB63" s="9">
        <f t="shared" si="6"/>
        <v>0</v>
      </c>
    </row>
    <row r="64" spans="1:30" x14ac:dyDescent="0.3">
      <c r="A64" s="2"/>
      <c r="B64" s="2"/>
      <c r="C64" s="2"/>
      <c r="D64" s="2" t="s">
        <v>67</v>
      </c>
      <c r="E64" s="2"/>
      <c r="F64" s="2"/>
      <c r="G64" s="6"/>
      <c r="H64" s="5">
        <f>ROUND(SUM(H44:H63),5)</f>
        <v>211416.73</v>
      </c>
      <c r="I64" s="6"/>
      <c r="J64" s="5">
        <f>ROUND(SUM(J44:J63),5)</f>
        <v>258310.48</v>
      </c>
      <c r="K64" s="6"/>
      <c r="L64" s="5">
        <f>ROUND(SUM(L44:L63),5)</f>
        <v>894207.2</v>
      </c>
      <c r="M64" s="6"/>
      <c r="N64" s="5">
        <f>ROUND(SUM(N44:N63),5)</f>
        <v>341194.18</v>
      </c>
      <c r="O64" s="6"/>
      <c r="P64" s="5">
        <f t="shared" si="7"/>
        <v>553013.02</v>
      </c>
      <c r="Q64" s="6"/>
      <c r="R64" s="7">
        <f t="shared" si="8"/>
        <v>2.6208200000000001</v>
      </c>
      <c r="S64" s="5">
        <v>100000</v>
      </c>
      <c r="T64" s="7"/>
      <c r="U64" s="7"/>
      <c r="V64" s="7"/>
      <c r="W64" s="7"/>
      <c r="X64" s="23">
        <f>ROUND(SUM(X44:X63),5)</f>
        <v>312639</v>
      </c>
      <c r="Y64" s="6"/>
      <c r="Z64" s="5">
        <f t="shared" si="5"/>
        <v>-28555.179999999993</v>
      </c>
      <c r="AA64" s="6"/>
      <c r="AB64" s="7">
        <f t="shared" si="6"/>
        <v>-8.3691873055982358E-2</v>
      </c>
      <c r="AC64" s="38"/>
      <c r="AD64" s="58"/>
    </row>
    <row r="65" spans="1:31" x14ac:dyDescent="0.3">
      <c r="A65" s="2"/>
      <c r="B65" s="2"/>
      <c r="C65" s="2"/>
      <c r="D65" s="2" t="s">
        <v>68</v>
      </c>
      <c r="E65" s="2"/>
      <c r="F65" s="2"/>
      <c r="G65" s="6"/>
      <c r="H65" s="5">
        <v>28536.9</v>
      </c>
      <c r="I65" s="6"/>
      <c r="J65" s="5">
        <v>25268.45</v>
      </c>
      <c r="K65" s="6"/>
      <c r="L65" s="5">
        <v>25991.55</v>
      </c>
      <c r="M65" s="6"/>
      <c r="N65" s="5">
        <v>20000</v>
      </c>
      <c r="O65" s="6"/>
      <c r="P65" s="5">
        <f t="shared" si="7"/>
        <v>5991.55</v>
      </c>
      <c r="Q65" s="6"/>
      <c r="R65" s="7">
        <f t="shared" si="8"/>
        <v>1.29958</v>
      </c>
      <c r="S65" s="5"/>
      <c r="T65" s="7"/>
      <c r="U65" s="7"/>
      <c r="V65" s="7"/>
      <c r="W65" s="7"/>
      <c r="X65" s="23">
        <v>20000</v>
      </c>
      <c r="Y65" s="6"/>
      <c r="Z65" s="5">
        <f t="shared" si="5"/>
        <v>0</v>
      </c>
      <c r="AA65" s="6"/>
      <c r="AB65" s="7">
        <f t="shared" si="6"/>
        <v>0</v>
      </c>
    </row>
    <row r="66" spans="1:31" x14ac:dyDescent="0.3">
      <c r="A66" s="2"/>
      <c r="B66" s="2"/>
      <c r="C66" s="2"/>
      <c r="D66" s="2" t="s">
        <v>69</v>
      </c>
      <c r="E66" s="2"/>
      <c r="F66" s="2"/>
      <c r="G66" s="6"/>
      <c r="H66" s="5">
        <v>150</v>
      </c>
      <c r="I66" s="6"/>
      <c r="J66" s="5">
        <v>75</v>
      </c>
      <c r="K66" s="6"/>
      <c r="L66" s="5">
        <v>20</v>
      </c>
      <c r="M66" s="6"/>
      <c r="N66" s="5">
        <v>100</v>
      </c>
      <c r="O66" s="6"/>
      <c r="P66" s="5">
        <f t="shared" si="7"/>
        <v>-80</v>
      </c>
      <c r="Q66" s="6"/>
      <c r="R66" s="7">
        <f t="shared" si="8"/>
        <v>0.2</v>
      </c>
      <c r="S66" s="5"/>
      <c r="T66" s="7"/>
      <c r="U66" s="7"/>
      <c r="V66" s="7"/>
      <c r="W66" s="7"/>
      <c r="X66" s="23">
        <v>100</v>
      </c>
      <c r="Y66" s="6"/>
      <c r="Z66" s="5">
        <f t="shared" si="5"/>
        <v>0</v>
      </c>
      <c r="AA66" s="6"/>
      <c r="AB66" s="7">
        <f t="shared" si="6"/>
        <v>0</v>
      </c>
    </row>
    <row r="67" spans="1:31" x14ac:dyDescent="0.3">
      <c r="A67" s="2"/>
      <c r="B67" s="2"/>
      <c r="C67" s="2"/>
      <c r="D67" s="2" t="s">
        <v>70</v>
      </c>
      <c r="E67" s="2"/>
      <c r="F67" s="2"/>
      <c r="G67" s="6"/>
      <c r="H67" s="5">
        <v>525</v>
      </c>
      <c r="I67" s="6"/>
      <c r="J67" s="5">
        <v>2395</v>
      </c>
      <c r="K67" s="6"/>
      <c r="L67" s="5">
        <v>5705.88</v>
      </c>
      <c r="M67" s="6"/>
      <c r="N67" s="5">
        <v>2400</v>
      </c>
      <c r="O67" s="6"/>
      <c r="P67" s="5">
        <f t="shared" si="7"/>
        <v>3305.88</v>
      </c>
      <c r="Q67" s="6"/>
      <c r="R67" s="7">
        <f t="shared" si="8"/>
        <v>2.3774500000000001</v>
      </c>
      <c r="S67" s="5"/>
      <c r="T67" s="7"/>
      <c r="U67" s="7"/>
      <c r="V67" s="7"/>
      <c r="W67" s="7"/>
      <c r="X67" s="23">
        <v>2400</v>
      </c>
      <c r="Y67" s="6"/>
      <c r="Z67" s="5">
        <f t="shared" si="5"/>
        <v>0</v>
      </c>
      <c r="AA67" s="6"/>
      <c r="AB67" s="7">
        <f t="shared" si="6"/>
        <v>0</v>
      </c>
      <c r="AC67" s="38"/>
      <c r="AD67" s="58"/>
    </row>
    <row r="68" spans="1:31" x14ac:dyDescent="0.3">
      <c r="A68" s="2"/>
      <c r="B68" s="2"/>
      <c r="C68" s="2"/>
      <c r="D68" s="2" t="s">
        <v>71</v>
      </c>
      <c r="E68" s="2"/>
      <c r="F68" s="2"/>
      <c r="G68" s="6"/>
      <c r="H68" s="5"/>
      <c r="I68" s="6"/>
      <c r="J68" s="5"/>
      <c r="K68" s="6"/>
      <c r="L68" s="5"/>
      <c r="M68" s="6"/>
      <c r="N68" s="5"/>
      <c r="O68" s="6"/>
      <c r="P68" s="5"/>
      <c r="Q68" s="6"/>
      <c r="R68" s="7"/>
      <c r="S68" s="5"/>
      <c r="T68" s="7"/>
      <c r="U68" s="7"/>
      <c r="V68" s="7"/>
      <c r="W68" s="7"/>
      <c r="X68" s="23"/>
      <c r="Y68" s="6"/>
      <c r="Z68" s="5"/>
      <c r="AA68" s="6"/>
      <c r="AB68" s="7"/>
    </row>
    <row r="69" spans="1:31" x14ac:dyDescent="0.3">
      <c r="A69" s="2"/>
      <c r="B69" s="2"/>
      <c r="C69" s="2"/>
      <c r="D69" s="2"/>
      <c r="E69" s="2" t="s">
        <v>72</v>
      </c>
      <c r="F69" s="2"/>
      <c r="G69" s="6"/>
      <c r="H69" s="5">
        <v>4895.4799999999996</v>
      </c>
      <c r="I69" s="6"/>
      <c r="J69" s="5">
        <v>880</v>
      </c>
      <c r="K69" s="6"/>
      <c r="L69" s="5">
        <v>47511</v>
      </c>
      <c r="M69" s="6"/>
      <c r="N69" s="5">
        <v>45000</v>
      </c>
      <c r="O69" s="6"/>
      <c r="P69" s="5">
        <f>ROUND((L69-N69),5)</f>
        <v>2511</v>
      </c>
      <c r="Q69" s="6"/>
      <c r="R69" s="7">
        <f>ROUND(IF(N69=0, IF(L69=0, 0, 1), L69/N69),5)</f>
        <v>1.0558000000000001</v>
      </c>
      <c r="S69" s="5"/>
      <c r="T69" s="7"/>
      <c r="U69" s="7"/>
      <c r="V69" s="7"/>
      <c r="W69" s="7"/>
      <c r="X69" s="23">
        <v>5000</v>
      </c>
      <c r="Y69" s="6"/>
      <c r="Z69" s="5">
        <f>X69-N69</f>
        <v>-40000</v>
      </c>
      <c r="AA69" s="6"/>
      <c r="AB69" s="7">
        <f>Z69/N69</f>
        <v>-0.88888888888888884</v>
      </c>
    </row>
    <row r="70" spans="1:31" x14ac:dyDescent="0.3">
      <c r="A70" s="2"/>
      <c r="B70" s="2"/>
      <c r="C70" s="2"/>
      <c r="D70" s="2"/>
      <c r="E70" s="2" t="s">
        <v>401</v>
      </c>
      <c r="F70" s="2"/>
      <c r="G70" s="6"/>
      <c r="H70" s="5"/>
      <c r="I70" s="6"/>
      <c r="J70" s="5"/>
      <c r="K70" s="6"/>
      <c r="L70" s="5">
        <v>425.1</v>
      </c>
      <c r="M70" s="6"/>
      <c r="N70" s="5"/>
      <c r="O70" s="6"/>
      <c r="P70" s="5"/>
      <c r="Q70" s="6"/>
      <c r="R70" s="7"/>
      <c r="S70" s="5"/>
      <c r="T70" s="7"/>
      <c r="U70" s="7"/>
      <c r="V70" s="7"/>
      <c r="W70" s="7"/>
      <c r="X70" s="23"/>
      <c r="Y70" s="6"/>
      <c r="Z70" s="5"/>
      <c r="AA70" s="6"/>
      <c r="AB70" s="7"/>
    </row>
    <row r="71" spans="1:31" ht="15" thickBot="1" x14ac:dyDescent="0.35">
      <c r="A71" s="2"/>
      <c r="B71" s="2"/>
      <c r="C71" s="2"/>
      <c r="D71" s="2"/>
      <c r="E71" s="2" t="s">
        <v>73</v>
      </c>
      <c r="F71" s="2"/>
      <c r="G71" s="6"/>
      <c r="H71" s="8">
        <v>47460</v>
      </c>
      <c r="I71" s="6"/>
      <c r="J71" s="8">
        <v>693426</v>
      </c>
      <c r="K71" s="6"/>
      <c r="L71" s="8">
        <v>22661.119999999999</v>
      </c>
      <c r="M71" s="6"/>
      <c r="N71" s="8">
        <v>2000</v>
      </c>
      <c r="O71" s="6"/>
      <c r="P71" s="8">
        <f>ROUND((L71-N71),5)</f>
        <v>20661.12</v>
      </c>
      <c r="Q71" s="6"/>
      <c r="R71" s="9">
        <f>ROUND(IF(N71=0, IF(L71=0, 0, 1), L71/N71),5)</f>
        <v>11.33056</v>
      </c>
      <c r="S71" s="8"/>
      <c r="T71" s="7"/>
      <c r="U71" s="7"/>
      <c r="V71" s="7"/>
      <c r="W71" s="7"/>
      <c r="X71" s="24">
        <v>2000</v>
      </c>
      <c r="Y71" s="6"/>
      <c r="Z71" s="8">
        <f>X71-N71</f>
        <v>0</v>
      </c>
      <c r="AA71" s="6"/>
      <c r="AB71" s="9">
        <f>Z71/N71</f>
        <v>0</v>
      </c>
    </row>
    <row r="72" spans="1:31" x14ac:dyDescent="0.3">
      <c r="A72" s="2"/>
      <c r="B72" s="2"/>
      <c r="C72" s="2"/>
      <c r="D72" s="2" t="s">
        <v>74</v>
      </c>
      <c r="E72" s="2"/>
      <c r="F72" s="2"/>
      <c r="G72" s="6"/>
      <c r="H72" s="5">
        <f>ROUND(SUM(H68:H71),5)</f>
        <v>52355.48</v>
      </c>
      <c r="I72" s="6"/>
      <c r="J72" s="5">
        <f>ROUND(SUM(J68:J71),5)</f>
        <v>694306</v>
      </c>
      <c r="K72" s="6"/>
      <c r="L72" s="5">
        <f>ROUND(SUM(L68:L71),5)</f>
        <v>70597.22</v>
      </c>
      <c r="M72" s="6"/>
      <c r="N72" s="5">
        <f>ROUND(SUM(N68:N71),5)</f>
        <v>47000</v>
      </c>
      <c r="O72" s="6"/>
      <c r="P72" s="5">
        <f>ROUND((L72-N72),5)</f>
        <v>23597.22</v>
      </c>
      <c r="Q72" s="6"/>
      <c r="R72" s="7">
        <f>ROUND(IF(N72=0, IF(L72=0, 0, 1), L72/N72),5)</f>
        <v>1.50207</v>
      </c>
      <c r="S72" s="5"/>
      <c r="T72" s="7"/>
      <c r="U72" s="7"/>
      <c r="V72" s="7"/>
      <c r="W72" s="7"/>
      <c r="X72" s="23">
        <f>SUM(X69:X71)</f>
        <v>7000</v>
      </c>
      <c r="Y72" s="6"/>
      <c r="Z72" s="5">
        <f>X72-N72</f>
        <v>-40000</v>
      </c>
      <c r="AA72" s="6"/>
      <c r="AB72" s="7">
        <f>Z72/N72</f>
        <v>-0.85106382978723405</v>
      </c>
      <c r="AC72" s="38"/>
    </row>
    <row r="73" spans="1:31" x14ac:dyDescent="0.3">
      <c r="A73" s="2"/>
      <c r="B73" s="2"/>
      <c r="C73" s="2"/>
      <c r="D73" s="2" t="s">
        <v>75</v>
      </c>
      <c r="E73" s="2"/>
      <c r="F73" s="2"/>
      <c r="G73" s="6"/>
      <c r="H73" s="5"/>
      <c r="I73" s="6"/>
      <c r="J73" s="5"/>
      <c r="K73" s="6"/>
      <c r="L73" s="5"/>
      <c r="M73" s="6"/>
      <c r="N73" s="5"/>
      <c r="O73" s="6"/>
      <c r="P73" s="5"/>
      <c r="Q73" s="6"/>
      <c r="R73" s="7"/>
      <c r="S73" s="5"/>
      <c r="T73" s="7"/>
      <c r="U73" s="7"/>
      <c r="V73" s="7"/>
      <c r="W73" s="7"/>
      <c r="X73" s="23"/>
      <c r="Y73" s="6"/>
      <c r="Z73" s="5"/>
      <c r="AA73" s="6"/>
      <c r="AB73" s="7"/>
    </row>
    <row r="74" spans="1:31" x14ac:dyDescent="0.3">
      <c r="A74" s="2"/>
      <c r="B74" s="2"/>
      <c r="C74" s="2"/>
      <c r="D74" s="2"/>
      <c r="E74" s="2" t="s">
        <v>76</v>
      </c>
      <c r="F74" s="2"/>
      <c r="G74" s="6"/>
      <c r="H74" s="5">
        <v>23319.52</v>
      </c>
      <c r="I74" s="6"/>
      <c r="J74" s="5">
        <v>6938.28</v>
      </c>
      <c r="K74" s="6"/>
      <c r="L74" s="5">
        <v>10081.07</v>
      </c>
      <c r="M74" s="6"/>
      <c r="N74" s="5">
        <v>5000</v>
      </c>
      <c r="O74" s="6"/>
      <c r="P74" s="5">
        <f t="shared" ref="P74:P80" si="9">ROUND((L74-N74),5)</f>
        <v>5081.07</v>
      </c>
      <c r="Q74" s="6"/>
      <c r="R74" s="7">
        <f t="shared" ref="R74:R80" si="10">ROUND(IF(N74=0, IF(L74=0, 0, 1), L74/N74),5)</f>
        <v>2.0162100000000001</v>
      </c>
      <c r="S74" s="5"/>
      <c r="T74" s="7"/>
      <c r="U74" s="7"/>
      <c r="V74" s="7"/>
      <c r="W74" s="7"/>
      <c r="X74" s="23">
        <v>5000</v>
      </c>
      <c r="Y74" s="6"/>
      <c r="Z74" s="5">
        <f t="shared" ref="Z74:Z80" si="11">X74-N74</f>
        <v>0</v>
      </c>
      <c r="AA74" s="6"/>
      <c r="AB74" s="7">
        <f t="shared" ref="AB74:AB80" si="12">Z74/N74</f>
        <v>0</v>
      </c>
    </row>
    <row r="75" spans="1:31" x14ac:dyDescent="0.3">
      <c r="A75" s="2"/>
      <c r="B75" s="2"/>
      <c r="C75" s="2"/>
      <c r="D75" s="2"/>
      <c r="E75" s="2" t="s">
        <v>77</v>
      </c>
      <c r="F75" s="2"/>
      <c r="G75" s="6"/>
      <c r="H75" s="5">
        <v>155930.57999999999</v>
      </c>
      <c r="I75" s="6"/>
      <c r="J75" s="5">
        <v>137922.99</v>
      </c>
      <c r="K75" s="6"/>
      <c r="L75" s="5">
        <v>130624.52</v>
      </c>
      <c r="M75" s="6"/>
      <c r="N75" s="5">
        <v>150000</v>
      </c>
      <c r="O75" s="6"/>
      <c r="P75" s="5">
        <f t="shared" si="9"/>
        <v>-19375.48</v>
      </c>
      <c r="Q75" s="6"/>
      <c r="R75" s="7">
        <f t="shared" si="10"/>
        <v>0.87082999999999999</v>
      </c>
      <c r="S75" s="5"/>
      <c r="T75" s="7"/>
      <c r="U75" s="7"/>
      <c r="V75" s="7"/>
      <c r="W75" s="7"/>
      <c r="X75" s="23">
        <v>150000</v>
      </c>
      <c r="Y75" s="6"/>
      <c r="Z75" s="5">
        <f t="shared" si="11"/>
        <v>0</v>
      </c>
      <c r="AA75" s="6"/>
      <c r="AB75" s="7">
        <f t="shared" si="12"/>
        <v>0</v>
      </c>
    </row>
    <row r="76" spans="1:31" ht="15" thickBot="1" x14ac:dyDescent="0.35">
      <c r="A76" s="2"/>
      <c r="B76" s="2"/>
      <c r="C76" s="2"/>
      <c r="D76" s="2"/>
      <c r="E76" s="2" t="s">
        <v>78</v>
      </c>
      <c r="F76" s="2"/>
      <c r="G76" s="6"/>
      <c r="H76" s="8">
        <v>21453.439999999999</v>
      </c>
      <c r="I76" s="6"/>
      <c r="J76" s="8">
        <v>22112.240000000002</v>
      </c>
      <c r="K76" s="6"/>
      <c r="L76" s="8">
        <v>24353.17</v>
      </c>
      <c r="M76" s="6"/>
      <c r="N76" s="8">
        <v>22000</v>
      </c>
      <c r="O76" s="6"/>
      <c r="P76" s="8">
        <f t="shared" si="9"/>
        <v>2353.17</v>
      </c>
      <c r="Q76" s="6"/>
      <c r="R76" s="9">
        <f t="shared" si="10"/>
        <v>1.1069599999999999</v>
      </c>
      <c r="S76" s="8"/>
      <c r="T76" s="7"/>
      <c r="U76" s="7"/>
      <c r="V76" s="7"/>
      <c r="W76" s="7"/>
      <c r="X76" s="24">
        <v>22000</v>
      </c>
      <c r="Y76" s="6"/>
      <c r="Z76" s="8">
        <f t="shared" si="11"/>
        <v>0</v>
      </c>
      <c r="AA76" s="6"/>
      <c r="AB76" s="9">
        <f t="shared" si="12"/>
        <v>0</v>
      </c>
    </row>
    <row r="77" spans="1:31" x14ac:dyDescent="0.3">
      <c r="A77" s="2"/>
      <c r="B77" s="2"/>
      <c r="C77" s="2"/>
      <c r="D77" s="2" t="s">
        <v>79</v>
      </c>
      <c r="E77" s="2"/>
      <c r="F77" s="2"/>
      <c r="G77" s="6"/>
      <c r="H77" s="5">
        <f>ROUND(SUM(H73:H76),5)</f>
        <v>200703.54</v>
      </c>
      <c r="I77" s="6"/>
      <c r="J77" s="5">
        <f>ROUND(SUM(J73:J76),5)</f>
        <v>166973.51</v>
      </c>
      <c r="K77" s="6"/>
      <c r="L77" s="5">
        <f>ROUND(SUM(L73:L76),5)</f>
        <v>165058.76</v>
      </c>
      <c r="M77" s="6"/>
      <c r="N77" s="5">
        <f>ROUND(SUM(N73:N76),5)</f>
        <v>177000</v>
      </c>
      <c r="O77" s="6"/>
      <c r="P77" s="5">
        <f t="shared" si="9"/>
        <v>-11941.24</v>
      </c>
      <c r="Q77" s="6"/>
      <c r="R77" s="7">
        <f t="shared" si="10"/>
        <v>0.93254000000000004</v>
      </c>
      <c r="S77" s="5">
        <f>P77*-1</f>
        <v>11941.24</v>
      </c>
      <c r="T77" s="7"/>
      <c r="U77" s="7"/>
      <c r="V77" s="7"/>
      <c r="W77" s="7"/>
      <c r="X77" s="23">
        <v>177000</v>
      </c>
      <c r="Y77" s="6"/>
      <c r="Z77" s="5">
        <f t="shared" si="11"/>
        <v>0</v>
      </c>
      <c r="AA77" s="6"/>
      <c r="AB77" s="7">
        <f t="shared" si="12"/>
        <v>0</v>
      </c>
      <c r="AC77" s="38"/>
    </row>
    <row r="78" spans="1:31" ht="15" thickBot="1" x14ac:dyDescent="0.35">
      <c r="A78" s="2"/>
      <c r="B78" s="2"/>
      <c r="C78" s="2"/>
      <c r="D78" s="2" t="s">
        <v>80</v>
      </c>
      <c r="E78" s="2"/>
      <c r="F78" s="2"/>
      <c r="G78" s="6"/>
      <c r="H78" s="5">
        <v>0</v>
      </c>
      <c r="I78" s="6"/>
      <c r="J78" s="5">
        <v>0</v>
      </c>
      <c r="K78" s="6"/>
      <c r="L78" s="5">
        <v>0</v>
      </c>
      <c r="M78" s="6"/>
      <c r="N78" s="21">
        <v>707636.25</v>
      </c>
      <c r="O78" s="6"/>
      <c r="P78" s="5">
        <f t="shared" si="9"/>
        <v>-707636.25</v>
      </c>
      <c r="Q78" s="6"/>
      <c r="R78" s="7">
        <f t="shared" si="10"/>
        <v>0</v>
      </c>
      <c r="S78" s="5"/>
      <c r="T78" s="7"/>
      <c r="U78" s="7"/>
      <c r="V78" s="7"/>
      <c r="W78" s="7"/>
      <c r="X78" s="23">
        <v>568559.89009</v>
      </c>
      <c r="Y78" s="6"/>
      <c r="Z78" s="5">
        <f t="shared" si="11"/>
        <v>-139076.35991</v>
      </c>
      <c r="AA78" s="6"/>
      <c r="AB78" s="7">
        <f t="shared" si="12"/>
        <v>-0.19653651139268233</v>
      </c>
      <c r="AC78" s="5"/>
      <c r="AD78" s="49"/>
    </row>
    <row r="79" spans="1:31" ht="15" thickBot="1" x14ac:dyDescent="0.35">
      <c r="A79" s="2"/>
      <c r="B79" s="2"/>
      <c r="C79" s="2" t="s">
        <v>81</v>
      </c>
      <c r="D79" s="2"/>
      <c r="E79" s="2"/>
      <c r="F79" s="2"/>
      <c r="G79" s="6"/>
      <c r="H79" s="10">
        <f>ROUND(SUM(H3:H6)+H14+H18+SUM(H24:H25)+SUM(H35:H36)+H40+H43+SUM(H64:H67)+H72+SUM(H77:H78),5)</f>
        <v>8691184.3599999994</v>
      </c>
      <c r="I79" s="6"/>
      <c r="J79" s="10">
        <f>ROUND(SUM(J3:J6)+J14+J18+SUM(J24:J25)+SUM(J35:J36)+J40+J43+SUM(J64:J67)+J72+SUM(J77:J78),5)</f>
        <v>10964872.869999999</v>
      </c>
      <c r="K79" s="6"/>
      <c r="L79" s="10">
        <f>ROUND(SUM(L3:L6)+L14+L18+SUM(L24:L25)+SUM(L35:L36)+L40+L43+SUM(L64:L67)+L72+SUM(L77:L78),5)</f>
        <v>11194183.279999999</v>
      </c>
      <c r="M79" s="6"/>
      <c r="N79" s="10">
        <f>ROUND(SUM(N3:N6)+N14+N18+SUM(N24:N25)+SUM(N35:N36)+N40+N43+SUM(N64:N67)+N72+SUM(N77:N78),5)</f>
        <v>10959931.1</v>
      </c>
      <c r="O79" s="6"/>
      <c r="P79" s="10">
        <f t="shared" si="9"/>
        <v>234252.18</v>
      </c>
      <c r="Q79" s="6"/>
      <c r="R79" s="11">
        <f t="shared" si="10"/>
        <v>1.0213699999999999</v>
      </c>
      <c r="S79" s="10"/>
      <c r="T79" s="7"/>
      <c r="U79" s="7"/>
      <c r="V79" s="7"/>
      <c r="W79" s="7"/>
      <c r="X79" s="25">
        <f>ROUND(SUM(X3:X6)+X14+X18+SUM(X24:X25)+SUM(X35:X36)+X40+X43+SUM(X64:X67)+X72+SUM(X77:X78),5)</f>
        <v>10168187.520090001</v>
      </c>
      <c r="Y79" s="6"/>
      <c r="Z79" s="10">
        <f t="shared" si="11"/>
        <v>-791743.57990999892</v>
      </c>
      <c r="AA79" s="6"/>
      <c r="AB79" s="11">
        <f t="shared" si="12"/>
        <v>-7.2239831864453874E-2</v>
      </c>
      <c r="AE79" s="58"/>
    </row>
    <row r="80" spans="1:31" x14ac:dyDescent="0.3">
      <c r="A80" s="2"/>
      <c r="B80" s="2" t="s">
        <v>82</v>
      </c>
      <c r="C80" s="2"/>
      <c r="D80" s="2"/>
      <c r="E80" s="2"/>
      <c r="F80" s="2"/>
      <c r="G80" s="6"/>
      <c r="H80" s="5">
        <f>H79</f>
        <v>8691184.3599999994</v>
      </c>
      <c r="I80" s="6"/>
      <c r="J80" s="5">
        <f>J79</f>
        <v>10964872.869999999</v>
      </c>
      <c r="K80" s="6"/>
      <c r="L80" s="5">
        <f>L79</f>
        <v>11194183.279999999</v>
      </c>
      <c r="M80" s="6"/>
      <c r="N80" s="5">
        <f>N79</f>
        <v>10959931.1</v>
      </c>
      <c r="O80" s="6"/>
      <c r="P80" s="5">
        <f t="shared" si="9"/>
        <v>234252.18</v>
      </c>
      <c r="Q80" s="6"/>
      <c r="R80" s="7">
        <f t="shared" si="10"/>
        <v>1.0213699999999999</v>
      </c>
      <c r="S80" s="5">
        <f>SUM(S4:S79)</f>
        <v>342195.8</v>
      </c>
      <c r="T80" s="7"/>
      <c r="U80" s="7"/>
      <c r="V80" s="7"/>
      <c r="W80" s="7"/>
      <c r="X80" s="23">
        <f>X79</f>
        <v>10168187.520090001</v>
      </c>
      <c r="Y80" s="6"/>
      <c r="Z80" s="5">
        <f t="shared" si="11"/>
        <v>-791743.57990999892</v>
      </c>
      <c r="AA80" s="6"/>
      <c r="AB80" s="7">
        <f t="shared" si="12"/>
        <v>-7.2239831864453874E-2</v>
      </c>
      <c r="AC80" s="49"/>
    </row>
    <row r="81" spans="1:28" x14ac:dyDescent="0.3">
      <c r="A81" s="2"/>
      <c r="B81" s="2"/>
      <c r="C81" s="2" t="s">
        <v>83</v>
      </c>
      <c r="D81" s="2"/>
      <c r="E81" s="2"/>
      <c r="F81" s="2"/>
      <c r="G81" s="6"/>
      <c r="H81" s="5"/>
      <c r="I81" s="6"/>
      <c r="J81" s="5"/>
      <c r="K81" s="6"/>
      <c r="L81" s="5"/>
      <c r="M81" s="6"/>
      <c r="N81" s="5"/>
      <c r="O81" s="6"/>
      <c r="P81" s="5"/>
      <c r="Q81" s="6"/>
      <c r="R81" s="7"/>
      <c r="S81" s="5"/>
      <c r="T81" s="7"/>
      <c r="U81" s="7"/>
      <c r="V81" s="7"/>
      <c r="W81" s="7"/>
      <c r="X81" s="23"/>
      <c r="Y81" s="6"/>
      <c r="Z81" s="5"/>
      <c r="AA81" s="6"/>
      <c r="AB81" s="7"/>
    </row>
    <row r="82" spans="1:28" x14ac:dyDescent="0.3">
      <c r="A82" s="2"/>
      <c r="B82" s="2"/>
      <c r="C82" s="2"/>
      <c r="D82" s="2" t="s">
        <v>84</v>
      </c>
      <c r="E82" s="2"/>
      <c r="F82" s="2"/>
      <c r="G82" s="6"/>
      <c r="H82" s="5"/>
      <c r="I82" s="6"/>
      <c r="J82" s="5"/>
      <c r="K82" s="6"/>
      <c r="L82" s="5"/>
      <c r="M82" s="6"/>
      <c r="N82" s="5"/>
      <c r="O82" s="6"/>
      <c r="P82" s="5"/>
      <c r="Q82" s="6"/>
      <c r="R82" s="7"/>
      <c r="S82" s="5"/>
      <c r="T82" s="7"/>
      <c r="U82" s="7"/>
      <c r="V82" s="7"/>
      <c r="W82" s="7"/>
      <c r="X82" s="23"/>
      <c r="Y82" s="6"/>
      <c r="Z82" s="5"/>
      <c r="AA82" s="6"/>
      <c r="AB82" s="7"/>
    </row>
    <row r="83" spans="1:28" x14ac:dyDescent="0.3">
      <c r="A83" s="2"/>
      <c r="B83" s="2"/>
      <c r="C83" s="2"/>
      <c r="D83" s="2"/>
      <c r="E83" s="2" t="s">
        <v>85</v>
      </c>
      <c r="F83" s="2"/>
      <c r="G83" s="6"/>
      <c r="H83" s="5">
        <v>20650</v>
      </c>
      <c r="I83" s="6"/>
      <c r="J83" s="5">
        <v>20217.259999999998</v>
      </c>
      <c r="K83" s="6"/>
      <c r="L83" s="5">
        <v>20210.419999999998</v>
      </c>
      <c r="M83" s="6"/>
      <c r="N83" s="5">
        <v>27250</v>
      </c>
      <c r="O83" s="6"/>
      <c r="P83" s="5">
        <f t="shared" ref="P83:P89" si="13">ROUND((L83-N83),5)</f>
        <v>-7039.58</v>
      </c>
      <c r="Q83" s="6"/>
      <c r="R83" s="7">
        <f t="shared" ref="R83:R89" si="14">ROUND(IF(N83=0, IF(L83=0, 0, 1), L83/N83),5)</f>
        <v>0.74167000000000005</v>
      </c>
      <c r="S83" s="5"/>
      <c r="T83" s="7"/>
      <c r="U83" s="7"/>
      <c r="V83" s="7"/>
      <c r="W83" s="7"/>
      <c r="X83" s="23">
        <v>27250</v>
      </c>
      <c r="Y83" s="6"/>
      <c r="Z83" s="5">
        <f t="shared" ref="Z83:Z116" si="15">X83-N83</f>
        <v>0</v>
      </c>
      <c r="AA83" s="6"/>
      <c r="AB83" s="7">
        <f t="shared" ref="AB83:AB116" si="16">Z83/N83</f>
        <v>0</v>
      </c>
    </row>
    <row r="84" spans="1:28" x14ac:dyDescent="0.3">
      <c r="A84" s="2"/>
      <c r="B84" s="2"/>
      <c r="C84" s="2"/>
      <c r="D84" s="2"/>
      <c r="E84" s="2" t="s">
        <v>86</v>
      </c>
      <c r="F84" s="2"/>
      <c r="G84" s="6"/>
      <c r="H84" s="5">
        <v>1579.72</v>
      </c>
      <c r="I84" s="6"/>
      <c r="J84" s="5">
        <v>1546.62</v>
      </c>
      <c r="K84" s="6"/>
      <c r="L84" s="5">
        <v>1546.1</v>
      </c>
      <c r="M84" s="6"/>
      <c r="N84" s="5">
        <v>2084.63</v>
      </c>
      <c r="O84" s="6"/>
      <c r="P84" s="5">
        <f t="shared" si="13"/>
        <v>-538.53</v>
      </c>
      <c r="Q84" s="6"/>
      <c r="R84" s="7">
        <f t="shared" si="14"/>
        <v>0.74167000000000005</v>
      </c>
      <c r="S84" s="5"/>
      <c r="T84" s="7"/>
      <c r="U84" s="7"/>
      <c r="V84" s="7"/>
      <c r="W84" s="7"/>
      <c r="X84" s="23">
        <v>2084.63</v>
      </c>
      <c r="Y84" s="6"/>
      <c r="Z84" s="5">
        <f t="shared" si="15"/>
        <v>0</v>
      </c>
      <c r="AA84" s="6"/>
      <c r="AB84" s="7">
        <f t="shared" si="16"/>
        <v>0</v>
      </c>
    </row>
    <row r="85" spans="1:28" x14ac:dyDescent="0.3">
      <c r="A85" s="2"/>
      <c r="B85" s="2"/>
      <c r="C85" s="2"/>
      <c r="D85" s="2"/>
      <c r="E85" s="2" t="s">
        <v>87</v>
      </c>
      <c r="F85" s="2"/>
      <c r="G85" s="6"/>
      <c r="H85" s="5">
        <v>848.64</v>
      </c>
      <c r="I85" s="6"/>
      <c r="J85" s="5">
        <v>0</v>
      </c>
      <c r="K85" s="6"/>
      <c r="L85" s="5">
        <v>523.09</v>
      </c>
      <c r="M85" s="6"/>
      <c r="N85" s="5">
        <v>1000</v>
      </c>
      <c r="O85" s="6"/>
      <c r="P85" s="5">
        <f t="shared" si="13"/>
        <v>-476.91</v>
      </c>
      <c r="Q85" s="6"/>
      <c r="R85" s="7">
        <f t="shared" si="14"/>
        <v>0.52309000000000005</v>
      </c>
      <c r="S85" s="5"/>
      <c r="T85" s="7"/>
      <c r="U85" s="7"/>
      <c r="V85" s="7"/>
      <c r="W85" s="7"/>
      <c r="X85" s="23">
        <v>1000</v>
      </c>
      <c r="Y85" s="6"/>
      <c r="Z85" s="5">
        <f t="shared" si="15"/>
        <v>0</v>
      </c>
      <c r="AA85" s="6"/>
      <c r="AB85" s="7">
        <f t="shared" si="16"/>
        <v>0</v>
      </c>
    </row>
    <row r="86" spans="1:28" x14ac:dyDescent="0.3">
      <c r="A86" s="2"/>
      <c r="B86" s="2"/>
      <c r="C86" s="2"/>
      <c r="D86" s="2"/>
      <c r="E86" s="2" t="s">
        <v>88</v>
      </c>
      <c r="F86" s="2"/>
      <c r="G86" s="6"/>
      <c r="H86" s="5">
        <v>1293</v>
      </c>
      <c r="I86" s="6"/>
      <c r="J86" s="5">
        <v>715.59</v>
      </c>
      <c r="K86" s="6"/>
      <c r="L86" s="5">
        <v>788.6</v>
      </c>
      <c r="M86" s="6"/>
      <c r="N86" s="5">
        <v>1500</v>
      </c>
      <c r="O86" s="6"/>
      <c r="P86" s="5">
        <f t="shared" si="13"/>
        <v>-711.4</v>
      </c>
      <c r="Q86" s="6"/>
      <c r="R86" s="7">
        <f t="shared" si="14"/>
        <v>0.52573000000000003</v>
      </c>
      <c r="S86" s="5"/>
      <c r="T86" s="7"/>
      <c r="U86" s="7"/>
      <c r="V86" s="7"/>
      <c r="W86" s="7"/>
      <c r="X86" s="23">
        <v>1500</v>
      </c>
      <c r="Y86" s="6"/>
      <c r="Z86" s="5">
        <f t="shared" si="15"/>
        <v>0</v>
      </c>
      <c r="AA86" s="6"/>
      <c r="AB86" s="7">
        <f t="shared" si="16"/>
        <v>0</v>
      </c>
    </row>
    <row r="87" spans="1:28" x14ac:dyDescent="0.3">
      <c r="A87" s="2"/>
      <c r="B87" s="2"/>
      <c r="C87" s="2"/>
      <c r="D87" s="2"/>
      <c r="E87" s="2" t="s">
        <v>89</v>
      </c>
      <c r="F87" s="2"/>
      <c r="G87" s="6"/>
      <c r="H87" s="5">
        <v>1053.1400000000001</v>
      </c>
      <c r="I87" s="6"/>
      <c r="J87" s="5">
        <v>1085.99</v>
      </c>
      <c r="K87" s="6"/>
      <c r="L87" s="5">
        <v>2206.9899999999998</v>
      </c>
      <c r="M87" s="6"/>
      <c r="N87" s="5">
        <v>3000</v>
      </c>
      <c r="O87" s="6"/>
      <c r="P87" s="5">
        <f t="shared" si="13"/>
        <v>-793.01</v>
      </c>
      <c r="Q87" s="6"/>
      <c r="R87" s="7">
        <f t="shared" si="14"/>
        <v>0.73565999999999998</v>
      </c>
      <c r="S87" s="5"/>
      <c r="T87" s="7"/>
      <c r="U87" s="7"/>
      <c r="V87" s="7"/>
      <c r="W87" s="7"/>
      <c r="X87" s="23">
        <v>3000</v>
      </c>
      <c r="Y87" s="6"/>
      <c r="Z87" s="5">
        <f t="shared" si="15"/>
        <v>0</v>
      </c>
      <c r="AA87" s="6"/>
      <c r="AB87" s="7">
        <f t="shared" si="16"/>
        <v>0</v>
      </c>
    </row>
    <row r="88" spans="1:28" x14ac:dyDescent="0.3">
      <c r="A88" s="2"/>
      <c r="B88" s="2"/>
      <c r="C88" s="2"/>
      <c r="D88" s="2"/>
      <c r="E88" s="2" t="s">
        <v>90</v>
      </c>
      <c r="F88" s="2"/>
      <c r="G88" s="6"/>
      <c r="H88" s="5">
        <v>900</v>
      </c>
      <c r="I88" s="6"/>
      <c r="J88" s="5">
        <v>1000</v>
      </c>
      <c r="K88" s="6"/>
      <c r="L88" s="5">
        <v>100</v>
      </c>
      <c r="M88" s="6"/>
      <c r="N88" s="5">
        <v>1000</v>
      </c>
      <c r="O88" s="6"/>
      <c r="P88" s="5">
        <f t="shared" si="13"/>
        <v>-900</v>
      </c>
      <c r="Q88" s="6"/>
      <c r="R88" s="7">
        <f t="shared" si="14"/>
        <v>0.1</v>
      </c>
      <c r="S88" s="5"/>
      <c r="T88" s="7"/>
      <c r="U88" s="7"/>
      <c r="V88" s="7"/>
      <c r="W88" s="7"/>
      <c r="X88" s="23">
        <v>1000</v>
      </c>
      <c r="Y88" s="6"/>
      <c r="Z88" s="5">
        <f t="shared" si="15"/>
        <v>0</v>
      </c>
      <c r="AA88" s="6"/>
      <c r="AB88" s="7">
        <f t="shared" si="16"/>
        <v>0</v>
      </c>
    </row>
    <row r="89" spans="1:28" x14ac:dyDescent="0.3">
      <c r="A89" s="2"/>
      <c r="B89" s="2"/>
      <c r="C89" s="2"/>
      <c r="D89" s="2"/>
      <c r="E89" s="2" t="s">
        <v>91</v>
      </c>
      <c r="F89" s="2"/>
      <c r="G89" s="6"/>
      <c r="H89" s="5">
        <v>113333.12</v>
      </c>
      <c r="I89" s="6"/>
      <c r="J89" s="5">
        <v>122914.02</v>
      </c>
      <c r="K89" s="6"/>
      <c r="L89" s="5">
        <v>110012.5</v>
      </c>
      <c r="M89" s="6"/>
      <c r="N89" s="5">
        <v>130000</v>
      </c>
      <c r="O89" s="6"/>
      <c r="P89" s="5">
        <f t="shared" si="13"/>
        <v>-19987.5</v>
      </c>
      <c r="Q89" s="6"/>
      <c r="R89" s="7">
        <f t="shared" si="14"/>
        <v>0.84624999999999995</v>
      </c>
      <c r="S89" s="5"/>
      <c r="T89" s="7"/>
      <c r="U89" s="7"/>
      <c r="V89" s="7"/>
      <c r="W89" s="7"/>
      <c r="X89" s="23">
        <v>140000</v>
      </c>
      <c r="Y89" s="6"/>
      <c r="Z89" s="5">
        <f t="shared" si="15"/>
        <v>10000</v>
      </c>
      <c r="AA89" s="6"/>
      <c r="AB89" s="7">
        <f t="shared" si="16"/>
        <v>7.6923076923076927E-2</v>
      </c>
    </row>
    <row r="90" spans="1:28" x14ac:dyDescent="0.3">
      <c r="A90" s="2"/>
      <c r="B90" s="2"/>
      <c r="C90" s="2"/>
      <c r="D90" s="2"/>
      <c r="E90" s="2" t="s">
        <v>403</v>
      </c>
      <c r="F90" s="2"/>
      <c r="G90" s="6"/>
      <c r="H90" s="5"/>
      <c r="I90" s="6"/>
      <c r="J90" s="5"/>
      <c r="K90" s="6"/>
      <c r="L90" s="5">
        <v>382.5</v>
      </c>
      <c r="M90" s="6"/>
      <c r="N90" s="5"/>
      <c r="O90" s="6"/>
      <c r="P90" s="5"/>
      <c r="Q90" s="6"/>
      <c r="R90" s="7"/>
      <c r="S90" s="5"/>
      <c r="T90" s="7"/>
      <c r="U90" s="7"/>
      <c r="V90" s="7"/>
      <c r="W90" s="7"/>
      <c r="X90" s="23"/>
      <c r="Y90" s="6"/>
      <c r="Z90" s="5"/>
      <c r="AA90" s="6"/>
      <c r="AB90" s="7"/>
    </row>
    <row r="91" spans="1:28" x14ac:dyDescent="0.3">
      <c r="A91" s="2"/>
      <c r="B91" s="2"/>
      <c r="C91" s="2"/>
      <c r="D91" s="2"/>
      <c r="E91" s="2" t="s">
        <v>92</v>
      </c>
      <c r="F91" s="2"/>
      <c r="G91" s="6"/>
      <c r="H91" s="5">
        <v>8642.2199999999993</v>
      </c>
      <c r="I91" s="6"/>
      <c r="J91" s="5">
        <v>10034.24</v>
      </c>
      <c r="K91" s="6"/>
      <c r="L91" s="5">
        <v>7993.51</v>
      </c>
      <c r="M91" s="6"/>
      <c r="N91" s="5">
        <v>9945</v>
      </c>
      <c r="O91" s="6"/>
      <c r="P91" s="5">
        <f t="shared" ref="P91:P102" si="17">ROUND((L91-N91),5)</f>
        <v>-1951.49</v>
      </c>
      <c r="Q91" s="6"/>
      <c r="R91" s="7">
        <f t="shared" ref="R91:R102" si="18">ROUND(IF(N91=0, IF(L91=0, 0, 1), L91/N91),5)</f>
        <v>0.80376999999999998</v>
      </c>
      <c r="S91" s="5"/>
      <c r="T91" s="7"/>
      <c r="U91" s="7"/>
      <c r="V91" s="7"/>
      <c r="W91" s="7"/>
      <c r="X91" s="23">
        <f>X89*0.0765</f>
        <v>10710</v>
      </c>
      <c r="Y91" s="6"/>
      <c r="Z91" s="5">
        <f t="shared" si="15"/>
        <v>765</v>
      </c>
      <c r="AA91" s="6"/>
      <c r="AB91" s="7">
        <f t="shared" si="16"/>
        <v>7.6923076923076927E-2</v>
      </c>
    </row>
    <row r="92" spans="1:28" x14ac:dyDescent="0.3">
      <c r="A92" s="2"/>
      <c r="B92" s="2"/>
      <c r="C92" s="2"/>
      <c r="D92" s="2"/>
      <c r="E92" s="2" t="s">
        <v>93</v>
      </c>
      <c r="F92" s="2"/>
      <c r="G92" s="6"/>
      <c r="H92" s="5">
        <v>27297</v>
      </c>
      <c r="I92" s="6"/>
      <c r="J92" s="5">
        <v>28490.04</v>
      </c>
      <c r="K92" s="6"/>
      <c r="L92" s="5">
        <v>29575.25</v>
      </c>
      <c r="M92" s="6"/>
      <c r="N92" s="5">
        <v>29700</v>
      </c>
      <c r="O92" s="6"/>
      <c r="P92" s="5">
        <f t="shared" si="17"/>
        <v>-124.75</v>
      </c>
      <c r="Q92" s="6"/>
      <c r="R92" s="7">
        <f t="shared" si="18"/>
        <v>0.99580000000000002</v>
      </c>
      <c r="S92" s="5"/>
      <c r="T92" s="7"/>
      <c r="U92" s="7"/>
      <c r="V92" s="7"/>
      <c r="W92" s="7"/>
      <c r="X92" s="23">
        <v>29000</v>
      </c>
      <c r="Y92" s="6"/>
      <c r="Z92" s="5">
        <f t="shared" si="15"/>
        <v>-700</v>
      </c>
      <c r="AA92" s="6"/>
      <c r="AB92" s="7">
        <f t="shared" si="16"/>
        <v>-2.3569023569023569E-2</v>
      </c>
    </row>
    <row r="93" spans="1:28" x14ac:dyDescent="0.3">
      <c r="A93" s="2"/>
      <c r="B93" s="2"/>
      <c r="C93" s="2"/>
      <c r="D93" s="2"/>
      <c r="E93" s="2" t="s">
        <v>94</v>
      </c>
      <c r="F93" s="2"/>
      <c r="G93" s="6"/>
      <c r="H93" s="5">
        <v>10184.81</v>
      </c>
      <c r="I93" s="6"/>
      <c r="J93" s="5">
        <v>10912.45</v>
      </c>
      <c r="K93" s="6"/>
      <c r="L93" s="5">
        <v>3382.67</v>
      </c>
      <c r="M93" s="6"/>
      <c r="N93" s="5">
        <v>11700</v>
      </c>
      <c r="O93" s="6"/>
      <c r="P93" s="5">
        <f t="shared" si="17"/>
        <v>-8317.33</v>
      </c>
      <c r="Q93" s="6"/>
      <c r="R93" s="7">
        <f t="shared" si="18"/>
        <v>0.28911999999999999</v>
      </c>
      <c r="S93" s="5"/>
      <c r="T93" s="7"/>
      <c r="U93" s="7"/>
      <c r="V93" s="7"/>
      <c r="W93" s="7"/>
      <c r="X93" s="23">
        <v>11700</v>
      </c>
      <c r="Y93" s="6"/>
      <c r="Z93" s="5">
        <f t="shared" si="15"/>
        <v>0</v>
      </c>
      <c r="AA93" s="6"/>
      <c r="AB93" s="7">
        <f t="shared" si="16"/>
        <v>0</v>
      </c>
    </row>
    <row r="94" spans="1:28" x14ac:dyDescent="0.3">
      <c r="A94" s="2"/>
      <c r="B94" s="2"/>
      <c r="C94" s="2"/>
      <c r="D94" s="2"/>
      <c r="E94" s="2" t="s">
        <v>95</v>
      </c>
      <c r="F94" s="2"/>
      <c r="G94" s="6"/>
      <c r="H94" s="5">
        <v>1035.5999999999999</v>
      </c>
      <c r="I94" s="6"/>
      <c r="J94" s="5">
        <v>1035.5999999999999</v>
      </c>
      <c r="K94" s="6"/>
      <c r="L94" s="5">
        <v>273.29000000000002</v>
      </c>
      <c r="M94" s="6"/>
      <c r="N94" s="5">
        <v>1044</v>
      </c>
      <c r="O94" s="6"/>
      <c r="P94" s="5">
        <f t="shared" si="17"/>
        <v>-770.71</v>
      </c>
      <c r="Q94" s="6"/>
      <c r="R94" s="7">
        <f t="shared" si="18"/>
        <v>0.26177</v>
      </c>
      <c r="S94" s="5"/>
      <c r="T94" s="7"/>
      <c r="U94" s="7"/>
      <c r="V94" s="7"/>
      <c r="W94" s="7"/>
      <c r="X94" s="23">
        <v>1044</v>
      </c>
      <c r="Y94" s="6"/>
      <c r="Z94" s="5">
        <f t="shared" si="15"/>
        <v>0</v>
      </c>
      <c r="AA94" s="6"/>
      <c r="AB94" s="7">
        <f t="shared" si="16"/>
        <v>0</v>
      </c>
    </row>
    <row r="95" spans="1:28" x14ac:dyDescent="0.3">
      <c r="A95" s="2"/>
      <c r="B95" s="2"/>
      <c r="C95" s="2"/>
      <c r="D95" s="2"/>
      <c r="E95" s="2" t="s">
        <v>96</v>
      </c>
      <c r="F95" s="2"/>
      <c r="G95" s="6"/>
      <c r="H95" s="5">
        <v>2260.61</v>
      </c>
      <c r="I95" s="6"/>
      <c r="J95" s="5">
        <v>4111.8</v>
      </c>
      <c r="K95" s="6"/>
      <c r="L95" s="5">
        <v>2842.19</v>
      </c>
      <c r="M95" s="6"/>
      <c r="N95" s="5">
        <v>2500</v>
      </c>
      <c r="O95" s="6"/>
      <c r="P95" s="5">
        <f t="shared" si="17"/>
        <v>342.19</v>
      </c>
      <c r="Q95" s="6"/>
      <c r="R95" s="7">
        <f t="shared" si="18"/>
        <v>1.1368799999999999</v>
      </c>
      <c r="S95" s="5"/>
      <c r="T95" s="7"/>
      <c r="U95" s="7"/>
      <c r="V95" s="7"/>
      <c r="W95" s="7"/>
      <c r="X95" s="23">
        <v>2500</v>
      </c>
      <c r="Y95" s="6"/>
      <c r="Z95" s="5">
        <f t="shared" si="15"/>
        <v>0</v>
      </c>
      <c r="AA95" s="6"/>
      <c r="AB95" s="7">
        <f t="shared" si="16"/>
        <v>0</v>
      </c>
    </row>
    <row r="96" spans="1:28" x14ac:dyDescent="0.3">
      <c r="A96" s="2"/>
      <c r="B96" s="2"/>
      <c r="C96" s="2"/>
      <c r="D96" s="2"/>
      <c r="E96" s="2" t="s">
        <v>97</v>
      </c>
      <c r="F96" s="2"/>
      <c r="G96" s="6"/>
      <c r="H96" s="5">
        <v>529.34</v>
      </c>
      <c r="I96" s="6"/>
      <c r="J96" s="5">
        <v>0</v>
      </c>
      <c r="K96" s="6"/>
      <c r="L96" s="5">
        <v>0</v>
      </c>
      <c r="M96" s="6"/>
      <c r="N96" s="5">
        <v>500</v>
      </c>
      <c r="O96" s="6"/>
      <c r="P96" s="5">
        <f t="shared" si="17"/>
        <v>-500</v>
      </c>
      <c r="Q96" s="6"/>
      <c r="R96" s="7">
        <f t="shared" si="18"/>
        <v>0</v>
      </c>
      <c r="S96" s="5"/>
      <c r="T96" s="7"/>
      <c r="U96" s="7"/>
      <c r="V96" s="7"/>
      <c r="W96" s="7"/>
      <c r="X96" s="23">
        <v>500</v>
      </c>
      <c r="Y96" s="6"/>
      <c r="Z96" s="5">
        <f t="shared" si="15"/>
        <v>0</v>
      </c>
      <c r="AA96" s="6"/>
      <c r="AB96" s="7">
        <f t="shared" si="16"/>
        <v>0</v>
      </c>
    </row>
    <row r="97" spans="1:30" x14ac:dyDescent="0.3">
      <c r="A97" s="2"/>
      <c r="B97" s="2"/>
      <c r="C97" s="2"/>
      <c r="D97" s="2"/>
      <c r="E97" s="2" t="s">
        <v>98</v>
      </c>
      <c r="F97" s="2"/>
      <c r="G97" s="6"/>
      <c r="H97" s="5">
        <v>0</v>
      </c>
      <c r="I97" s="6"/>
      <c r="J97" s="5">
        <v>657.21</v>
      </c>
      <c r="K97" s="6"/>
      <c r="L97" s="5">
        <v>163.02000000000001</v>
      </c>
      <c r="M97" s="6"/>
      <c r="N97" s="5">
        <v>1160</v>
      </c>
      <c r="O97" s="6"/>
      <c r="P97" s="5">
        <f t="shared" si="17"/>
        <v>-996.98</v>
      </c>
      <c r="Q97" s="6"/>
      <c r="R97" s="7">
        <f t="shared" si="18"/>
        <v>0.14052999999999999</v>
      </c>
      <c r="S97" s="5"/>
      <c r="T97" s="7"/>
      <c r="U97" s="7"/>
      <c r="V97" s="7"/>
      <c r="W97" s="7"/>
      <c r="X97" s="23">
        <v>1160</v>
      </c>
      <c r="Y97" s="6"/>
      <c r="Z97" s="5">
        <f t="shared" si="15"/>
        <v>0</v>
      </c>
      <c r="AA97" s="6"/>
      <c r="AB97" s="7">
        <f t="shared" si="16"/>
        <v>0</v>
      </c>
    </row>
    <row r="98" spans="1:30" x14ac:dyDescent="0.3">
      <c r="A98" s="2"/>
      <c r="B98" s="2"/>
      <c r="C98" s="2"/>
      <c r="D98" s="2"/>
      <c r="E98" s="2" t="s">
        <v>99</v>
      </c>
      <c r="F98" s="2"/>
      <c r="G98" s="6"/>
      <c r="H98" s="5">
        <v>0</v>
      </c>
      <c r="I98" s="6"/>
      <c r="J98" s="5">
        <v>29</v>
      </c>
      <c r="K98" s="6"/>
      <c r="L98" s="5">
        <v>90</v>
      </c>
      <c r="M98" s="6"/>
      <c r="N98" s="5">
        <v>1000</v>
      </c>
      <c r="O98" s="6"/>
      <c r="P98" s="5">
        <f t="shared" si="17"/>
        <v>-910</v>
      </c>
      <c r="Q98" s="6"/>
      <c r="R98" s="7">
        <f t="shared" si="18"/>
        <v>0.09</v>
      </c>
      <c r="S98" s="5"/>
      <c r="T98" s="7"/>
      <c r="U98" s="7"/>
      <c r="V98" s="7"/>
      <c r="W98" s="7"/>
      <c r="X98" s="23">
        <v>1000</v>
      </c>
      <c r="Y98" s="6"/>
      <c r="Z98" s="5">
        <f t="shared" si="15"/>
        <v>0</v>
      </c>
      <c r="AA98" s="6"/>
      <c r="AB98" s="7">
        <f t="shared" si="16"/>
        <v>0</v>
      </c>
    </row>
    <row r="99" spans="1:30" x14ac:dyDescent="0.3">
      <c r="A99" s="2"/>
      <c r="B99" s="2"/>
      <c r="C99" s="2"/>
      <c r="D99" s="2"/>
      <c r="E99" s="2" t="s">
        <v>100</v>
      </c>
      <c r="F99" s="2"/>
      <c r="G99" s="6"/>
      <c r="H99" s="5">
        <v>1020.7</v>
      </c>
      <c r="I99" s="6"/>
      <c r="J99" s="5">
        <v>1166.56</v>
      </c>
      <c r="K99" s="6"/>
      <c r="L99" s="5">
        <v>1277.75</v>
      </c>
      <c r="M99" s="6"/>
      <c r="N99" s="5">
        <v>1500</v>
      </c>
      <c r="O99" s="6"/>
      <c r="P99" s="5">
        <f t="shared" si="17"/>
        <v>-222.25</v>
      </c>
      <c r="Q99" s="6"/>
      <c r="R99" s="7">
        <f t="shared" si="18"/>
        <v>0.85182999999999998</v>
      </c>
      <c r="S99" s="5"/>
      <c r="T99" s="7"/>
      <c r="U99" s="7"/>
      <c r="V99" s="7"/>
      <c r="W99" s="7"/>
      <c r="X99" s="23">
        <v>1500</v>
      </c>
      <c r="Y99" s="6"/>
      <c r="Z99" s="5">
        <f t="shared" si="15"/>
        <v>0</v>
      </c>
      <c r="AA99" s="6"/>
      <c r="AB99" s="7">
        <f t="shared" si="16"/>
        <v>0</v>
      </c>
      <c r="AC99" s="7"/>
    </row>
    <row r="100" spans="1:30" x14ac:dyDescent="0.3">
      <c r="A100" s="2"/>
      <c r="B100" s="2"/>
      <c r="C100" s="2"/>
      <c r="D100" s="2"/>
      <c r="E100" s="2" t="s">
        <v>101</v>
      </c>
      <c r="F100" s="2"/>
      <c r="G100" s="6"/>
      <c r="H100" s="5">
        <v>924.53</v>
      </c>
      <c r="I100" s="6"/>
      <c r="J100" s="5">
        <v>3168.24</v>
      </c>
      <c r="K100" s="6"/>
      <c r="L100" s="5">
        <v>4518.51</v>
      </c>
      <c r="M100" s="6"/>
      <c r="N100" s="5">
        <v>4000</v>
      </c>
      <c r="O100" s="6"/>
      <c r="P100" s="5">
        <f t="shared" si="17"/>
        <v>518.51</v>
      </c>
      <c r="Q100" s="6"/>
      <c r="R100" s="7">
        <f t="shared" si="18"/>
        <v>1.1296299999999999</v>
      </c>
      <c r="S100" s="5"/>
      <c r="T100" s="7"/>
      <c r="U100" s="7"/>
      <c r="V100" s="7"/>
      <c r="W100" s="7"/>
      <c r="X100" s="23">
        <v>6000</v>
      </c>
      <c r="Y100" s="6"/>
      <c r="Z100" s="5">
        <f t="shared" si="15"/>
        <v>2000</v>
      </c>
      <c r="AA100" s="6"/>
      <c r="AB100" s="7">
        <f t="shared" si="16"/>
        <v>0.5</v>
      </c>
      <c r="AC100" s="7" t="s">
        <v>368</v>
      </c>
    </row>
    <row r="101" spans="1:30" x14ac:dyDescent="0.3">
      <c r="A101" s="2"/>
      <c r="B101" s="2"/>
      <c r="C101" s="2"/>
      <c r="D101" s="2"/>
      <c r="E101" s="2" t="s">
        <v>102</v>
      </c>
      <c r="F101" s="2"/>
      <c r="G101" s="6"/>
      <c r="H101" s="5">
        <v>753.5</v>
      </c>
      <c r="I101" s="6"/>
      <c r="J101" s="5">
        <v>12755.21</v>
      </c>
      <c r="K101" s="6"/>
      <c r="L101" s="5">
        <v>8934.3799999999992</v>
      </c>
      <c r="M101" s="6"/>
      <c r="N101" s="5">
        <v>20000</v>
      </c>
      <c r="O101" s="6"/>
      <c r="P101" s="5">
        <f t="shared" si="17"/>
        <v>-11065.62</v>
      </c>
      <c r="Q101" s="6"/>
      <c r="R101" s="7">
        <f t="shared" si="18"/>
        <v>0.44672000000000001</v>
      </c>
      <c r="S101" s="5"/>
      <c r="T101" s="7"/>
      <c r="U101" s="7"/>
      <c r="V101" s="7"/>
      <c r="W101" s="7"/>
      <c r="X101" s="23">
        <v>26000</v>
      </c>
      <c r="Y101" s="6"/>
      <c r="Z101" s="5">
        <f t="shared" si="15"/>
        <v>6000</v>
      </c>
      <c r="AA101" s="6"/>
      <c r="AB101" s="7">
        <f t="shared" si="16"/>
        <v>0.3</v>
      </c>
      <c r="AC101" s="7" t="s">
        <v>366</v>
      </c>
    </row>
    <row r="102" spans="1:30" x14ac:dyDescent="0.3">
      <c r="A102" s="2"/>
      <c r="B102" s="2"/>
      <c r="C102" s="2"/>
      <c r="D102" s="2"/>
      <c r="E102" s="2" t="s">
        <v>103</v>
      </c>
      <c r="F102" s="2"/>
      <c r="G102" s="6"/>
      <c r="H102" s="5">
        <v>70270.28</v>
      </c>
      <c r="I102" s="6"/>
      <c r="J102" s="5">
        <v>75000.12</v>
      </c>
      <c r="K102" s="6"/>
      <c r="L102" s="5">
        <v>81652.649999999994</v>
      </c>
      <c r="M102" s="6"/>
      <c r="N102" s="5">
        <v>85000</v>
      </c>
      <c r="O102" s="6"/>
      <c r="P102" s="5">
        <f t="shared" si="17"/>
        <v>-3347.35</v>
      </c>
      <c r="Q102" s="6"/>
      <c r="R102" s="7">
        <f t="shared" si="18"/>
        <v>0.96062000000000003</v>
      </c>
      <c r="S102" s="5"/>
      <c r="T102" s="7"/>
      <c r="U102" s="7"/>
      <c r="V102" s="7"/>
      <c r="W102" s="7"/>
      <c r="X102" s="23">
        <v>75000</v>
      </c>
      <c r="Y102" s="6"/>
      <c r="Z102" s="5">
        <f t="shared" si="15"/>
        <v>-10000</v>
      </c>
      <c r="AA102" s="6"/>
      <c r="AB102" s="7">
        <f t="shared" si="16"/>
        <v>-0.11764705882352941</v>
      </c>
      <c r="AC102" s="7" t="s">
        <v>380</v>
      </c>
      <c r="AD102" s="31"/>
    </row>
    <row r="103" spans="1:30" x14ac:dyDescent="0.3">
      <c r="A103" s="2"/>
      <c r="B103" s="2"/>
      <c r="C103" s="2"/>
      <c r="D103" s="2"/>
      <c r="E103" s="2" t="s">
        <v>104</v>
      </c>
      <c r="F103" s="2"/>
      <c r="G103" s="6"/>
      <c r="H103" s="5">
        <v>5287.01</v>
      </c>
      <c r="I103" s="6"/>
      <c r="J103" s="5">
        <v>5785.57</v>
      </c>
      <c r="K103" s="6"/>
      <c r="L103" s="5">
        <v>6163.63</v>
      </c>
      <c r="M103" s="6"/>
      <c r="N103" s="5">
        <v>6502.5</v>
      </c>
      <c r="O103" s="6"/>
      <c r="P103" s="5">
        <f t="shared" ref="P103:P116" si="19">ROUND((L103-N103),5)</f>
        <v>-338.87</v>
      </c>
      <c r="Q103" s="6"/>
      <c r="R103" s="7">
        <f t="shared" ref="R103:R116" si="20">ROUND(IF(N103=0, IF(L103=0, 0, 1), L103/N103),5)</f>
        <v>0.94789000000000001</v>
      </c>
      <c r="S103" s="5"/>
      <c r="T103" s="7"/>
      <c r="U103" s="7"/>
      <c r="V103" s="7"/>
      <c r="W103" s="7"/>
      <c r="X103" s="23">
        <f>X102*0.0765</f>
        <v>5737.5</v>
      </c>
      <c r="Y103" s="6"/>
      <c r="Z103" s="5">
        <f t="shared" si="15"/>
        <v>-765</v>
      </c>
      <c r="AA103" s="6"/>
      <c r="AB103" s="7">
        <f t="shared" si="16"/>
        <v>-0.11764705882352941</v>
      </c>
    </row>
    <row r="104" spans="1:30" x14ac:dyDescent="0.3">
      <c r="A104" s="2"/>
      <c r="B104" s="2"/>
      <c r="C104" s="2"/>
      <c r="D104" s="2"/>
      <c r="E104" s="2" t="s">
        <v>105</v>
      </c>
      <c r="F104" s="2"/>
      <c r="G104" s="6"/>
      <c r="H104" s="5">
        <v>27297</v>
      </c>
      <c r="I104" s="6"/>
      <c r="J104" s="5">
        <v>28490.04</v>
      </c>
      <c r="K104" s="6"/>
      <c r="L104" s="5">
        <v>30227.62</v>
      </c>
      <c r="M104" s="6"/>
      <c r="N104" s="5">
        <v>29700</v>
      </c>
      <c r="O104" s="6"/>
      <c r="P104" s="5">
        <f t="shared" si="19"/>
        <v>527.62</v>
      </c>
      <c r="Q104" s="6"/>
      <c r="R104" s="7">
        <f t="shared" si="20"/>
        <v>1.01776</v>
      </c>
      <c r="S104" s="5"/>
      <c r="T104" s="7"/>
      <c r="U104" s="7"/>
      <c r="V104" s="7"/>
      <c r="W104" s="7"/>
      <c r="X104" s="23">
        <v>13000</v>
      </c>
      <c r="Y104" s="6"/>
      <c r="Z104" s="5">
        <f t="shared" si="15"/>
        <v>-16700</v>
      </c>
      <c r="AA104" s="6"/>
      <c r="AB104" s="7">
        <f t="shared" si="16"/>
        <v>-0.56228956228956228</v>
      </c>
    </row>
    <row r="105" spans="1:30" x14ac:dyDescent="0.3">
      <c r="A105" s="2"/>
      <c r="B105" s="2"/>
      <c r="C105" s="2"/>
      <c r="D105" s="2"/>
      <c r="E105" s="2" t="s">
        <v>106</v>
      </c>
      <c r="F105" s="2"/>
      <c r="G105" s="6"/>
      <c r="H105" s="5">
        <v>6286.28</v>
      </c>
      <c r="I105" s="6"/>
      <c r="J105" s="5">
        <v>6741.35</v>
      </c>
      <c r="K105" s="6"/>
      <c r="L105" s="5">
        <v>6504.21</v>
      </c>
      <c r="M105" s="6"/>
      <c r="N105" s="5">
        <v>7650</v>
      </c>
      <c r="O105" s="6"/>
      <c r="P105" s="5">
        <f t="shared" si="19"/>
        <v>-1145.79</v>
      </c>
      <c r="Q105" s="6"/>
      <c r="R105" s="7">
        <f t="shared" si="20"/>
        <v>0.85021999999999998</v>
      </c>
      <c r="S105" s="5"/>
      <c r="T105" s="7"/>
      <c r="U105" s="7"/>
      <c r="V105" s="7"/>
      <c r="W105" s="7"/>
      <c r="X105" s="23">
        <f>X102*0.09</f>
        <v>6750</v>
      </c>
      <c r="Y105" s="6"/>
      <c r="Z105" s="5">
        <f t="shared" si="15"/>
        <v>-900</v>
      </c>
      <c r="AA105" s="6"/>
      <c r="AB105" s="7">
        <f t="shared" si="16"/>
        <v>-0.11764705882352941</v>
      </c>
    </row>
    <row r="106" spans="1:30" x14ac:dyDescent="0.3">
      <c r="A106" s="2"/>
      <c r="B106" s="2"/>
      <c r="C106" s="2"/>
      <c r="D106" s="2"/>
      <c r="E106" s="2" t="s">
        <v>107</v>
      </c>
      <c r="F106" s="2"/>
      <c r="G106" s="6"/>
      <c r="H106" s="5">
        <v>930</v>
      </c>
      <c r="I106" s="6"/>
      <c r="J106" s="5">
        <v>1025.04</v>
      </c>
      <c r="K106" s="6"/>
      <c r="L106" s="5">
        <v>727.79</v>
      </c>
      <c r="M106" s="6"/>
      <c r="N106" s="5">
        <v>1044</v>
      </c>
      <c r="O106" s="6"/>
      <c r="P106" s="5">
        <f t="shared" si="19"/>
        <v>-316.20999999999998</v>
      </c>
      <c r="Q106" s="6"/>
      <c r="R106" s="7">
        <f t="shared" si="20"/>
        <v>0.69711999999999996</v>
      </c>
      <c r="S106" s="5"/>
      <c r="T106" s="7"/>
      <c r="U106" s="7"/>
      <c r="V106" s="7"/>
      <c r="W106" s="7"/>
      <c r="X106" s="23">
        <v>1044</v>
      </c>
      <c r="Y106" s="6"/>
      <c r="Z106" s="5">
        <f t="shared" si="15"/>
        <v>0</v>
      </c>
      <c r="AA106" s="6"/>
      <c r="AB106" s="7">
        <f t="shared" si="16"/>
        <v>0</v>
      </c>
    </row>
    <row r="107" spans="1:30" x14ac:dyDescent="0.3">
      <c r="A107" s="2"/>
      <c r="B107" s="2"/>
      <c r="C107" s="2"/>
      <c r="D107" s="2"/>
      <c r="E107" s="2" t="s">
        <v>108</v>
      </c>
      <c r="F107" s="2"/>
      <c r="G107" s="6"/>
      <c r="H107" s="5">
        <v>21232.5</v>
      </c>
      <c r="I107" s="6"/>
      <c r="J107" s="5">
        <v>21890</v>
      </c>
      <c r="K107" s="6"/>
      <c r="L107" s="5">
        <v>3359</v>
      </c>
      <c r="M107" s="6"/>
      <c r="N107" s="5">
        <v>25500</v>
      </c>
      <c r="O107" s="6"/>
      <c r="P107" s="5">
        <f t="shared" si="19"/>
        <v>-22141</v>
      </c>
      <c r="Q107" s="6"/>
      <c r="R107" s="7">
        <f t="shared" si="20"/>
        <v>0.13173000000000001</v>
      </c>
      <c r="S107" s="5"/>
      <c r="T107" s="7"/>
      <c r="U107" s="7"/>
      <c r="V107" s="7"/>
      <c r="W107" s="7"/>
      <c r="X107" s="23">
        <v>30000</v>
      </c>
      <c r="Y107" s="6"/>
      <c r="Z107" s="5">
        <f t="shared" si="15"/>
        <v>4500</v>
      </c>
      <c r="AA107" s="6"/>
      <c r="AB107" s="7">
        <f t="shared" si="16"/>
        <v>0.17647058823529413</v>
      </c>
    </row>
    <row r="108" spans="1:30" x14ac:dyDescent="0.3">
      <c r="A108" s="2"/>
      <c r="B108" s="2"/>
      <c r="C108" s="2"/>
      <c r="D108" s="2"/>
      <c r="E108" s="2" t="s">
        <v>109</v>
      </c>
      <c r="F108" s="2"/>
      <c r="G108" s="6"/>
      <c r="H108" s="5">
        <v>10000.120000000001</v>
      </c>
      <c r="I108" s="6"/>
      <c r="J108" s="5">
        <v>10000.120000000001</v>
      </c>
      <c r="K108" s="6"/>
      <c r="L108" s="5">
        <v>8461.64</v>
      </c>
      <c r="M108" s="6"/>
      <c r="N108" s="5">
        <v>10000</v>
      </c>
      <c r="O108" s="6"/>
      <c r="P108" s="5">
        <f t="shared" si="19"/>
        <v>-1538.36</v>
      </c>
      <c r="Q108" s="6"/>
      <c r="R108" s="7">
        <f t="shared" si="20"/>
        <v>0.84616000000000002</v>
      </c>
      <c r="S108" s="5"/>
      <c r="T108" s="7"/>
      <c r="U108" s="7"/>
      <c r="V108" s="7"/>
      <c r="W108" s="7"/>
      <c r="X108" s="23">
        <v>10000</v>
      </c>
      <c r="Y108" s="6"/>
      <c r="Z108" s="5">
        <f t="shared" si="15"/>
        <v>0</v>
      </c>
      <c r="AA108" s="6"/>
      <c r="AB108" s="7">
        <f t="shared" si="16"/>
        <v>0</v>
      </c>
    </row>
    <row r="109" spans="1:30" x14ac:dyDescent="0.3">
      <c r="A109" s="2"/>
      <c r="B109" s="2"/>
      <c r="C109" s="2"/>
      <c r="D109" s="2"/>
      <c r="E109" s="2" t="s">
        <v>110</v>
      </c>
      <c r="F109" s="2"/>
      <c r="G109" s="6"/>
      <c r="H109" s="5">
        <v>764.92</v>
      </c>
      <c r="I109" s="6"/>
      <c r="J109" s="5">
        <v>764.92</v>
      </c>
      <c r="K109" s="6"/>
      <c r="L109" s="5">
        <v>647.24</v>
      </c>
      <c r="M109" s="6"/>
      <c r="N109" s="5">
        <v>765</v>
      </c>
      <c r="O109" s="6"/>
      <c r="P109" s="5">
        <f t="shared" si="19"/>
        <v>-117.76</v>
      </c>
      <c r="Q109" s="6"/>
      <c r="R109" s="7">
        <f t="shared" si="20"/>
        <v>0.84606999999999999</v>
      </c>
      <c r="S109" s="5"/>
      <c r="T109" s="7"/>
      <c r="U109" s="7"/>
      <c r="V109" s="7"/>
      <c r="W109" s="7"/>
      <c r="X109" s="23">
        <v>765</v>
      </c>
      <c r="Y109" s="6"/>
      <c r="Z109" s="5">
        <f t="shared" si="15"/>
        <v>0</v>
      </c>
      <c r="AA109" s="6"/>
      <c r="AB109" s="7">
        <f t="shared" si="16"/>
        <v>0</v>
      </c>
    </row>
    <row r="110" spans="1:30" x14ac:dyDescent="0.3">
      <c r="A110" s="2"/>
      <c r="B110" s="2"/>
      <c r="C110" s="2"/>
      <c r="D110" s="2"/>
      <c r="E110" s="2" t="s">
        <v>111</v>
      </c>
      <c r="F110" s="2"/>
      <c r="G110" s="6"/>
      <c r="H110" s="5">
        <v>1902</v>
      </c>
      <c r="I110" s="6"/>
      <c r="J110" s="5">
        <v>0</v>
      </c>
      <c r="K110" s="6"/>
      <c r="L110" s="5">
        <v>0</v>
      </c>
      <c r="M110" s="6"/>
      <c r="N110" s="5">
        <v>2000</v>
      </c>
      <c r="O110" s="6"/>
      <c r="P110" s="5">
        <f t="shared" si="19"/>
        <v>-2000</v>
      </c>
      <c r="Q110" s="6"/>
      <c r="R110" s="7">
        <f t="shared" si="20"/>
        <v>0</v>
      </c>
      <c r="S110" s="5"/>
      <c r="T110" s="7"/>
      <c r="U110" s="7"/>
      <c r="V110" s="7"/>
      <c r="W110" s="7"/>
      <c r="X110" s="23">
        <v>2000</v>
      </c>
      <c r="Y110" s="6"/>
      <c r="Z110" s="5">
        <f t="shared" si="15"/>
        <v>0</v>
      </c>
      <c r="AA110" s="6"/>
      <c r="AB110" s="7">
        <f t="shared" si="16"/>
        <v>0</v>
      </c>
    </row>
    <row r="111" spans="1:30" x14ac:dyDescent="0.3">
      <c r="A111" s="2"/>
      <c r="B111" s="2"/>
      <c r="C111" s="2"/>
      <c r="D111" s="2"/>
      <c r="E111" s="2" t="s">
        <v>112</v>
      </c>
      <c r="F111" s="2"/>
      <c r="G111" s="6"/>
      <c r="H111" s="5">
        <v>2757.27</v>
      </c>
      <c r="I111" s="6"/>
      <c r="J111" s="5">
        <v>2702.56</v>
      </c>
      <c r="K111" s="6"/>
      <c r="L111" s="5">
        <v>2139.7199999999998</v>
      </c>
      <c r="M111" s="6"/>
      <c r="N111" s="5">
        <v>2900</v>
      </c>
      <c r="O111" s="6"/>
      <c r="P111" s="5">
        <f t="shared" si="19"/>
        <v>-760.28</v>
      </c>
      <c r="Q111" s="6"/>
      <c r="R111" s="7">
        <f t="shared" si="20"/>
        <v>0.73782999999999999</v>
      </c>
      <c r="S111" s="5"/>
      <c r="T111" s="7"/>
      <c r="U111" s="7"/>
      <c r="V111" s="7"/>
      <c r="W111" s="7"/>
      <c r="X111" s="23">
        <v>2900</v>
      </c>
      <c r="Y111" s="6"/>
      <c r="Z111" s="5">
        <f t="shared" si="15"/>
        <v>0</v>
      </c>
      <c r="AA111" s="6"/>
      <c r="AB111" s="7">
        <f t="shared" si="16"/>
        <v>0</v>
      </c>
    </row>
    <row r="112" spans="1:30" x14ac:dyDescent="0.3">
      <c r="A112" s="2"/>
      <c r="B112" s="2"/>
      <c r="C112" s="2"/>
      <c r="D112" s="2"/>
      <c r="E112" s="2" t="s">
        <v>113</v>
      </c>
      <c r="F112" s="2"/>
      <c r="G112" s="6"/>
      <c r="H112" s="5">
        <v>1547.5</v>
      </c>
      <c r="I112" s="6"/>
      <c r="J112" s="5">
        <v>1370.55</v>
      </c>
      <c r="K112" s="6"/>
      <c r="L112" s="5">
        <v>1324.6</v>
      </c>
      <c r="M112" s="6"/>
      <c r="N112" s="5">
        <v>1600</v>
      </c>
      <c r="O112" s="6"/>
      <c r="P112" s="5">
        <f t="shared" si="19"/>
        <v>-275.39999999999998</v>
      </c>
      <c r="Q112" s="6"/>
      <c r="R112" s="7">
        <f t="shared" si="20"/>
        <v>0.82787999999999995</v>
      </c>
      <c r="S112" s="5"/>
      <c r="T112" s="7"/>
      <c r="U112" s="7"/>
      <c r="V112" s="7"/>
      <c r="W112" s="7"/>
      <c r="X112" s="23">
        <v>1600</v>
      </c>
      <c r="Y112" s="6"/>
      <c r="Z112" s="5">
        <f t="shared" si="15"/>
        <v>0</v>
      </c>
      <c r="AA112" s="6"/>
      <c r="AB112" s="7">
        <f t="shared" si="16"/>
        <v>0</v>
      </c>
    </row>
    <row r="113" spans="1:29" x14ac:dyDescent="0.3">
      <c r="A113" s="2"/>
      <c r="B113" s="2"/>
      <c r="C113" s="2"/>
      <c r="D113" s="2"/>
      <c r="E113" s="2" t="s">
        <v>114</v>
      </c>
      <c r="F113" s="2"/>
      <c r="G113" s="6"/>
      <c r="H113" s="5">
        <v>36886.89</v>
      </c>
      <c r="I113" s="6"/>
      <c r="J113" s="5">
        <v>37858.800000000003</v>
      </c>
      <c r="K113" s="6"/>
      <c r="L113" s="5">
        <v>30707.82</v>
      </c>
      <c r="M113" s="6"/>
      <c r="N113" s="5">
        <v>35000</v>
      </c>
      <c r="O113" s="6"/>
      <c r="P113" s="5">
        <f t="shared" si="19"/>
        <v>-4292.18</v>
      </c>
      <c r="Q113" s="6"/>
      <c r="R113" s="7">
        <f t="shared" si="20"/>
        <v>0.87736999999999998</v>
      </c>
      <c r="S113" s="5"/>
      <c r="T113" s="7"/>
      <c r="U113" s="7"/>
      <c r="V113" s="7"/>
      <c r="W113" s="7"/>
      <c r="X113" s="23">
        <v>35000</v>
      </c>
      <c r="Y113" s="6"/>
      <c r="Z113" s="5">
        <f t="shared" si="15"/>
        <v>0</v>
      </c>
      <c r="AA113" s="6"/>
      <c r="AB113" s="7">
        <f t="shared" si="16"/>
        <v>0</v>
      </c>
    </row>
    <row r="114" spans="1:29" x14ac:dyDescent="0.3">
      <c r="A114" s="2"/>
      <c r="B114" s="2"/>
      <c r="C114" s="2"/>
      <c r="D114" s="2"/>
      <c r="E114" s="2" t="s">
        <v>115</v>
      </c>
      <c r="F114" s="2"/>
      <c r="G114" s="6"/>
      <c r="H114" s="5">
        <v>52609.2</v>
      </c>
      <c r="I114" s="6"/>
      <c r="J114" s="5">
        <v>44203.56</v>
      </c>
      <c r="K114" s="6"/>
      <c r="L114" s="5">
        <v>45115.4</v>
      </c>
      <c r="M114" s="6"/>
      <c r="N114" s="5">
        <v>56925</v>
      </c>
      <c r="O114" s="6"/>
      <c r="P114" s="5">
        <f t="shared" si="19"/>
        <v>-11809.6</v>
      </c>
      <c r="Q114" s="6"/>
      <c r="R114" s="7">
        <f t="shared" si="20"/>
        <v>0.79254000000000002</v>
      </c>
      <c r="S114" s="5"/>
      <c r="T114" s="7"/>
      <c r="U114" s="7"/>
      <c r="V114" s="7"/>
      <c r="W114" s="7"/>
      <c r="X114" s="23">
        <v>56925</v>
      </c>
      <c r="Y114" s="6"/>
      <c r="Z114" s="5">
        <f t="shared" si="15"/>
        <v>0</v>
      </c>
      <c r="AA114" s="6"/>
      <c r="AB114" s="7">
        <f t="shared" si="16"/>
        <v>0</v>
      </c>
    </row>
    <row r="115" spans="1:29" x14ac:dyDescent="0.3">
      <c r="A115" s="2"/>
      <c r="B115" s="2"/>
      <c r="C115" s="2"/>
      <c r="D115" s="2"/>
      <c r="E115" s="2" t="s">
        <v>116</v>
      </c>
      <c r="F115" s="2"/>
      <c r="G115" s="6"/>
      <c r="H115" s="5">
        <v>0</v>
      </c>
      <c r="I115" s="6"/>
      <c r="J115" s="5">
        <v>13894.67</v>
      </c>
      <c r="K115" s="6"/>
      <c r="L115" s="5">
        <v>0</v>
      </c>
      <c r="M115" s="6"/>
      <c r="N115" s="5">
        <v>5000</v>
      </c>
      <c r="O115" s="6"/>
      <c r="P115" s="5">
        <f t="shared" si="19"/>
        <v>-5000</v>
      </c>
      <c r="Q115" s="6"/>
      <c r="R115" s="7">
        <f t="shared" si="20"/>
        <v>0</v>
      </c>
      <c r="S115" s="5"/>
      <c r="T115" s="7"/>
      <c r="U115" s="7"/>
      <c r="V115" s="7"/>
      <c r="W115" s="7"/>
      <c r="X115" s="23">
        <v>5000</v>
      </c>
      <c r="Y115" s="6"/>
      <c r="Z115" s="5">
        <f t="shared" si="15"/>
        <v>0</v>
      </c>
      <c r="AA115" s="6"/>
      <c r="AB115" s="7">
        <f t="shared" si="16"/>
        <v>0</v>
      </c>
    </row>
    <row r="116" spans="1:29" x14ac:dyDescent="0.3">
      <c r="A116" s="2"/>
      <c r="B116" s="2"/>
      <c r="C116" s="2"/>
      <c r="D116" s="2"/>
      <c r="E116" s="2" t="s">
        <v>117</v>
      </c>
      <c r="F116" s="2"/>
      <c r="G116" s="6"/>
      <c r="H116" s="5">
        <v>172366.57</v>
      </c>
      <c r="I116" s="6"/>
      <c r="J116" s="5">
        <v>167867.32</v>
      </c>
      <c r="K116" s="6"/>
      <c r="L116" s="5">
        <v>143618.4</v>
      </c>
      <c r="M116" s="6"/>
      <c r="N116" s="5">
        <v>174824</v>
      </c>
      <c r="O116" s="6"/>
      <c r="P116" s="5">
        <f t="shared" si="19"/>
        <v>-31205.599999999999</v>
      </c>
      <c r="Q116" s="6"/>
      <c r="R116" s="7">
        <f t="shared" si="20"/>
        <v>0.82150000000000001</v>
      </c>
      <c r="S116" s="5"/>
      <c r="T116" s="7"/>
      <c r="U116" s="7"/>
      <c r="V116" s="7"/>
      <c r="W116" s="5"/>
      <c r="X116" s="23">
        <f>SUM(W117:W120)</f>
        <v>172774.16</v>
      </c>
      <c r="Y116" s="6"/>
      <c r="Z116" s="5">
        <f t="shared" si="15"/>
        <v>-2049.8399999999965</v>
      </c>
      <c r="AA116" s="6"/>
      <c r="AB116" s="7">
        <f t="shared" si="16"/>
        <v>-1.1725163593099325E-2</v>
      </c>
    </row>
    <row r="117" spans="1:29" x14ac:dyDescent="0.3">
      <c r="A117" s="2"/>
      <c r="B117" s="2"/>
      <c r="C117" s="2"/>
      <c r="D117" s="2"/>
      <c r="E117" s="2"/>
      <c r="F117" s="2"/>
      <c r="G117" s="6"/>
      <c r="H117" s="5"/>
      <c r="I117" s="6"/>
      <c r="J117" s="5"/>
      <c r="K117" s="6"/>
      <c r="L117" s="5"/>
      <c r="M117" s="6"/>
      <c r="N117" s="5"/>
      <c r="O117" s="6"/>
      <c r="P117" s="5"/>
      <c r="Q117" s="6"/>
      <c r="R117" s="7"/>
      <c r="S117" s="5"/>
      <c r="T117" s="7"/>
      <c r="U117" s="7"/>
      <c r="V117" s="7" t="s">
        <v>287</v>
      </c>
      <c r="W117" s="5">
        <f>28.97*2080</f>
        <v>60257.599999999999</v>
      </c>
      <c r="X117" s="23"/>
      <c r="Y117" s="6"/>
      <c r="Z117" s="5"/>
      <c r="AA117" s="6"/>
      <c r="AB117" s="7"/>
    </row>
    <row r="118" spans="1:29" x14ac:dyDescent="0.3">
      <c r="A118" s="2"/>
      <c r="B118" s="2"/>
      <c r="C118" s="2"/>
      <c r="D118" s="2"/>
      <c r="E118" s="2"/>
      <c r="F118" s="2"/>
      <c r="G118" s="6"/>
      <c r="H118" s="5"/>
      <c r="I118" s="6"/>
      <c r="J118" s="5"/>
      <c r="K118" s="6"/>
      <c r="L118" s="5"/>
      <c r="M118" s="6"/>
      <c r="N118" s="5"/>
      <c r="O118" s="6"/>
      <c r="P118" s="5"/>
      <c r="Q118" s="6"/>
      <c r="R118" s="7"/>
      <c r="S118" s="5"/>
      <c r="T118" s="7"/>
      <c r="U118" s="7"/>
      <c r="V118" s="7" t="s">
        <v>288</v>
      </c>
      <c r="W118" s="5">
        <f t="shared" ref="W118" si="21">28.97*2080</f>
        <v>60257.599999999999</v>
      </c>
      <c r="X118" s="23"/>
      <c r="Y118" s="6"/>
      <c r="Z118" s="5"/>
      <c r="AA118" s="6"/>
      <c r="AB118" s="7"/>
    </row>
    <row r="119" spans="1:29" x14ac:dyDescent="0.3">
      <c r="A119" s="2"/>
      <c r="B119" s="2"/>
      <c r="C119" s="2"/>
      <c r="D119" s="2"/>
      <c r="E119" s="2"/>
      <c r="F119" s="2"/>
      <c r="G119" s="6"/>
      <c r="H119" s="5"/>
      <c r="I119" s="6"/>
      <c r="J119" s="5"/>
      <c r="K119" s="6"/>
      <c r="L119" s="5"/>
      <c r="M119" s="6"/>
      <c r="N119" s="5"/>
      <c r="O119" s="6"/>
      <c r="P119" s="5"/>
      <c r="Q119" s="6"/>
      <c r="R119" s="7"/>
      <c r="S119" s="5"/>
      <c r="T119" s="7"/>
      <c r="U119" s="33" t="s">
        <v>370</v>
      </c>
      <c r="V119" s="7" t="s">
        <v>369</v>
      </c>
      <c r="W119" s="5">
        <v>51218.96</v>
      </c>
      <c r="X119" s="23"/>
      <c r="Y119" s="6"/>
      <c r="Z119" s="5"/>
      <c r="AA119" s="6"/>
      <c r="AB119" s="7"/>
      <c r="AC119" s="7" t="s">
        <v>297</v>
      </c>
    </row>
    <row r="120" spans="1:29" x14ac:dyDescent="0.3">
      <c r="A120" s="2"/>
      <c r="B120" s="2"/>
      <c r="C120" s="2"/>
      <c r="D120" s="2"/>
      <c r="E120" s="2"/>
      <c r="F120" s="2"/>
      <c r="G120" s="6"/>
      <c r="H120" s="5"/>
      <c r="I120" s="6"/>
      <c r="J120" s="5"/>
      <c r="K120" s="6"/>
      <c r="L120" s="5"/>
      <c r="M120" s="6"/>
      <c r="N120" s="5"/>
      <c r="O120" s="6"/>
      <c r="P120" s="5"/>
      <c r="Q120" s="6"/>
      <c r="R120" s="7"/>
      <c r="S120" s="5"/>
      <c r="T120" s="7"/>
      <c r="U120" s="7"/>
      <c r="V120" s="7" t="s">
        <v>372</v>
      </c>
      <c r="W120" s="5">
        <f>0.5*2080*1</f>
        <v>1040</v>
      </c>
      <c r="X120" s="23"/>
      <c r="Y120" s="6"/>
      <c r="Z120" s="5"/>
      <c r="AA120" s="6"/>
      <c r="AB120" s="7"/>
    </row>
    <row r="121" spans="1:29" x14ac:dyDescent="0.3">
      <c r="A121" s="2"/>
      <c r="B121" s="2"/>
      <c r="C121" s="2"/>
      <c r="D121" s="2"/>
      <c r="E121" s="2" t="s">
        <v>118</v>
      </c>
      <c r="F121" s="2"/>
      <c r="G121" s="6"/>
      <c r="H121" s="5">
        <v>6048.09</v>
      </c>
      <c r="I121" s="6"/>
      <c r="J121" s="5">
        <v>4962.75</v>
      </c>
      <c r="K121" s="6"/>
      <c r="L121" s="5">
        <v>7862.55</v>
      </c>
      <c r="M121" s="6"/>
      <c r="N121" s="5">
        <v>7000</v>
      </c>
      <c r="O121" s="6"/>
      <c r="P121" s="5">
        <f t="shared" ref="P121:P138" si="22">ROUND((L121-N121),5)</f>
        <v>862.55</v>
      </c>
      <c r="Q121" s="6"/>
      <c r="R121" s="7">
        <f t="shared" ref="R121:R138" si="23">ROUND(IF(N121=0, IF(L121=0, 0, 1), L121/N121),5)</f>
        <v>1.1232200000000001</v>
      </c>
      <c r="S121" s="5"/>
      <c r="T121" s="7"/>
      <c r="U121" s="7"/>
      <c r="V121" s="7"/>
      <c r="W121" s="5"/>
      <c r="X121" s="23">
        <v>8000</v>
      </c>
      <c r="Y121" s="6"/>
      <c r="Z121" s="5">
        <f>X121-N121</f>
        <v>1000</v>
      </c>
      <c r="AA121" s="6"/>
      <c r="AB121" s="7">
        <f>Z121/N121</f>
        <v>0.14285714285714285</v>
      </c>
    </row>
    <row r="122" spans="1:29" x14ac:dyDescent="0.3">
      <c r="A122" s="2"/>
      <c r="B122" s="2"/>
      <c r="C122" s="2"/>
      <c r="D122" s="2"/>
      <c r="E122" s="2" t="s">
        <v>119</v>
      </c>
      <c r="F122" s="2"/>
      <c r="G122" s="6"/>
      <c r="H122" s="5">
        <v>0</v>
      </c>
      <c r="I122" s="6"/>
      <c r="J122" s="5">
        <v>500</v>
      </c>
      <c r="K122" s="6"/>
      <c r="L122" s="5">
        <v>600</v>
      </c>
      <c r="M122" s="6"/>
      <c r="N122" s="5">
        <v>600</v>
      </c>
      <c r="O122" s="6"/>
      <c r="P122" s="5">
        <f t="shared" si="22"/>
        <v>0</v>
      </c>
      <c r="Q122" s="6"/>
      <c r="R122" s="7">
        <f t="shared" si="23"/>
        <v>1</v>
      </c>
      <c r="S122" s="5"/>
      <c r="T122" s="7"/>
      <c r="U122" s="7"/>
      <c r="W122" s="5"/>
      <c r="X122" s="23">
        <f>SUM(W123:W124)</f>
        <v>1200</v>
      </c>
      <c r="Y122" s="6"/>
      <c r="Z122" s="5">
        <f>X122-N122</f>
        <v>600</v>
      </c>
      <c r="AA122" s="6"/>
      <c r="AB122" s="7">
        <f>Z122/N122</f>
        <v>1</v>
      </c>
    </row>
    <row r="123" spans="1:29" x14ac:dyDescent="0.3">
      <c r="A123" s="2"/>
      <c r="B123" s="2"/>
      <c r="C123" s="2"/>
      <c r="D123" s="2"/>
      <c r="E123" s="2"/>
      <c r="F123" s="2"/>
      <c r="G123" s="6"/>
      <c r="H123" s="5"/>
      <c r="I123" s="6"/>
      <c r="J123" s="5"/>
      <c r="K123" s="6"/>
      <c r="L123" s="5"/>
      <c r="M123" s="6"/>
      <c r="N123" s="5"/>
      <c r="O123" s="6"/>
      <c r="P123" s="5"/>
      <c r="Q123" s="6"/>
      <c r="R123" s="7"/>
      <c r="S123" s="5"/>
      <c r="T123" s="7"/>
      <c r="U123" s="7"/>
      <c r="V123" s="7" t="s">
        <v>287</v>
      </c>
      <c r="W123" s="5">
        <v>700</v>
      </c>
      <c r="X123" s="23"/>
      <c r="Y123" s="6"/>
      <c r="Z123" s="5"/>
      <c r="AA123" s="6"/>
      <c r="AB123" s="7"/>
    </row>
    <row r="124" spans="1:29" x14ac:dyDescent="0.3">
      <c r="A124" s="2"/>
      <c r="B124" s="2"/>
      <c r="C124" s="2"/>
      <c r="D124" s="2"/>
      <c r="E124" s="2"/>
      <c r="F124" s="2"/>
      <c r="G124" s="6"/>
      <c r="H124" s="5"/>
      <c r="I124" s="6"/>
      <c r="J124" s="5"/>
      <c r="K124" s="6"/>
      <c r="L124" s="5"/>
      <c r="M124" s="6"/>
      <c r="N124" s="5"/>
      <c r="O124" s="6"/>
      <c r="P124" s="5"/>
      <c r="Q124" s="6"/>
      <c r="R124" s="7"/>
      <c r="S124" s="5"/>
      <c r="T124" s="7"/>
      <c r="U124" s="7"/>
      <c r="V124" s="7" t="s">
        <v>288</v>
      </c>
      <c r="W124" s="5">
        <v>500</v>
      </c>
      <c r="X124" s="23"/>
      <c r="Y124" s="6"/>
      <c r="Z124" s="5"/>
      <c r="AA124" s="6"/>
      <c r="AB124" s="7"/>
    </row>
    <row r="125" spans="1:29" x14ac:dyDescent="0.3">
      <c r="A125" s="2"/>
      <c r="B125" s="2"/>
      <c r="C125" s="2"/>
      <c r="D125" s="2"/>
      <c r="E125" s="2" t="s">
        <v>120</v>
      </c>
      <c r="F125" s="2"/>
      <c r="G125" s="6"/>
      <c r="H125" s="5">
        <v>13449.14</v>
      </c>
      <c r="I125" s="6"/>
      <c r="J125" s="5">
        <v>13526.35</v>
      </c>
      <c r="K125" s="6"/>
      <c r="L125" s="5">
        <v>11754.61</v>
      </c>
      <c r="M125" s="6"/>
      <c r="N125" s="5">
        <v>13955.44</v>
      </c>
      <c r="O125" s="6"/>
      <c r="P125" s="5">
        <f t="shared" si="22"/>
        <v>-2200.83</v>
      </c>
      <c r="Q125" s="6"/>
      <c r="R125" s="7">
        <f t="shared" si="23"/>
        <v>0.84230000000000005</v>
      </c>
      <c r="S125" s="5"/>
      <c r="T125" s="7"/>
      <c r="U125" s="7"/>
      <c r="V125" s="7"/>
      <c r="W125" s="5"/>
      <c r="X125" s="23">
        <f>(X116+X121+X122)*0.0765</f>
        <v>13921.02324</v>
      </c>
      <c r="Y125" s="6"/>
      <c r="Z125" s="5">
        <f>X125-N125</f>
        <v>-34.416760000000068</v>
      </c>
      <c r="AA125" s="6"/>
      <c r="AB125" s="7">
        <f>Z125/N125</f>
        <v>-2.466189528957888E-3</v>
      </c>
    </row>
    <row r="126" spans="1:29" x14ac:dyDescent="0.3">
      <c r="A126" s="2"/>
      <c r="B126" s="2"/>
      <c r="C126" s="2"/>
      <c r="D126" s="2"/>
      <c r="E126" s="2" t="s">
        <v>121</v>
      </c>
      <c r="F126" s="2"/>
      <c r="G126" s="6"/>
      <c r="H126" s="5">
        <v>72746.06</v>
      </c>
      <c r="I126" s="6"/>
      <c r="J126" s="5">
        <v>70004.91</v>
      </c>
      <c r="K126" s="6"/>
      <c r="L126" s="5">
        <v>49930.43</v>
      </c>
      <c r="M126" s="6"/>
      <c r="N126" s="5">
        <v>54500</v>
      </c>
      <c r="O126" s="6"/>
      <c r="P126" s="5">
        <f t="shared" si="22"/>
        <v>-4569.57</v>
      </c>
      <c r="Q126" s="6"/>
      <c r="R126" s="7">
        <f t="shared" si="23"/>
        <v>0.91615000000000002</v>
      </c>
      <c r="S126" s="5"/>
      <c r="T126" s="7"/>
      <c r="U126" s="7"/>
      <c r="V126" s="7"/>
      <c r="W126" s="5"/>
      <c r="X126" s="23">
        <f>SUM(W127:W129)</f>
        <v>55000</v>
      </c>
      <c r="Y126" s="6"/>
      <c r="Z126" s="5">
        <f t="shared" ref="Z126:Z138" si="24">X126-N126</f>
        <v>500</v>
      </c>
      <c r="AA126" s="6"/>
      <c r="AB126" s="7">
        <f t="shared" ref="AB126:AB138" si="25">Z126/N126</f>
        <v>9.1743119266055051E-3</v>
      </c>
    </row>
    <row r="127" spans="1:29" x14ac:dyDescent="0.3">
      <c r="A127" s="2"/>
      <c r="B127" s="2"/>
      <c r="C127" s="2"/>
      <c r="D127" s="2"/>
      <c r="E127" s="2"/>
      <c r="F127" s="2"/>
      <c r="G127" s="6"/>
      <c r="H127" s="5"/>
      <c r="I127" s="6"/>
      <c r="J127" s="5"/>
      <c r="K127" s="6"/>
      <c r="L127" s="5"/>
      <c r="M127" s="6"/>
      <c r="N127" s="5"/>
      <c r="O127" s="6"/>
      <c r="P127" s="5"/>
      <c r="Q127" s="6"/>
      <c r="R127" s="7"/>
      <c r="S127" s="5"/>
      <c r="T127" s="7"/>
      <c r="U127" s="7"/>
      <c r="V127" s="7" t="s">
        <v>287</v>
      </c>
      <c r="W127" s="5">
        <v>13000</v>
      </c>
      <c r="X127" s="23"/>
      <c r="Y127" s="6"/>
      <c r="Z127" s="5"/>
      <c r="AA127" s="6"/>
      <c r="AB127" s="7"/>
    </row>
    <row r="128" spans="1:29" x14ac:dyDescent="0.3">
      <c r="A128" s="2"/>
      <c r="B128" s="2"/>
      <c r="C128" s="2"/>
      <c r="D128" s="2"/>
      <c r="E128" s="2"/>
      <c r="F128" s="2"/>
      <c r="G128" s="6"/>
      <c r="H128" s="5"/>
      <c r="I128" s="6"/>
      <c r="J128" s="5"/>
      <c r="K128" s="6"/>
      <c r="L128" s="5"/>
      <c r="M128" s="6"/>
      <c r="N128" s="5"/>
      <c r="O128" s="6"/>
      <c r="P128" s="5"/>
      <c r="Q128" s="6"/>
      <c r="R128" s="7"/>
      <c r="S128" s="5"/>
      <c r="T128" s="7"/>
      <c r="U128" s="7"/>
      <c r="V128" s="7" t="s">
        <v>288</v>
      </c>
      <c r="W128" s="5">
        <v>13000</v>
      </c>
      <c r="X128" s="23"/>
      <c r="Y128" s="6"/>
      <c r="Z128" s="5"/>
      <c r="AA128" s="6"/>
      <c r="AB128" s="7"/>
    </row>
    <row r="129" spans="1:28" x14ac:dyDescent="0.3">
      <c r="A129" s="2"/>
      <c r="B129" s="2"/>
      <c r="C129" s="2"/>
      <c r="D129" s="2"/>
      <c r="E129" s="2"/>
      <c r="F129" s="2"/>
      <c r="G129" s="6"/>
      <c r="H129" s="5"/>
      <c r="I129" s="6"/>
      <c r="J129" s="5"/>
      <c r="K129" s="6"/>
      <c r="L129" s="5"/>
      <c r="M129" s="6"/>
      <c r="N129" s="5"/>
      <c r="O129" s="6"/>
      <c r="P129" s="5"/>
      <c r="Q129" s="6"/>
      <c r="R129" s="7"/>
      <c r="S129" s="5"/>
      <c r="T129" s="7"/>
      <c r="U129" s="7"/>
      <c r="V129" s="7" t="s">
        <v>371</v>
      </c>
      <c r="W129" s="23">
        <v>29000</v>
      </c>
      <c r="X129" s="23"/>
      <c r="Y129" s="6"/>
      <c r="Z129" s="5"/>
      <c r="AA129" s="6"/>
      <c r="AB129" s="7"/>
    </row>
    <row r="130" spans="1:28" x14ac:dyDescent="0.3">
      <c r="A130" s="2"/>
      <c r="B130" s="2"/>
      <c r="C130" s="2"/>
      <c r="D130" s="2"/>
      <c r="E130" s="2" t="s">
        <v>122</v>
      </c>
      <c r="F130" s="2"/>
      <c r="G130" s="6"/>
      <c r="H130" s="5">
        <v>12460.69</v>
      </c>
      <c r="I130" s="6"/>
      <c r="J130" s="5">
        <v>15416.14</v>
      </c>
      <c r="K130" s="6"/>
      <c r="L130" s="5">
        <v>14327.44</v>
      </c>
      <c r="M130" s="6"/>
      <c r="N130" s="5">
        <v>16418.16</v>
      </c>
      <c r="O130" s="6"/>
      <c r="P130" s="5">
        <f t="shared" si="22"/>
        <v>-2090.7199999999998</v>
      </c>
      <c r="Q130" s="6"/>
      <c r="R130" s="7">
        <f t="shared" si="23"/>
        <v>0.87265999999999999</v>
      </c>
      <c r="S130" s="5"/>
      <c r="T130" s="7"/>
      <c r="U130" s="7"/>
      <c r="V130" s="7"/>
      <c r="W130" s="5"/>
      <c r="X130" s="23">
        <f>(X116+X121+X122)*0.09</f>
        <v>16377.6744</v>
      </c>
      <c r="Y130" s="6"/>
      <c r="Z130" s="5">
        <f t="shared" si="24"/>
        <v>-40.485599999999977</v>
      </c>
      <c r="AA130" s="6"/>
      <c r="AB130" s="7">
        <f t="shared" si="25"/>
        <v>-2.4659036091742299E-3</v>
      </c>
    </row>
    <row r="131" spans="1:28" x14ac:dyDescent="0.3">
      <c r="A131" s="2"/>
      <c r="B131" s="2"/>
      <c r="C131" s="2"/>
      <c r="D131" s="2"/>
      <c r="E131" s="2" t="s">
        <v>123</v>
      </c>
      <c r="F131" s="2"/>
      <c r="G131" s="6"/>
      <c r="H131" s="5">
        <v>2439.63</v>
      </c>
      <c r="I131" s="6"/>
      <c r="J131" s="5">
        <v>2534.42</v>
      </c>
      <c r="K131" s="6"/>
      <c r="L131" s="5">
        <v>2357.3000000000002</v>
      </c>
      <c r="M131" s="6"/>
      <c r="N131" s="5">
        <v>3132</v>
      </c>
      <c r="O131" s="6"/>
      <c r="P131" s="5">
        <f t="shared" si="22"/>
        <v>-774.7</v>
      </c>
      <c r="Q131" s="6"/>
      <c r="R131" s="7">
        <f t="shared" si="23"/>
        <v>0.75265000000000004</v>
      </c>
      <c r="S131" s="5"/>
      <c r="T131" s="7"/>
      <c r="U131" s="7"/>
      <c r="V131" s="7"/>
      <c r="W131" s="7" t="s">
        <v>290</v>
      </c>
      <c r="X131" s="23">
        <v>3132</v>
      </c>
      <c r="Y131" s="6"/>
      <c r="Z131" s="5">
        <f t="shared" si="24"/>
        <v>0</v>
      </c>
      <c r="AA131" s="6"/>
      <c r="AB131" s="7">
        <f t="shared" si="25"/>
        <v>0</v>
      </c>
    </row>
    <row r="132" spans="1:28" x14ac:dyDescent="0.3">
      <c r="A132" s="2"/>
      <c r="B132" s="2"/>
      <c r="C132" s="2"/>
      <c r="D132" s="2"/>
      <c r="E132" s="2" t="s">
        <v>124</v>
      </c>
      <c r="F132" s="2"/>
      <c r="G132" s="6"/>
      <c r="H132" s="5">
        <v>2875.13</v>
      </c>
      <c r="I132" s="6"/>
      <c r="J132" s="5">
        <v>3244.78</v>
      </c>
      <c r="K132" s="6"/>
      <c r="L132" s="5">
        <v>2942.62</v>
      </c>
      <c r="M132" s="6"/>
      <c r="N132" s="5">
        <v>3700</v>
      </c>
      <c r="O132" s="6"/>
      <c r="P132" s="5">
        <f t="shared" si="22"/>
        <v>-757.38</v>
      </c>
      <c r="Q132" s="6"/>
      <c r="R132" s="7">
        <f t="shared" si="23"/>
        <v>0.79530000000000001</v>
      </c>
      <c r="S132" s="5"/>
      <c r="T132" s="7"/>
      <c r="U132" s="7"/>
      <c r="V132" s="7"/>
      <c r="W132" s="7"/>
      <c r="X132" s="23">
        <v>3700</v>
      </c>
      <c r="Y132" s="6"/>
      <c r="Z132" s="5">
        <f t="shared" si="24"/>
        <v>0</v>
      </c>
      <c r="AA132" s="6"/>
      <c r="AB132" s="7">
        <f t="shared" si="25"/>
        <v>0</v>
      </c>
    </row>
    <row r="133" spans="1:28" x14ac:dyDescent="0.3">
      <c r="A133" s="2"/>
      <c r="B133" s="2"/>
      <c r="C133" s="2"/>
      <c r="D133" s="2"/>
      <c r="E133" s="2" t="s">
        <v>125</v>
      </c>
      <c r="F133" s="2"/>
      <c r="G133" s="6"/>
      <c r="H133" s="5">
        <v>5912.33</v>
      </c>
      <c r="I133" s="6"/>
      <c r="J133" s="5">
        <v>1964.02</v>
      </c>
      <c r="K133" s="6"/>
      <c r="L133" s="5">
        <v>3884.25</v>
      </c>
      <c r="M133" s="6"/>
      <c r="N133" s="5">
        <v>7000</v>
      </c>
      <c r="O133" s="6"/>
      <c r="P133" s="5">
        <f t="shared" si="22"/>
        <v>-3115.75</v>
      </c>
      <c r="Q133" s="6"/>
      <c r="R133" s="7">
        <f t="shared" si="23"/>
        <v>0.55488999999999999</v>
      </c>
      <c r="S133" s="5"/>
      <c r="T133" s="7"/>
      <c r="U133" s="7"/>
      <c r="V133" s="7"/>
      <c r="W133" s="7"/>
      <c r="X133" s="23">
        <v>7000</v>
      </c>
      <c r="Y133" s="6"/>
      <c r="Z133" s="5">
        <f t="shared" si="24"/>
        <v>0</v>
      </c>
      <c r="AA133" s="6"/>
      <c r="AB133" s="7">
        <f t="shared" si="25"/>
        <v>0</v>
      </c>
    </row>
    <row r="134" spans="1:28" x14ac:dyDescent="0.3">
      <c r="A134" s="2"/>
      <c r="B134" s="2"/>
      <c r="C134" s="2"/>
      <c r="D134" s="2"/>
      <c r="E134" s="2" t="s">
        <v>126</v>
      </c>
      <c r="F134" s="2"/>
      <c r="G134" s="6"/>
      <c r="H134" s="5">
        <v>3804.91</v>
      </c>
      <c r="I134" s="6"/>
      <c r="J134" s="5">
        <v>16186.75</v>
      </c>
      <c r="K134" s="6"/>
      <c r="L134" s="5">
        <v>12281.18</v>
      </c>
      <c r="M134" s="6"/>
      <c r="N134" s="5">
        <v>34800</v>
      </c>
      <c r="O134" s="6"/>
      <c r="P134" s="5">
        <f t="shared" si="22"/>
        <v>-22518.82</v>
      </c>
      <c r="Q134" s="6"/>
      <c r="R134" s="7">
        <f t="shared" si="23"/>
        <v>0.35291</v>
      </c>
      <c r="S134" s="5"/>
      <c r="T134" s="7"/>
      <c r="U134" s="7"/>
      <c r="V134" s="7"/>
      <c r="W134" s="7"/>
      <c r="X134" s="23">
        <v>34800</v>
      </c>
      <c r="Y134" s="6"/>
      <c r="Z134" s="5">
        <f t="shared" si="24"/>
        <v>0</v>
      </c>
      <c r="AA134" s="6"/>
      <c r="AB134" s="7">
        <f t="shared" si="25"/>
        <v>0</v>
      </c>
    </row>
    <row r="135" spans="1:28" x14ac:dyDescent="0.3">
      <c r="A135" s="2"/>
      <c r="B135" s="2"/>
      <c r="C135" s="2"/>
      <c r="D135" s="2"/>
      <c r="E135" s="2" t="s">
        <v>127</v>
      </c>
      <c r="F135" s="2"/>
      <c r="G135" s="6"/>
      <c r="H135" s="5">
        <v>7386.34</v>
      </c>
      <c r="I135" s="6"/>
      <c r="J135" s="5">
        <v>8470.08</v>
      </c>
      <c r="K135" s="6"/>
      <c r="L135" s="5">
        <v>8708.58</v>
      </c>
      <c r="M135" s="6"/>
      <c r="N135" s="5">
        <v>11000</v>
      </c>
      <c r="O135" s="6"/>
      <c r="P135" s="5">
        <f t="shared" si="22"/>
        <v>-2291.42</v>
      </c>
      <c r="Q135" s="6"/>
      <c r="R135" s="7">
        <f t="shared" si="23"/>
        <v>0.79169</v>
      </c>
      <c r="S135" s="5"/>
      <c r="T135" s="7"/>
      <c r="U135" s="7"/>
      <c r="V135" s="7"/>
      <c r="W135" s="7"/>
      <c r="X135" s="23">
        <v>12200</v>
      </c>
      <c r="Y135" s="6"/>
      <c r="Z135" s="5">
        <f t="shared" si="24"/>
        <v>1200</v>
      </c>
      <c r="AA135" s="6"/>
      <c r="AB135" s="7">
        <f t="shared" si="25"/>
        <v>0.10909090909090909</v>
      </c>
    </row>
    <row r="136" spans="1:28" x14ac:dyDescent="0.3">
      <c r="A136" s="2"/>
      <c r="B136" s="2"/>
      <c r="C136" s="2"/>
      <c r="D136" s="2"/>
      <c r="E136" s="2" t="s">
        <v>128</v>
      </c>
      <c r="F136" s="2"/>
      <c r="G136" s="6"/>
      <c r="H136" s="5">
        <v>9618.33</v>
      </c>
      <c r="I136" s="6"/>
      <c r="J136" s="5">
        <v>6791.95</v>
      </c>
      <c r="K136" s="6"/>
      <c r="L136" s="5">
        <v>6421.28</v>
      </c>
      <c r="M136" s="6"/>
      <c r="N136" s="5">
        <v>11500</v>
      </c>
      <c r="O136" s="6"/>
      <c r="P136" s="5">
        <f t="shared" si="22"/>
        <v>-5078.72</v>
      </c>
      <c r="Q136" s="6"/>
      <c r="R136" s="7">
        <f t="shared" si="23"/>
        <v>0.55837000000000003</v>
      </c>
      <c r="S136" s="5"/>
      <c r="T136" s="7"/>
      <c r="U136" s="7"/>
      <c r="V136" s="7"/>
      <c r="W136" s="7"/>
      <c r="X136" s="23">
        <v>11500</v>
      </c>
      <c r="Y136" s="6"/>
      <c r="Z136" s="5">
        <f t="shared" si="24"/>
        <v>0</v>
      </c>
      <c r="AA136" s="6"/>
      <c r="AB136" s="7">
        <f t="shared" si="25"/>
        <v>0</v>
      </c>
    </row>
    <row r="137" spans="1:28" x14ac:dyDescent="0.3">
      <c r="A137" s="2"/>
      <c r="B137" s="2"/>
      <c r="C137" s="2"/>
      <c r="D137" s="2"/>
      <c r="E137" s="2" t="s">
        <v>129</v>
      </c>
      <c r="F137" s="2"/>
      <c r="G137" s="6"/>
      <c r="H137" s="5">
        <v>38</v>
      </c>
      <c r="I137" s="6"/>
      <c r="J137" s="5">
        <v>422</v>
      </c>
      <c r="K137" s="6"/>
      <c r="L137" s="5">
        <v>0</v>
      </c>
      <c r="M137" s="6"/>
      <c r="N137" s="5">
        <v>500</v>
      </c>
      <c r="O137" s="6"/>
      <c r="P137" s="5">
        <f t="shared" si="22"/>
        <v>-500</v>
      </c>
      <c r="Q137" s="6"/>
      <c r="R137" s="7">
        <f t="shared" si="23"/>
        <v>0</v>
      </c>
      <c r="S137" s="5"/>
      <c r="T137" s="7"/>
      <c r="U137" s="7"/>
      <c r="V137" s="7"/>
      <c r="W137" s="7"/>
      <c r="X137" s="23">
        <v>500</v>
      </c>
      <c r="Y137" s="6"/>
      <c r="Z137" s="5">
        <f t="shared" si="24"/>
        <v>0</v>
      </c>
      <c r="AA137" s="6"/>
      <c r="AB137" s="7">
        <f t="shared" si="25"/>
        <v>0</v>
      </c>
    </row>
    <row r="138" spans="1:28" x14ac:dyDescent="0.3">
      <c r="A138" s="2"/>
      <c r="B138" s="2"/>
      <c r="C138" s="2"/>
      <c r="D138" s="2"/>
      <c r="E138" s="2" t="s">
        <v>130</v>
      </c>
      <c r="F138" s="2"/>
      <c r="G138" s="6"/>
      <c r="H138" s="5">
        <v>1358.52</v>
      </c>
      <c r="I138" s="6"/>
      <c r="J138" s="5">
        <v>100</v>
      </c>
      <c r="K138" s="6"/>
      <c r="L138" s="5">
        <v>652</v>
      </c>
      <c r="M138" s="6"/>
      <c r="N138" s="5">
        <v>4000</v>
      </c>
      <c r="O138" s="6"/>
      <c r="P138" s="5">
        <f t="shared" si="22"/>
        <v>-3348</v>
      </c>
      <c r="Q138" s="6"/>
      <c r="R138" s="7">
        <f t="shared" si="23"/>
        <v>0.16300000000000001</v>
      </c>
      <c r="S138" s="5"/>
      <c r="T138" s="7"/>
      <c r="U138" s="7"/>
      <c r="V138" s="7"/>
      <c r="W138" s="7"/>
      <c r="X138" s="23">
        <v>4000</v>
      </c>
      <c r="Y138" s="6"/>
      <c r="Z138" s="5">
        <f t="shared" si="24"/>
        <v>0</v>
      </c>
      <c r="AA138" s="6"/>
      <c r="AB138" s="7">
        <f t="shared" si="25"/>
        <v>0</v>
      </c>
    </row>
    <row r="139" spans="1:28" x14ac:dyDescent="0.3">
      <c r="A139" s="2"/>
      <c r="B139" s="2"/>
      <c r="C139" s="2"/>
      <c r="D139" s="2"/>
      <c r="E139" s="2" t="s">
        <v>131</v>
      </c>
      <c r="F139" s="2"/>
      <c r="G139" s="6"/>
      <c r="H139" s="5">
        <v>6778.23</v>
      </c>
      <c r="I139" s="6"/>
      <c r="J139" s="5">
        <v>0</v>
      </c>
      <c r="K139" s="6"/>
      <c r="L139" s="5">
        <v>0</v>
      </c>
      <c r="M139" s="6"/>
      <c r="N139" s="5"/>
      <c r="O139" s="6"/>
      <c r="P139" s="5"/>
      <c r="Q139" s="6"/>
      <c r="R139" s="7"/>
      <c r="S139" s="5"/>
      <c r="T139" s="7"/>
      <c r="U139" s="7"/>
      <c r="V139" s="7"/>
      <c r="W139" s="7"/>
      <c r="X139" s="23"/>
      <c r="Y139" s="6"/>
      <c r="Z139" s="5"/>
      <c r="AA139" s="6"/>
      <c r="AB139" s="7"/>
    </row>
    <row r="140" spans="1:28" x14ac:dyDescent="0.3">
      <c r="A140" s="2"/>
      <c r="B140" s="2"/>
      <c r="C140" s="2"/>
      <c r="D140" s="2"/>
      <c r="E140" s="2" t="s">
        <v>132</v>
      </c>
      <c r="F140" s="2"/>
      <c r="G140" s="6"/>
      <c r="H140" s="5">
        <v>689.27</v>
      </c>
      <c r="I140" s="6"/>
      <c r="J140" s="5">
        <v>691.69</v>
      </c>
      <c r="K140" s="6"/>
      <c r="L140" s="5">
        <v>124.99</v>
      </c>
      <c r="M140" s="6"/>
      <c r="N140" s="5">
        <v>1000</v>
      </c>
      <c r="O140" s="6"/>
      <c r="P140" s="5">
        <f t="shared" ref="P140:P153" si="26">ROUND((L140-N140),5)</f>
        <v>-875.01</v>
      </c>
      <c r="Q140" s="6"/>
      <c r="R140" s="7">
        <f t="shared" ref="R140:R153" si="27">ROUND(IF(N140=0, IF(L140=0, 0, 1), L140/N140),5)</f>
        <v>0.12499</v>
      </c>
      <c r="S140" s="5"/>
      <c r="T140" s="7"/>
      <c r="U140" s="7"/>
      <c r="V140" s="7"/>
      <c r="W140" s="7"/>
      <c r="X140" s="23">
        <v>1000</v>
      </c>
      <c r="Y140" s="6"/>
      <c r="Z140" s="5">
        <f t="shared" ref="Z140:Z153" si="28">X140-N140</f>
        <v>0</v>
      </c>
      <c r="AA140" s="6"/>
      <c r="AB140" s="7">
        <f t="shared" ref="AB140:AB153" si="29">Z140/N140</f>
        <v>0</v>
      </c>
    </row>
    <row r="141" spans="1:28" x14ac:dyDescent="0.3">
      <c r="A141" s="2"/>
      <c r="B141" s="2"/>
      <c r="C141" s="2"/>
      <c r="D141" s="2"/>
      <c r="E141" s="2" t="s">
        <v>133</v>
      </c>
      <c r="F141" s="2"/>
      <c r="G141" s="6"/>
      <c r="H141" s="5">
        <v>1482.52</v>
      </c>
      <c r="I141" s="6"/>
      <c r="J141" s="5">
        <v>1594.83</v>
      </c>
      <c r="K141" s="6"/>
      <c r="L141" s="5">
        <v>2000</v>
      </c>
      <c r="M141" s="6"/>
      <c r="N141" s="5">
        <v>2000</v>
      </c>
      <c r="O141" s="6"/>
      <c r="P141" s="5">
        <f t="shared" si="26"/>
        <v>0</v>
      </c>
      <c r="Q141" s="6"/>
      <c r="R141" s="7">
        <f t="shared" si="27"/>
        <v>1</v>
      </c>
      <c r="S141" s="5"/>
      <c r="T141" s="7"/>
      <c r="U141" s="7"/>
      <c r="V141" s="7"/>
      <c r="W141" s="7"/>
      <c r="X141" s="23">
        <v>2000</v>
      </c>
      <c r="Y141" s="6"/>
      <c r="Z141" s="5">
        <f t="shared" si="28"/>
        <v>0</v>
      </c>
      <c r="AA141" s="6"/>
      <c r="AB141" s="7">
        <f t="shared" si="29"/>
        <v>0</v>
      </c>
    </row>
    <row r="142" spans="1:28" x14ac:dyDescent="0.3">
      <c r="A142" s="2"/>
      <c r="B142" s="2"/>
      <c r="C142" s="2"/>
      <c r="D142" s="2"/>
      <c r="E142" s="2" t="s">
        <v>134</v>
      </c>
      <c r="F142" s="2"/>
      <c r="G142" s="6"/>
      <c r="H142" s="5">
        <v>25788.86</v>
      </c>
      <c r="I142" s="6"/>
      <c r="J142" s="5">
        <v>59962.62</v>
      </c>
      <c r="K142" s="6"/>
      <c r="L142" s="5">
        <v>15206.56</v>
      </c>
      <c r="M142" s="6"/>
      <c r="N142" s="5">
        <v>54809.21</v>
      </c>
      <c r="O142" s="6"/>
      <c r="P142" s="5">
        <f t="shared" si="26"/>
        <v>-39602.65</v>
      </c>
      <c r="Q142" s="6"/>
      <c r="R142" s="7">
        <f t="shared" si="27"/>
        <v>0.27744999999999997</v>
      </c>
      <c r="S142" s="5"/>
      <c r="T142" s="7"/>
      <c r="U142" s="7"/>
      <c r="V142" s="7"/>
      <c r="W142" s="7"/>
      <c r="X142" s="23">
        <f>54809.21+5000</f>
        <v>59809.21</v>
      </c>
      <c r="Y142" s="6"/>
      <c r="Z142" s="5">
        <f t="shared" si="28"/>
        <v>5000</v>
      </c>
      <c r="AA142" s="6"/>
      <c r="AB142" s="7">
        <f t="shared" si="29"/>
        <v>9.1225544028093089E-2</v>
      </c>
    </row>
    <row r="143" spans="1:28" x14ac:dyDescent="0.3">
      <c r="A143" s="2"/>
      <c r="B143" s="2"/>
      <c r="C143" s="2"/>
      <c r="D143" s="2"/>
      <c r="E143" s="2" t="s">
        <v>135</v>
      </c>
      <c r="F143" s="2"/>
      <c r="G143" s="6"/>
      <c r="H143" s="5">
        <v>43207.7</v>
      </c>
      <c r="I143" s="6"/>
      <c r="J143" s="5">
        <v>67586.14</v>
      </c>
      <c r="K143" s="6"/>
      <c r="L143" s="5">
        <v>54271.25</v>
      </c>
      <c r="M143" s="6"/>
      <c r="N143" s="5">
        <v>76361.84</v>
      </c>
      <c r="O143" s="6"/>
      <c r="P143" s="5">
        <f t="shared" si="26"/>
        <v>-22090.59</v>
      </c>
      <c r="Q143" s="6"/>
      <c r="R143" s="7">
        <f t="shared" si="27"/>
        <v>0.71070999999999995</v>
      </c>
      <c r="S143" s="5"/>
      <c r="T143" s="7"/>
      <c r="U143" s="7"/>
      <c r="V143" s="7"/>
      <c r="W143" s="7"/>
      <c r="X143" s="23">
        <v>76361.84</v>
      </c>
      <c r="Y143" s="6"/>
      <c r="Z143" s="5">
        <f t="shared" si="28"/>
        <v>0</v>
      </c>
      <c r="AA143" s="6"/>
      <c r="AB143" s="7">
        <f t="shared" si="29"/>
        <v>0</v>
      </c>
    </row>
    <row r="144" spans="1:28" x14ac:dyDescent="0.3">
      <c r="A144" s="2"/>
      <c r="B144" s="2"/>
      <c r="C144" s="2"/>
      <c r="D144" s="2"/>
      <c r="E144" s="2" t="s">
        <v>136</v>
      </c>
      <c r="F144" s="2"/>
      <c r="G144" s="6"/>
      <c r="H144" s="5">
        <v>17253.689999999999</v>
      </c>
      <c r="I144" s="6"/>
      <c r="J144" s="5">
        <v>21879.45</v>
      </c>
      <c r="K144" s="6"/>
      <c r="L144" s="5">
        <v>18694.39</v>
      </c>
      <c r="M144" s="6"/>
      <c r="N144" s="5">
        <v>24000</v>
      </c>
      <c r="O144" s="6"/>
      <c r="P144" s="5">
        <f t="shared" si="26"/>
        <v>-5305.61</v>
      </c>
      <c r="Q144" s="6"/>
      <c r="R144" s="7">
        <f t="shared" si="27"/>
        <v>0.77893000000000001</v>
      </c>
      <c r="S144" s="5"/>
      <c r="T144" s="7"/>
      <c r="U144" s="7"/>
      <c r="V144" s="7"/>
      <c r="W144" s="7"/>
      <c r="X144" s="23">
        <v>24000</v>
      </c>
      <c r="Y144" s="6"/>
      <c r="Z144" s="5">
        <f t="shared" si="28"/>
        <v>0</v>
      </c>
      <c r="AA144" s="6"/>
      <c r="AB144" s="7">
        <f t="shared" si="29"/>
        <v>0</v>
      </c>
    </row>
    <row r="145" spans="1:29" x14ac:dyDescent="0.3">
      <c r="A145" s="2"/>
      <c r="B145" s="2"/>
      <c r="C145" s="2"/>
      <c r="D145" s="2"/>
      <c r="E145" s="2" t="s">
        <v>137</v>
      </c>
      <c r="F145" s="2"/>
      <c r="G145" s="6"/>
      <c r="H145" s="5">
        <v>65463.73</v>
      </c>
      <c r="I145" s="6"/>
      <c r="J145" s="5">
        <v>79868.34</v>
      </c>
      <c r="K145" s="6"/>
      <c r="L145" s="5">
        <v>42138.97</v>
      </c>
      <c r="M145" s="6"/>
      <c r="N145" s="5">
        <v>80000</v>
      </c>
      <c r="O145" s="6"/>
      <c r="P145" s="5">
        <f t="shared" si="26"/>
        <v>-37861.03</v>
      </c>
      <c r="Q145" s="6"/>
      <c r="R145" s="7">
        <f t="shared" si="27"/>
        <v>0.52673999999999999</v>
      </c>
      <c r="S145" s="5"/>
      <c r="T145" s="7"/>
      <c r="U145" s="7"/>
      <c r="V145" s="7"/>
      <c r="W145" s="7"/>
      <c r="X145" s="23">
        <v>80000</v>
      </c>
      <c r="Y145" s="6"/>
      <c r="Z145" s="5">
        <f t="shared" si="28"/>
        <v>0</v>
      </c>
      <c r="AA145" s="6"/>
      <c r="AB145" s="7">
        <f t="shared" si="29"/>
        <v>0</v>
      </c>
    </row>
    <row r="146" spans="1:29" x14ac:dyDescent="0.3">
      <c r="A146" s="2"/>
      <c r="B146" s="2"/>
      <c r="C146" s="2"/>
      <c r="D146" s="2"/>
      <c r="E146" s="2" t="s">
        <v>138</v>
      </c>
      <c r="F146" s="2"/>
      <c r="G146" s="6"/>
      <c r="H146" s="5">
        <v>2841.94</v>
      </c>
      <c r="I146" s="6"/>
      <c r="J146" s="5">
        <v>6202.72</v>
      </c>
      <c r="K146" s="6"/>
      <c r="L146" s="5">
        <v>3989.87</v>
      </c>
      <c r="M146" s="6"/>
      <c r="N146" s="5">
        <v>6000</v>
      </c>
      <c r="O146" s="6"/>
      <c r="P146" s="5">
        <f t="shared" si="26"/>
        <v>-2010.13</v>
      </c>
      <c r="Q146" s="6"/>
      <c r="R146" s="7">
        <f t="shared" si="27"/>
        <v>0.66498000000000002</v>
      </c>
      <c r="S146" s="5"/>
      <c r="T146" s="7"/>
      <c r="U146" s="7"/>
      <c r="V146" s="7"/>
      <c r="W146" s="7"/>
      <c r="X146" s="23">
        <v>6000</v>
      </c>
      <c r="Y146" s="6"/>
      <c r="Z146" s="5">
        <f t="shared" si="28"/>
        <v>0</v>
      </c>
      <c r="AA146" s="6"/>
      <c r="AB146" s="7">
        <f t="shared" si="29"/>
        <v>0</v>
      </c>
    </row>
    <row r="147" spans="1:29" x14ac:dyDescent="0.3">
      <c r="A147" s="2"/>
      <c r="B147" s="2"/>
      <c r="C147" s="2"/>
      <c r="D147" s="2"/>
      <c r="E147" s="2" t="s">
        <v>139</v>
      </c>
      <c r="F147" s="2"/>
      <c r="G147" s="6"/>
      <c r="H147" s="5">
        <v>0</v>
      </c>
      <c r="I147" s="6"/>
      <c r="J147" s="5">
        <v>0</v>
      </c>
      <c r="K147" s="6"/>
      <c r="L147" s="5">
        <v>0</v>
      </c>
      <c r="M147" s="6"/>
      <c r="N147" s="5">
        <v>4000</v>
      </c>
      <c r="O147" s="6"/>
      <c r="P147" s="5">
        <f t="shared" si="26"/>
        <v>-4000</v>
      </c>
      <c r="Q147" s="6"/>
      <c r="R147" s="7">
        <f t="shared" si="27"/>
        <v>0</v>
      </c>
      <c r="S147" s="5"/>
      <c r="T147" s="7"/>
      <c r="U147" s="7"/>
      <c r="V147" s="7"/>
      <c r="W147" s="7"/>
      <c r="X147" s="23">
        <v>4000</v>
      </c>
      <c r="Y147" s="6"/>
      <c r="Z147" s="5">
        <f t="shared" si="28"/>
        <v>0</v>
      </c>
      <c r="AA147" s="6"/>
      <c r="AB147" s="7">
        <f t="shared" si="29"/>
        <v>0</v>
      </c>
    </row>
    <row r="148" spans="1:29" x14ac:dyDescent="0.3">
      <c r="A148" s="2"/>
      <c r="B148" s="2"/>
      <c r="C148" s="2"/>
      <c r="D148" s="2"/>
      <c r="E148" s="2" t="s">
        <v>140</v>
      </c>
      <c r="F148" s="2"/>
      <c r="G148" s="6"/>
      <c r="H148" s="5">
        <v>37506.39</v>
      </c>
      <c r="I148" s="6"/>
      <c r="J148" s="5">
        <v>31807.16</v>
      </c>
      <c r="K148" s="6"/>
      <c r="L148" s="5">
        <v>24030.31</v>
      </c>
      <c r="M148" s="6"/>
      <c r="N148" s="5">
        <v>35000</v>
      </c>
      <c r="O148" s="6"/>
      <c r="P148" s="5">
        <f t="shared" si="26"/>
        <v>-10969.69</v>
      </c>
      <c r="Q148" s="6"/>
      <c r="R148" s="7">
        <f t="shared" si="27"/>
        <v>0.68657999999999997</v>
      </c>
      <c r="S148" s="5"/>
      <c r="T148" s="7"/>
      <c r="U148" s="7"/>
      <c r="V148" s="7"/>
      <c r="W148" s="7"/>
      <c r="X148" s="23">
        <v>35000</v>
      </c>
      <c r="Y148" s="6"/>
      <c r="Z148" s="5">
        <f t="shared" si="28"/>
        <v>0</v>
      </c>
      <c r="AA148" s="6"/>
      <c r="AB148" s="7">
        <f t="shared" si="29"/>
        <v>0</v>
      </c>
    </row>
    <row r="149" spans="1:29" x14ac:dyDescent="0.3">
      <c r="A149" s="2"/>
      <c r="B149" s="2"/>
      <c r="C149" s="2"/>
      <c r="D149" s="2"/>
      <c r="E149" s="2" t="s">
        <v>141</v>
      </c>
      <c r="F149" s="2"/>
      <c r="G149" s="6"/>
      <c r="H149" s="5">
        <v>0</v>
      </c>
      <c r="I149" s="6"/>
      <c r="J149" s="5">
        <v>0</v>
      </c>
      <c r="K149" s="6"/>
      <c r="L149" s="5">
        <v>45517.5</v>
      </c>
      <c r="M149" s="6"/>
      <c r="N149" s="5">
        <v>96000</v>
      </c>
      <c r="O149" s="6"/>
      <c r="P149" s="5">
        <f t="shared" si="26"/>
        <v>-50482.5</v>
      </c>
      <c r="Q149" s="6"/>
      <c r="R149" s="7">
        <f t="shared" si="27"/>
        <v>0.47414000000000001</v>
      </c>
      <c r="S149" s="5"/>
      <c r="T149" s="7"/>
      <c r="U149" s="7"/>
      <c r="V149" s="7"/>
      <c r="W149" s="7"/>
      <c r="X149" s="23">
        <v>150000</v>
      </c>
      <c r="Y149" s="6"/>
      <c r="Z149" s="5">
        <f t="shared" si="28"/>
        <v>54000</v>
      </c>
      <c r="AA149" s="6"/>
      <c r="AB149" s="7">
        <f t="shared" si="29"/>
        <v>0.5625</v>
      </c>
    </row>
    <row r="150" spans="1:29" x14ac:dyDescent="0.3">
      <c r="A150" s="2"/>
      <c r="B150" s="2"/>
      <c r="C150" s="2"/>
      <c r="D150" s="2"/>
      <c r="E150" s="2" t="s">
        <v>142</v>
      </c>
      <c r="F150" s="2"/>
      <c r="G150" s="6"/>
      <c r="H150" s="5">
        <v>14701.04</v>
      </c>
      <c r="I150" s="6"/>
      <c r="J150" s="5">
        <v>25567.79</v>
      </c>
      <c r="K150" s="6"/>
      <c r="L150" s="5">
        <v>10683.76</v>
      </c>
      <c r="M150" s="6"/>
      <c r="N150" s="5">
        <v>17000</v>
      </c>
      <c r="O150" s="6"/>
      <c r="P150" s="5">
        <f t="shared" si="26"/>
        <v>-6316.24</v>
      </c>
      <c r="Q150" s="6"/>
      <c r="R150" s="7">
        <f t="shared" si="27"/>
        <v>0.62846000000000002</v>
      </c>
      <c r="S150" s="5"/>
      <c r="T150" s="7"/>
      <c r="U150" s="7"/>
      <c r="V150" s="7"/>
      <c r="W150" s="7"/>
      <c r="X150" s="23">
        <v>17000</v>
      </c>
      <c r="Y150" s="6"/>
      <c r="Z150" s="5">
        <f t="shared" si="28"/>
        <v>0</v>
      </c>
      <c r="AA150" s="6"/>
      <c r="AB150" s="7">
        <f t="shared" si="29"/>
        <v>0</v>
      </c>
    </row>
    <row r="151" spans="1:29" x14ac:dyDescent="0.3">
      <c r="A151" s="2"/>
      <c r="B151" s="2"/>
      <c r="C151" s="2"/>
      <c r="D151" s="2"/>
      <c r="E151" s="2" t="s">
        <v>143</v>
      </c>
      <c r="F151" s="2"/>
      <c r="G151" s="6"/>
      <c r="H151" s="5">
        <v>0</v>
      </c>
      <c r="I151" s="6"/>
      <c r="J151" s="5">
        <v>0</v>
      </c>
      <c r="K151" s="6"/>
      <c r="L151" s="5">
        <v>8979.31</v>
      </c>
      <c r="M151" s="6"/>
      <c r="N151" s="5">
        <v>95000</v>
      </c>
      <c r="O151" s="6"/>
      <c r="P151" s="5">
        <f t="shared" si="26"/>
        <v>-86020.69</v>
      </c>
      <c r="Q151" s="6"/>
      <c r="R151" s="7">
        <f t="shared" si="27"/>
        <v>9.4520000000000007E-2</v>
      </c>
      <c r="S151" s="5"/>
      <c r="T151" s="7"/>
      <c r="U151" s="7"/>
      <c r="V151" s="7"/>
      <c r="W151" s="7"/>
      <c r="X151" s="23">
        <v>95000</v>
      </c>
      <c r="Y151" s="6"/>
      <c r="Z151" s="5">
        <f t="shared" si="28"/>
        <v>0</v>
      </c>
      <c r="AA151" s="6"/>
      <c r="AB151" s="7">
        <f t="shared" si="29"/>
        <v>0</v>
      </c>
      <c r="AC151" s="7"/>
    </row>
    <row r="152" spans="1:29" ht="15" thickBot="1" x14ac:dyDescent="0.35">
      <c r="A152" s="2"/>
      <c r="B152" s="2"/>
      <c r="C152" s="2"/>
      <c r="D152" s="2"/>
      <c r="E152" s="2" t="s">
        <v>144</v>
      </c>
      <c r="F152" s="2"/>
      <c r="G152" s="6"/>
      <c r="H152" s="8">
        <v>5931.03</v>
      </c>
      <c r="I152" s="6"/>
      <c r="J152" s="8">
        <v>6373.59</v>
      </c>
      <c r="K152" s="6"/>
      <c r="L152" s="8">
        <v>6551.03</v>
      </c>
      <c r="M152" s="6"/>
      <c r="N152" s="8">
        <v>6000</v>
      </c>
      <c r="O152" s="6"/>
      <c r="P152" s="8">
        <f t="shared" si="26"/>
        <v>551.03</v>
      </c>
      <c r="Q152" s="6"/>
      <c r="R152" s="9">
        <f t="shared" si="27"/>
        <v>1.0918399999999999</v>
      </c>
      <c r="S152" s="8"/>
      <c r="T152" s="7"/>
      <c r="U152" s="7"/>
      <c r="V152" s="7"/>
      <c r="W152" s="7"/>
      <c r="X152" s="24">
        <v>6000</v>
      </c>
      <c r="Y152" s="6"/>
      <c r="Z152" s="8">
        <f t="shared" si="28"/>
        <v>0</v>
      </c>
      <c r="AA152" s="6"/>
      <c r="AB152" s="9">
        <f t="shared" si="29"/>
        <v>0</v>
      </c>
      <c r="AC152" s="7"/>
    </row>
    <row r="153" spans="1:29" x14ac:dyDescent="0.3">
      <c r="A153" s="2"/>
      <c r="B153" s="2"/>
      <c r="C153" s="2"/>
      <c r="D153" s="2" t="s">
        <v>145</v>
      </c>
      <c r="E153" s="2"/>
      <c r="F153" s="2"/>
      <c r="G153" s="6"/>
      <c r="H153" s="5">
        <f>ROUND(SUM(H82:H152),5)</f>
        <v>962225.04</v>
      </c>
      <c r="I153" s="6"/>
      <c r="J153" s="5">
        <f>ROUND(SUM(J82:J152),5)</f>
        <v>1083092.93</v>
      </c>
      <c r="K153" s="6"/>
      <c r="L153" s="5">
        <f>ROUND(SUM(L82:L152),5)</f>
        <v>909380.67</v>
      </c>
      <c r="M153" s="6"/>
      <c r="N153" s="5">
        <f>ROUND(SUM(N82:N152),5)</f>
        <v>1358570.78</v>
      </c>
      <c r="O153" s="6"/>
      <c r="P153" s="5">
        <f t="shared" si="26"/>
        <v>-449190.11</v>
      </c>
      <c r="Q153" s="6"/>
      <c r="R153" s="7">
        <f t="shared" si="27"/>
        <v>0.66937000000000002</v>
      </c>
      <c r="S153" s="5">
        <f>P153*-1</f>
        <v>449190.11</v>
      </c>
      <c r="T153" s="7"/>
      <c r="U153" s="7"/>
      <c r="V153" s="7"/>
      <c r="W153" s="7"/>
      <c r="X153" s="23">
        <f>ROUND(SUM(X82:X152),5)</f>
        <v>1412946.03764</v>
      </c>
      <c r="Y153" s="6"/>
      <c r="Z153" s="5">
        <f t="shared" si="28"/>
        <v>54375.257639999967</v>
      </c>
      <c r="AA153" s="6"/>
      <c r="AB153" s="7">
        <f t="shared" si="29"/>
        <v>4.0023868053455383E-2</v>
      </c>
      <c r="AC153" s="7"/>
    </row>
    <row r="154" spans="1:29" x14ac:dyDescent="0.3">
      <c r="A154" s="2" t="s">
        <v>290</v>
      </c>
      <c r="B154" s="2"/>
      <c r="C154" s="2"/>
      <c r="D154" s="2" t="s">
        <v>146</v>
      </c>
      <c r="E154" s="2"/>
      <c r="F154" s="2"/>
      <c r="G154" s="6"/>
      <c r="H154" s="5"/>
      <c r="I154" s="6"/>
      <c r="J154" s="5"/>
      <c r="K154" s="6"/>
      <c r="L154" s="5"/>
      <c r="M154" s="6"/>
      <c r="N154" s="5"/>
      <c r="O154" s="6"/>
      <c r="P154" s="5"/>
      <c r="Q154" s="6"/>
      <c r="R154" s="7"/>
      <c r="S154" s="5"/>
      <c r="T154" s="7"/>
      <c r="U154" s="7"/>
      <c r="V154" s="7"/>
      <c r="W154" s="7"/>
      <c r="X154" s="5"/>
      <c r="Y154" s="6"/>
      <c r="Z154" s="5"/>
      <c r="AA154" s="6"/>
      <c r="AB154" s="7"/>
      <c r="AC154" s="7"/>
    </row>
    <row r="155" spans="1:29" x14ac:dyDescent="0.3">
      <c r="AC155" s="7"/>
    </row>
    <row r="156" spans="1:29" x14ac:dyDescent="0.3">
      <c r="A156" s="2"/>
      <c r="B156" s="2"/>
      <c r="C156" s="2"/>
      <c r="D156" s="2"/>
      <c r="E156" s="2" t="s">
        <v>148</v>
      </c>
      <c r="F156" s="2"/>
      <c r="G156" s="6"/>
      <c r="H156" s="5">
        <v>102347.72</v>
      </c>
      <c r="I156" s="6"/>
      <c r="J156" s="5">
        <v>99561.09</v>
      </c>
      <c r="K156" s="6"/>
      <c r="L156" s="5">
        <v>86230.93</v>
      </c>
      <c r="M156" s="6"/>
      <c r="N156" s="5">
        <v>120000</v>
      </c>
      <c r="O156" s="6"/>
      <c r="P156" s="5">
        <f t="shared" ref="P156:P183" si="30">ROUND((L156-N156),5)</f>
        <v>-33769.07</v>
      </c>
      <c r="Q156" s="6"/>
      <c r="R156" s="7">
        <f t="shared" ref="R156:R183" si="31">ROUND(IF(N156=0, IF(L156=0, 0, 1), L156/N156),5)</f>
        <v>0.71858999999999995</v>
      </c>
      <c r="S156" s="5"/>
      <c r="T156" s="7"/>
      <c r="U156" s="7"/>
      <c r="V156" s="7"/>
      <c r="W156" s="7" t="s">
        <v>373</v>
      </c>
      <c r="X156" s="23">
        <v>123000</v>
      </c>
      <c r="Y156" s="6"/>
      <c r="Z156" s="5">
        <f>X156-N156</f>
        <v>3000</v>
      </c>
      <c r="AA156" s="6"/>
      <c r="AB156" s="7">
        <f>Z156/N156</f>
        <v>2.5000000000000001E-2</v>
      </c>
      <c r="AC156" s="7"/>
    </row>
    <row r="157" spans="1:29" x14ac:dyDescent="0.3">
      <c r="A157" s="2"/>
      <c r="B157" s="2"/>
      <c r="C157" s="2"/>
      <c r="D157" s="2"/>
      <c r="E157" s="2" t="s">
        <v>149</v>
      </c>
      <c r="F157" s="2"/>
      <c r="G157" s="6"/>
      <c r="H157" s="5">
        <v>1643664.85</v>
      </c>
      <c r="I157" s="6"/>
      <c r="J157" s="5">
        <v>1784916.08</v>
      </c>
      <c r="K157" s="6"/>
      <c r="L157" s="5">
        <v>1390305.37</v>
      </c>
      <c r="M157" s="6"/>
      <c r="N157" s="5">
        <v>1780412.61</v>
      </c>
      <c r="O157" s="6"/>
      <c r="P157" s="5">
        <f t="shared" si="30"/>
        <v>-390107.24</v>
      </c>
      <c r="Q157" s="6"/>
      <c r="R157" s="7">
        <f t="shared" si="31"/>
        <v>0.78088999999999997</v>
      </c>
      <c r="S157" s="5"/>
      <c r="T157" s="7"/>
      <c r="U157" s="7"/>
      <c r="V157" s="5"/>
      <c r="W157" s="7"/>
      <c r="X157" s="23">
        <f>SUM(W158:W177)</f>
        <v>1777433.2160000005</v>
      </c>
      <c r="Y157" s="6"/>
      <c r="Z157" s="5">
        <f>X157-N157</f>
        <v>-2979.3939999996219</v>
      </c>
      <c r="AA157" s="6"/>
      <c r="AB157" s="7">
        <f>Z157/N157</f>
        <v>-1.6734289474615784E-3</v>
      </c>
      <c r="AC157" s="7"/>
    </row>
    <row r="158" spans="1:29" x14ac:dyDescent="0.3">
      <c r="A158" s="2"/>
      <c r="B158" s="2"/>
      <c r="C158" s="2"/>
      <c r="D158" s="2"/>
      <c r="E158" s="2"/>
      <c r="F158" s="2"/>
      <c r="G158" s="6"/>
      <c r="H158" s="5"/>
      <c r="I158" s="6"/>
      <c r="J158" s="5"/>
      <c r="K158" s="6"/>
      <c r="L158" s="5"/>
      <c r="M158" s="6"/>
      <c r="N158" s="5"/>
      <c r="O158" s="6"/>
      <c r="P158" s="5"/>
      <c r="Q158" s="6"/>
      <c r="R158" s="7"/>
      <c r="S158" s="5"/>
      <c r="T158" s="7"/>
      <c r="U158" s="29" t="s">
        <v>377</v>
      </c>
      <c r="V158" s="5">
        <v>49.01</v>
      </c>
      <c r="W158" s="5">
        <f t="shared" ref="W158:W169" si="32">V158*2080</f>
        <v>101940.8</v>
      </c>
      <c r="X158" s="23"/>
      <c r="Y158" s="6"/>
      <c r="Z158" s="5"/>
      <c r="AA158" s="6"/>
      <c r="AB158" s="7"/>
      <c r="AC158" s="7"/>
    </row>
    <row r="159" spans="1:29" x14ac:dyDescent="0.3">
      <c r="A159" s="2"/>
      <c r="B159" s="2"/>
      <c r="C159" s="2"/>
      <c r="D159" s="2"/>
      <c r="E159" s="2"/>
      <c r="F159" s="2"/>
      <c r="G159" s="6"/>
      <c r="H159" s="5"/>
      <c r="I159" s="6"/>
      <c r="J159" s="5"/>
      <c r="K159" s="6"/>
      <c r="L159" s="5"/>
      <c r="M159" s="6"/>
      <c r="N159" s="5"/>
      <c r="O159" s="6"/>
      <c r="P159" s="5"/>
      <c r="Q159" s="6"/>
      <c r="R159" s="7"/>
      <c r="S159" s="5"/>
      <c r="U159" s="29" t="s">
        <v>374</v>
      </c>
      <c r="V159" s="5">
        <v>49.01</v>
      </c>
      <c r="W159" s="5">
        <f t="shared" si="32"/>
        <v>101940.8</v>
      </c>
      <c r="X159" s="23"/>
      <c r="Y159" s="6"/>
      <c r="Z159" s="5"/>
      <c r="AA159" s="6"/>
      <c r="AB159" s="7"/>
      <c r="AC159" s="7"/>
    </row>
    <row r="160" spans="1:29" x14ac:dyDescent="0.3">
      <c r="A160" s="2"/>
      <c r="B160" s="2"/>
      <c r="C160" s="2"/>
      <c r="D160" s="2"/>
      <c r="E160" s="2"/>
      <c r="F160" s="2"/>
      <c r="G160" s="6"/>
      <c r="H160" s="5"/>
      <c r="I160" s="6"/>
      <c r="J160" s="5"/>
      <c r="K160" s="6"/>
      <c r="L160" s="5"/>
      <c r="M160" s="6"/>
      <c r="N160" s="5"/>
      <c r="O160" s="6"/>
      <c r="P160" s="5"/>
      <c r="Q160" s="6"/>
      <c r="R160" s="7"/>
      <c r="S160" s="5"/>
      <c r="T160" s="7"/>
      <c r="U160" s="29" t="s">
        <v>378</v>
      </c>
      <c r="V160" s="5">
        <v>47.21</v>
      </c>
      <c r="W160" s="5">
        <f t="shared" si="32"/>
        <v>98196.800000000003</v>
      </c>
      <c r="X160" s="23"/>
      <c r="Y160" s="6"/>
      <c r="Z160" s="5"/>
      <c r="AA160" s="6"/>
      <c r="AB160" s="7"/>
      <c r="AC160" s="7"/>
    </row>
    <row r="161" spans="1:29" x14ac:dyDescent="0.3">
      <c r="A161" s="2"/>
      <c r="B161" s="2"/>
      <c r="C161" s="2"/>
      <c r="D161" s="2"/>
      <c r="E161" s="2"/>
      <c r="F161" s="2"/>
      <c r="G161" s="6"/>
      <c r="H161" s="5"/>
      <c r="I161" s="6"/>
      <c r="J161" s="5"/>
      <c r="K161" s="6"/>
      <c r="L161" s="5"/>
      <c r="M161" s="6"/>
      <c r="N161" s="5"/>
      <c r="O161" s="6"/>
      <c r="P161" s="5"/>
      <c r="Q161" s="6"/>
      <c r="R161" s="7"/>
      <c r="S161" s="5"/>
      <c r="T161" s="7"/>
      <c r="U161" s="29" t="s">
        <v>378</v>
      </c>
      <c r="V161" s="5">
        <v>47.21</v>
      </c>
      <c r="W161" s="5">
        <f t="shared" si="32"/>
        <v>98196.800000000003</v>
      </c>
      <c r="X161" s="23"/>
      <c r="Y161" s="6"/>
      <c r="Z161" s="5"/>
      <c r="AA161" s="6"/>
      <c r="AB161" s="7"/>
      <c r="AC161" s="7"/>
    </row>
    <row r="162" spans="1:29" x14ac:dyDescent="0.3">
      <c r="A162" s="2"/>
      <c r="B162" s="2"/>
      <c r="C162" s="2"/>
      <c r="D162" s="2"/>
      <c r="E162" s="2"/>
      <c r="F162" s="2"/>
      <c r="G162" s="6"/>
      <c r="H162" s="5"/>
      <c r="I162" s="6"/>
      <c r="J162" s="5"/>
      <c r="K162" s="6"/>
      <c r="L162" s="5"/>
      <c r="M162" s="6"/>
      <c r="N162" s="5"/>
      <c r="O162" s="6"/>
      <c r="P162" s="5"/>
      <c r="Q162" s="6"/>
      <c r="R162" s="7"/>
      <c r="S162" s="5"/>
      <c r="T162" s="7"/>
      <c r="U162" s="29" t="s">
        <v>378</v>
      </c>
      <c r="V162" s="5">
        <v>47.21</v>
      </c>
      <c r="W162" s="5">
        <f t="shared" si="32"/>
        <v>98196.800000000003</v>
      </c>
      <c r="X162" s="23"/>
      <c r="Y162" s="6"/>
      <c r="Z162" s="5"/>
      <c r="AA162" s="6"/>
      <c r="AB162" s="7"/>
      <c r="AC162" s="7"/>
    </row>
    <row r="163" spans="1:29" x14ac:dyDescent="0.3">
      <c r="A163" s="2"/>
      <c r="B163" s="2"/>
      <c r="C163" s="2"/>
      <c r="D163" s="2"/>
      <c r="E163" s="2"/>
      <c r="F163" s="2"/>
      <c r="G163" s="6"/>
      <c r="H163" s="5"/>
      <c r="I163" s="6"/>
      <c r="J163" s="5"/>
      <c r="K163" s="6"/>
      <c r="L163" s="5"/>
      <c r="M163" s="6"/>
      <c r="N163" s="5"/>
      <c r="O163" s="6"/>
      <c r="P163" s="5"/>
      <c r="Q163" s="6"/>
      <c r="R163" s="7"/>
      <c r="S163" s="5"/>
      <c r="T163" s="7"/>
      <c r="U163" s="29" t="s">
        <v>378</v>
      </c>
      <c r="V163" s="5">
        <v>47.21</v>
      </c>
      <c r="W163" s="5">
        <f t="shared" si="32"/>
        <v>98196.800000000003</v>
      </c>
      <c r="X163" s="23"/>
      <c r="Y163" s="6"/>
      <c r="Z163" s="5"/>
      <c r="AA163" s="6"/>
      <c r="AB163" s="7"/>
      <c r="AC163" s="7"/>
    </row>
    <row r="164" spans="1:29" x14ac:dyDescent="0.3">
      <c r="A164" s="2"/>
      <c r="B164" s="2"/>
      <c r="C164" s="2"/>
      <c r="D164" s="2"/>
      <c r="E164" s="2"/>
      <c r="F164" s="2"/>
      <c r="G164" s="6"/>
      <c r="H164" s="5"/>
      <c r="I164" s="6"/>
      <c r="J164" s="5"/>
      <c r="K164" s="6"/>
      <c r="L164" s="5"/>
      <c r="M164" s="6"/>
      <c r="N164" s="5"/>
      <c r="O164" s="6"/>
      <c r="P164" s="5"/>
      <c r="Q164" s="6"/>
      <c r="R164" s="7"/>
      <c r="S164" s="5"/>
      <c r="T164" s="7"/>
      <c r="U164" s="29" t="s">
        <v>375</v>
      </c>
      <c r="V164" s="5">
        <v>47.21</v>
      </c>
      <c r="W164" s="5">
        <f t="shared" si="32"/>
        <v>98196.800000000003</v>
      </c>
      <c r="X164" s="23"/>
      <c r="Y164" s="6"/>
      <c r="Z164" s="5"/>
      <c r="AA164" s="6"/>
      <c r="AB164" s="7"/>
      <c r="AC164" s="7"/>
    </row>
    <row r="165" spans="1:29" x14ac:dyDescent="0.3">
      <c r="A165" s="2"/>
      <c r="B165" s="2"/>
      <c r="C165" s="2"/>
      <c r="D165" s="2"/>
      <c r="E165" s="2"/>
      <c r="F165" s="2"/>
      <c r="G165" s="6"/>
      <c r="H165" s="5"/>
      <c r="I165" s="6"/>
      <c r="J165" s="5"/>
      <c r="K165" s="6"/>
      <c r="L165" s="5"/>
      <c r="M165" s="6"/>
      <c r="N165" s="5"/>
      <c r="O165" s="6"/>
      <c r="P165" s="5"/>
      <c r="Q165" s="6"/>
      <c r="R165" s="7"/>
      <c r="S165" s="5"/>
      <c r="T165" s="7"/>
      <c r="U165" s="29" t="s">
        <v>375</v>
      </c>
      <c r="V165" s="5">
        <v>47.21</v>
      </c>
      <c r="W165" s="5">
        <f t="shared" si="32"/>
        <v>98196.800000000003</v>
      </c>
      <c r="X165" s="23"/>
      <c r="Y165" s="6"/>
      <c r="Z165" s="5"/>
      <c r="AA165" s="6"/>
      <c r="AB165" s="7"/>
      <c r="AC165" s="7"/>
    </row>
    <row r="166" spans="1:29" x14ac:dyDescent="0.3">
      <c r="A166" s="2"/>
      <c r="B166" s="2"/>
      <c r="C166" s="2"/>
      <c r="D166" s="2"/>
      <c r="E166" s="2"/>
      <c r="F166" s="2"/>
      <c r="G166" s="6"/>
      <c r="H166" s="5"/>
      <c r="I166" s="6"/>
      <c r="J166" s="5"/>
      <c r="K166" s="6"/>
      <c r="L166" s="5"/>
      <c r="M166" s="6"/>
      <c r="N166" s="5"/>
      <c r="O166" s="6"/>
      <c r="P166" s="5"/>
      <c r="Q166" s="6"/>
      <c r="R166" s="7"/>
      <c r="S166" s="5"/>
      <c r="T166" s="7"/>
      <c r="U166" s="29" t="s">
        <v>376</v>
      </c>
      <c r="V166" s="5">
        <v>44.96</v>
      </c>
      <c r="W166" s="5">
        <f t="shared" si="32"/>
        <v>93516.800000000003</v>
      </c>
      <c r="X166" s="23"/>
      <c r="Y166" s="6"/>
      <c r="Z166" s="5"/>
      <c r="AA166" s="6"/>
      <c r="AB166" s="7"/>
    </row>
    <row r="167" spans="1:29" x14ac:dyDescent="0.3">
      <c r="A167" s="2"/>
      <c r="B167" s="2"/>
      <c r="C167" s="2"/>
      <c r="D167" s="2"/>
      <c r="E167" s="2"/>
      <c r="F167" s="2"/>
      <c r="G167" s="6"/>
      <c r="H167" s="5"/>
      <c r="I167" s="6"/>
      <c r="J167" s="5"/>
      <c r="K167" s="6"/>
      <c r="L167" s="5"/>
      <c r="M167" s="6"/>
      <c r="N167" s="5"/>
      <c r="O167" s="6"/>
      <c r="P167" s="5"/>
      <c r="Q167" s="6"/>
      <c r="R167" s="7"/>
      <c r="S167" s="5"/>
      <c r="T167" s="7"/>
      <c r="U167" s="29" t="s">
        <v>376</v>
      </c>
      <c r="V167" s="5">
        <v>44.96</v>
      </c>
      <c r="W167" s="5">
        <f t="shared" si="32"/>
        <v>93516.800000000003</v>
      </c>
      <c r="X167" s="23"/>
      <c r="Y167" s="6"/>
      <c r="Z167" s="5"/>
      <c r="AA167" s="6"/>
      <c r="AB167" s="7"/>
      <c r="AC167" s="7"/>
    </row>
    <row r="168" spans="1:29" x14ac:dyDescent="0.3">
      <c r="A168" s="2"/>
      <c r="B168" s="2"/>
      <c r="C168" s="2"/>
      <c r="D168" s="2"/>
      <c r="E168" s="2"/>
      <c r="F168" s="2"/>
      <c r="G168" s="6"/>
      <c r="H168" s="5"/>
      <c r="I168" s="6"/>
      <c r="J168" s="5"/>
      <c r="K168" s="6"/>
      <c r="L168" s="5"/>
      <c r="M168" s="6"/>
      <c r="N168" s="5"/>
      <c r="O168" s="6"/>
      <c r="P168" s="5"/>
      <c r="Q168" s="6"/>
      <c r="R168" s="7"/>
      <c r="S168" s="5"/>
      <c r="T168" s="7"/>
      <c r="U168" s="29" t="s">
        <v>376</v>
      </c>
      <c r="V168" s="5">
        <v>44.96</v>
      </c>
      <c r="W168" s="5">
        <f t="shared" si="32"/>
        <v>93516.800000000003</v>
      </c>
      <c r="X168" s="23"/>
      <c r="Y168" s="6"/>
      <c r="Z168" s="5"/>
      <c r="AA168" s="6"/>
      <c r="AB168" s="7"/>
      <c r="AC168" s="7"/>
    </row>
    <row r="169" spans="1:29" x14ac:dyDescent="0.3">
      <c r="A169" s="2"/>
      <c r="B169" s="2"/>
      <c r="C169" s="2"/>
      <c r="D169" s="2"/>
      <c r="E169" s="2"/>
      <c r="F169" s="2"/>
      <c r="G169" s="6"/>
      <c r="H169" s="5"/>
      <c r="I169" s="6"/>
      <c r="J169" s="5"/>
      <c r="K169" s="6"/>
      <c r="L169" s="5"/>
      <c r="M169" s="6"/>
      <c r="N169" s="5"/>
      <c r="O169" s="6"/>
      <c r="P169" s="5"/>
      <c r="Q169" s="6"/>
      <c r="R169" s="7"/>
      <c r="S169" s="5"/>
      <c r="T169" s="7"/>
      <c r="U169" s="29" t="s">
        <v>376</v>
      </c>
      <c r="V169" s="5">
        <v>44.96</v>
      </c>
      <c r="W169" s="5">
        <f t="shared" si="32"/>
        <v>93516.800000000003</v>
      </c>
      <c r="X169" s="23"/>
      <c r="Y169" s="6"/>
      <c r="Z169" s="5"/>
      <c r="AA169" s="6"/>
      <c r="AB169" s="7"/>
    </row>
    <row r="170" spans="1:29" x14ac:dyDescent="0.3">
      <c r="A170" s="2"/>
      <c r="B170" s="2"/>
      <c r="C170" s="2"/>
      <c r="D170" s="2"/>
      <c r="E170" s="2"/>
      <c r="F170" s="2"/>
      <c r="G170" s="6"/>
      <c r="H170" s="5"/>
      <c r="I170" s="6"/>
      <c r="J170" s="5"/>
      <c r="K170" s="6"/>
      <c r="L170" s="5"/>
      <c r="M170" s="6"/>
      <c r="N170" s="5"/>
      <c r="O170" s="6"/>
      <c r="P170" s="5"/>
      <c r="Q170" s="6"/>
      <c r="R170" s="7"/>
      <c r="S170" s="5"/>
      <c r="T170" s="7"/>
      <c r="U170" s="29" t="s">
        <v>379</v>
      </c>
      <c r="V170" s="5">
        <v>44.96</v>
      </c>
      <c r="W170" s="5">
        <f>V170*2080/2</f>
        <v>46758.400000000001</v>
      </c>
      <c r="X170" s="23"/>
      <c r="Y170" s="6"/>
      <c r="Z170" s="5"/>
      <c r="AA170" s="6"/>
      <c r="AB170" s="7"/>
      <c r="AC170" s="7" t="s">
        <v>291</v>
      </c>
    </row>
    <row r="171" spans="1:29" x14ac:dyDescent="0.3">
      <c r="A171" s="2"/>
      <c r="B171" s="2"/>
      <c r="C171" s="2"/>
      <c r="D171" s="2"/>
      <c r="E171" s="2"/>
      <c r="F171" s="2"/>
      <c r="G171" s="6"/>
      <c r="H171" s="5"/>
      <c r="I171" s="6"/>
      <c r="J171" s="5"/>
      <c r="K171" s="6"/>
      <c r="L171" s="5"/>
      <c r="M171" s="6"/>
      <c r="N171" s="5"/>
      <c r="O171" s="6"/>
      <c r="P171" s="5"/>
      <c r="Q171" s="6"/>
      <c r="R171" s="7"/>
      <c r="S171" s="5"/>
      <c r="T171" s="7"/>
      <c r="U171" s="29" t="s">
        <v>376</v>
      </c>
      <c r="V171" s="5">
        <v>44.96</v>
      </c>
      <c r="W171" s="5">
        <f t="shared" ref="W171:W176" si="33">V171*2080</f>
        <v>93516.800000000003</v>
      </c>
      <c r="X171" s="23"/>
      <c r="Y171" s="6"/>
      <c r="Z171" s="5"/>
      <c r="AA171" s="6"/>
      <c r="AB171" s="7"/>
    </row>
    <row r="172" spans="1:29" x14ac:dyDescent="0.3">
      <c r="A172" s="2"/>
      <c r="B172" s="2"/>
      <c r="C172" s="2"/>
      <c r="D172" s="2"/>
      <c r="E172" s="2"/>
      <c r="F172" s="2"/>
      <c r="G172" s="6"/>
      <c r="H172" s="5"/>
      <c r="I172" s="6"/>
      <c r="J172" s="5"/>
      <c r="K172" s="6"/>
      <c r="L172" s="5"/>
      <c r="M172" s="6"/>
      <c r="N172" s="5"/>
      <c r="O172" s="6"/>
      <c r="P172" s="5"/>
      <c r="Q172" s="6"/>
      <c r="R172" s="7"/>
      <c r="S172" s="5"/>
      <c r="T172" s="7"/>
      <c r="U172" s="29" t="s">
        <v>376</v>
      </c>
      <c r="V172" s="5">
        <v>44.96</v>
      </c>
      <c r="W172" s="5">
        <f t="shared" si="33"/>
        <v>93516.800000000003</v>
      </c>
      <c r="X172" s="23"/>
      <c r="Y172" s="6"/>
      <c r="Z172" s="5"/>
      <c r="AA172" s="6"/>
      <c r="AB172" s="7"/>
    </row>
    <row r="173" spans="1:29" x14ac:dyDescent="0.3">
      <c r="A173" s="2"/>
      <c r="B173" s="2"/>
      <c r="C173" s="2"/>
      <c r="D173" s="2"/>
      <c r="E173" s="2"/>
      <c r="F173" s="2"/>
      <c r="G173" s="6"/>
      <c r="H173" s="5"/>
      <c r="I173" s="6"/>
      <c r="J173" s="5"/>
      <c r="K173" s="6"/>
      <c r="L173" s="5"/>
      <c r="M173" s="6"/>
      <c r="N173" s="5"/>
      <c r="O173" s="6"/>
      <c r="P173" s="5"/>
      <c r="Q173" s="6"/>
      <c r="R173" s="7"/>
      <c r="S173" s="5"/>
      <c r="T173" s="7"/>
      <c r="U173" s="29" t="s">
        <v>376</v>
      </c>
      <c r="V173" s="5">
        <v>44.96</v>
      </c>
      <c r="W173" s="5">
        <f t="shared" si="33"/>
        <v>93516.800000000003</v>
      </c>
      <c r="X173" s="23"/>
      <c r="Y173" s="6"/>
      <c r="Z173" s="5"/>
      <c r="AA173" s="6"/>
      <c r="AB173" s="7"/>
    </row>
    <row r="174" spans="1:29" x14ac:dyDescent="0.3">
      <c r="A174" s="2"/>
      <c r="B174" s="2"/>
      <c r="C174" s="2"/>
      <c r="D174" s="2"/>
      <c r="E174" s="2"/>
      <c r="F174" s="2"/>
      <c r="G174" s="6"/>
      <c r="H174" s="5"/>
      <c r="I174" s="6"/>
      <c r="J174" s="5"/>
      <c r="K174" s="6"/>
      <c r="L174" s="5"/>
      <c r="M174" s="6"/>
      <c r="N174" s="5"/>
      <c r="O174" s="6"/>
      <c r="P174" s="5"/>
      <c r="Q174" s="6"/>
      <c r="R174" s="7"/>
      <c r="S174" s="5"/>
      <c r="T174" s="7"/>
      <c r="U174" s="29" t="s">
        <v>376</v>
      </c>
      <c r="V174" s="5">
        <v>44.96</v>
      </c>
      <c r="W174" s="5">
        <f t="shared" si="33"/>
        <v>93516.800000000003</v>
      </c>
      <c r="X174" s="23"/>
      <c r="Y174" s="6"/>
      <c r="Z174" s="5"/>
      <c r="AA174" s="6"/>
      <c r="AB174" s="7"/>
    </row>
    <row r="175" spans="1:29" x14ac:dyDescent="0.3">
      <c r="A175" s="2"/>
      <c r="B175" s="2"/>
      <c r="C175" s="2"/>
      <c r="D175" s="2"/>
      <c r="E175" s="2"/>
      <c r="F175" s="2"/>
      <c r="G175" s="6"/>
      <c r="H175" s="5"/>
      <c r="I175" s="6"/>
      <c r="J175" s="5"/>
      <c r="K175" s="6"/>
      <c r="L175" s="5"/>
      <c r="M175" s="6"/>
      <c r="N175" s="5"/>
      <c r="O175" s="6"/>
      <c r="P175" s="5"/>
      <c r="Q175" s="6"/>
      <c r="R175" s="7"/>
      <c r="S175" s="5"/>
      <c r="T175" s="7"/>
      <c r="U175" s="29" t="s">
        <v>376</v>
      </c>
      <c r="V175" s="5">
        <v>44.96</v>
      </c>
      <c r="W175" s="5">
        <f t="shared" si="33"/>
        <v>93516.800000000003</v>
      </c>
      <c r="X175" s="23"/>
      <c r="Y175" s="6"/>
      <c r="Z175" s="5"/>
      <c r="AA175" s="6"/>
      <c r="AB175" s="7"/>
    </row>
    <row r="176" spans="1:29" x14ac:dyDescent="0.3">
      <c r="A176" s="2"/>
      <c r="B176" s="2"/>
      <c r="C176" s="2"/>
      <c r="D176" s="2"/>
      <c r="E176" s="2"/>
      <c r="F176" s="2"/>
      <c r="G176" s="6"/>
      <c r="H176" s="5"/>
      <c r="I176" s="6"/>
      <c r="J176" s="5"/>
      <c r="K176" s="6"/>
      <c r="L176" s="5"/>
      <c r="M176" s="6"/>
      <c r="N176" s="5"/>
      <c r="O176" s="6"/>
      <c r="P176" s="5"/>
      <c r="Q176" s="6"/>
      <c r="R176" s="7"/>
      <c r="S176" s="5"/>
      <c r="T176" s="7"/>
      <c r="U176" s="29" t="s">
        <v>376</v>
      </c>
      <c r="V176" s="5">
        <v>40.47</v>
      </c>
      <c r="W176" s="5">
        <f t="shared" si="33"/>
        <v>84177.599999999991</v>
      </c>
      <c r="X176" s="23"/>
      <c r="Y176" s="6"/>
      <c r="Z176" s="5"/>
      <c r="AA176" s="6"/>
      <c r="AB176" s="7"/>
    </row>
    <row r="177" spans="1:28" x14ac:dyDescent="0.3">
      <c r="A177" s="2"/>
      <c r="B177" s="2"/>
      <c r="C177" s="2"/>
      <c r="D177" s="2"/>
      <c r="E177" s="2"/>
      <c r="F177" s="2"/>
      <c r="G177" s="6"/>
      <c r="H177" s="5"/>
      <c r="I177" s="6"/>
      <c r="J177" s="5"/>
      <c r="K177" s="6"/>
      <c r="L177" s="5"/>
      <c r="M177" s="6"/>
      <c r="N177" s="5"/>
      <c r="O177" s="6"/>
      <c r="P177" s="5"/>
      <c r="Q177" s="6"/>
      <c r="R177" s="7"/>
      <c r="S177" s="5"/>
      <c r="T177" s="7"/>
      <c r="U177" s="29" t="s">
        <v>321</v>
      </c>
      <c r="W177" s="5">
        <f>V162*0.02*2080*6</f>
        <v>11783.616000000002</v>
      </c>
      <c r="X177" s="23"/>
      <c r="Y177" s="6"/>
      <c r="Z177" s="5"/>
      <c r="AA177" s="6"/>
      <c r="AB177" s="7"/>
    </row>
    <row r="178" spans="1:28" x14ac:dyDescent="0.3">
      <c r="A178" s="2"/>
      <c r="B178" s="2"/>
      <c r="C178" s="2"/>
      <c r="D178" s="2"/>
      <c r="E178" s="2" t="s">
        <v>150</v>
      </c>
      <c r="F178" s="2"/>
      <c r="G178" s="6"/>
      <c r="H178" s="5">
        <v>54600.02</v>
      </c>
      <c r="I178" s="6"/>
      <c r="J178" s="5">
        <v>65730.720000000001</v>
      </c>
      <c r="K178" s="6"/>
      <c r="L178" s="5">
        <v>90478.81</v>
      </c>
      <c r="M178" s="6"/>
      <c r="N178" s="5">
        <v>112143.2</v>
      </c>
      <c r="O178" s="6"/>
      <c r="P178" s="5">
        <f t="shared" si="30"/>
        <v>-21664.39</v>
      </c>
      <c r="Q178" s="6"/>
      <c r="R178" s="7">
        <f t="shared" si="31"/>
        <v>0.80681000000000003</v>
      </c>
      <c r="S178" s="5"/>
      <c r="T178" s="7"/>
      <c r="U178" s="7"/>
      <c r="V178" s="7"/>
      <c r="W178" s="7"/>
      <c r="X178" s="23">
        <f>SUM(W179:W181)</f>
        <v>122595.2</v>
      </c>
      <c r="Y178" s="6"/>
      <c r="Z178" s="5">
        <f>X178-N178</f>
        <v>10452</v>
      </c>
      <c r="AA178" s="6"/>
      <c r="AB178" s="7">
        <f>Z178/N178</f>
        <v>9.3202262821107301E-2</v>
      </c>
    </row>
    <row r="179" spans="1:28" x14ac:dyDescent="0.3">
      <c r="A179" s="2"/>
      <c r="B179" s="2"/>
      <c r="C179" s="2"/>
      <c r="D179" s="2"/>
      <c r="E179" s="2"/>
      <c r="F179" s="2"/>
      <c r="G179" s="6"/>
      <c r="H179" s="5"/>
      <c r="I179" s="6"/>
      <c r="J179" s="5"/>
      <c r="K179" s="6"/>
      <c r="L179" s="5"/>
      <c r="M179" s="6"/>
      <c r="N179" s="5"/>
      <c r="O179" s="6"/>
      <c r="P179" s="5"/>
      <c r="Q179" s="6"/>
      <c r="R179" s="7"/>
      <c r="S179" s="5"/>
      <c r="T179" s="7"/>
      <c r="U179" s="7"/>
      <c r="V179" s="7" t="s">
        <v>287</v>
      </c>
      <c r="W179" s="5">
        <f>28.97*2080</f>
        <v>60257.599999999999</v>
      </c>
      <c r="X179" s="23"/>
      <c r="Y179" s="6"/>
      <c r="Z179" s="5"/>
      <c r="AA179" s="6"/>
      <c r="AB179" s="7"/>
    </row>
    <row r="180" spans="1:28" x14ac:dyDescent="0.3">
      <c r="A180" s="2"/>
      <c r="B180" s="2"/>
      <c r="C180" s="2"/>
      <c r="D180" s="2"/>
      <c r="E180" s="2"/>
      <c r="F180" s="2"/>
      <c r="G180" s="6"/>
      <c r="H180" s="5"/>
      <c r="I180" s="6"/>
      <c r="J180" s="5"/>
      <c r="K180" s="6"/>
      <c r="L180" s="5"/>
      <c r="M180" s="6"/>
      <c r="N180" s="5"/>
      <c r="O180" s="6"/>
      <c r="P180" s="5"/>
      <c r="Q180" s="6"/>
      <c r="R180" s="7"/>
      <c r="S180" s="5"/>
      <c r="T180" s="7"/>
      <c r="U180" s="7"/>
      <c r="V180" s="7" t="s">
        <v>288</v>
      </c>
      <c r="W180" s="5">
        <f t="shared" ref="W180" si="34">28.97*2080</f>
        <v>60257.599999999999</v>
      </c>
      <c r="X180" s="23"/>
      <c r="Y180" s="6"/>
      <c r="Z180" s="5"/>
      <c r="AA180" s="6"/>
      <c r="AB180" s="7"/>
    </row>
    <row r="181" spans="1:28" x14ac:dyDescent="0.3">
      <c r="A181" s="2"/>
      <c r="B181" s="2"/>
      <c r="C181" s="2"/>
      <c r="D181" s="2"/>
      <c r="E181" s="2"/>
      <c r="F181" s="2"/>
      <c r="G181" s="6"/>
      <c r="H181" s="5"/>
      <c r="I181" s="6"/>
      <c r="J181" s="5"/>
      <c r="K181" s="6"/>
      <c r="L181" s="5"/>
      <c r="M181" s="6"/>
      <c r="N181" s="5"/>
      <c r="O181" s="6"/>
      <c r="P181" s="5"/>
      <c r="Q181" s="6"/>
      <c r="R181" s="7"/>
      <c r="S181" s="5"/>
      <c r="T181" s="7"/>
      <c r="U181" s="7"/>
      <c r="V181" s="7" t="s">
        <v>289</v>
      </c>
      <c r="W181" s="5">
        <f>0.5*2080*2</f>
        <v>2080</v>
      </c>
      <c r="X181" s="23"/>
      <c r="Y181" s="6"/>
      <c r="Z181" s="5"/>
      <c r="AA181" s="6"/>
      <c r="AB181" s="7"/>
    </row>
    <row r="182" spans="1:28" x14ac:dyDescent="0.3">
      <c r="A182" s="2"/>
      <c r="B182" s="2"/>
      <c r="C182" s="2"/>
      <c r="D182" s="2"/>
      <c r="E182" s="2" t="s">
        <v>151</v>
      </c>
      <c r="F182" s="2"/>
      <c r="G182" s="6"/>
      <c r="H182" s="5">
        <v>51174.68</v>
      </c>
      <c r="I182" s="6"/>
      <c r="J182" s="5">
        <v>48826.34</v>
      </c>
      <c r="K182" s="6"/>
      <c r="L182" s="5">
        <v>40525.519999999997</v>
      </c>
      <c r="M182" s="6"/>
      <c r="N182" s="5">
        <v>50699.77</v>
      </c>
      <c r="O182" s="6"/>
      <c r="P182" s="5">
        <f t="shared" si="30"/>
        <v>-10174.25</v>
      </c>
      <c r="Q182" s="6"/>
      <c r="R182" s="7">
        <f t="shared" si="31"/>
        <v>0.79932000000000003</v>
      </c>
      <c r="S182" s="5"/>
      <c r="T182" s="7"/>
      <c r="U182" s="7"/>
      <c r="V182" s="7"/>
      <c r="W182" s="7"/>
      <c r="X182" s="23">
        <v>43167.41</v>
      </c>
      <c r="Y182" s="6"/>
      <c r="Z182" s="5">
        <f t="shared" ref="Z182:Z213" si="35">X182-N182</f>
        <v>-7532.3599999999933</v>
      </c>
      <c r="AA182" s="6"/>
      <c r="AB182" s="7">
        <f t="shared" ref="AB182:AB215" si="36">Z182/N182</f>
        <v>-0.14856793235945634</v>
      </c>
    </row>
    <row r="183" spans="1:28" x14ac:dyDescent="0.3">
      <c r="A183" s="2"/>
      <c r="B183" s="2"/>
      <c r="C183" s="2"/>
      <c r="D183" s="2"/>
      <c r="E183" s="2" t="s">
        <v>152</v>
      </c>
      <c r="F183" s="2"/>
      <c r="G183" s="6"/>
      <c r="H183" s="5">
        <v>189276.08</v>
      </c>
      <c r="I183" s="6"/>
      <c r="J183" s="5">
        <v>195455.34</v>
      </c>
      <c r="K183" s="6"/>
      <c r="L183" s="5">
        <v>191102.19</v>
      </c>
      <c r="M183" s="6"/>
      <c r="N183" s="5">
        <v>191100</v>
      </c>
      <c r="O183" s="6"/>
      <c r="P183" s="5">
        <f t="shared" si="30"/>
        <v>2.19</v>
      </c>
      <c r="Q183" s="6"/>
      <c r="R183" s="7">
        <f t="shared" si="31"/>
        <v>1.0000100000000001</v>
      </c>
      <c r="S183" s="5"/>
      <c r="T183" s="7"/>
      <c r="U183" s="7"/>
      <c r="V183" s="7"/>
      <c r="W183" s="7"/>
      <c r="X183" s="23">
        <v>210000</v>
      </c>
      <c r="Y183" s="6"/>
      <c r="Z183" s="5">
        <f t="shared" si="35"/>
        <v>18900</v>
      </c>
      <c r="AA183" s="6"/>
      <c r="AB183" s="7">
        <f t="shared" si="36"/>
        <v>9.8901098901098897E-2</v>
      </c>
    </row>
    <row r="184" spans="1:28" x14ac:dyDescent="0.3">
      <c r="A184" s="2"/>
      <c r="B184" s="2"/>
      <c r="C184" s="2"/>
      <c r="D184" s="2"/>
      <c r="E184" s="2" t="s">
        <v>153</v>
      </c>
      <c r="F184" s="2"/>
      <c r="G184" s="6"/>
      <c r="H184" s="5">
        <v>69868.75</v>
      </c>
      <c r="I184" s="6"/>
      <c r="J184" s="5">
        <v>69501.11</v>
      </c>
      <c r="K184" s="6"/>
      <c r="L184" s="5">
        <v>5262.12</v>
      </c>
      <c r="M184" s="6"/>
      <c r="N184" s="5">
        <v>70000</v>
      </c>
      <c r="O184" s="6"/>
      <c r="P184" s="5">
        <f t="shared" ref="P184:P218" si="37">ROUND((L184-N184),5)</f>
        <v>-64737.88</v>
      </c>
      <c r="Q184" s="6"/>
      <c r="R184" s="7">
        <f t="shared" ref="R184:R218" si="38">ROUND(IF(N184=0, IF(L184=0, 0, 1), L184/N184),5)</f>
        <v>7.5170000000000001E-2</v>
      </c>
      <c r="S184" s="5"/>
      <c r="T184" s="7"/>
      <c r="U184" s="7"/>
      <c r="V184" s="7"/>
      <c r="W184" s="7"/>
      <c r="X184" s="23">
        <v>70000</v>
      </c>
      <c r="Y184" s="6"/>
      <c r="Z184" s="5">
        <f t="shared" si="35"/>
        <v>0</v>
      </c>
      <c r="AA184" s="6"/>
      <c r="AB184" s="7">
        <f t="shared" si="36"/>
        <v>0</v>
      </c>
    </row>
    <row r="185" spans="1:28" x14ac:dyDescent="0.3">
      <c r="A185" s="2"/>
      <c r="B185" s="2"/>
      <c r="C185" s="2"/>
      <c r="D185" s="2"/>
      <c r="E185" s="2" t="s">
        <v>154</v>
      </c>
      <c r="F185" s="2"/>
      <c r="G185" s="6"/>
      <c r="H185" s="5">
        <v>0</v>
      </c>
      <c r="I185" s="6"/>
      <c r="J185" s="5">
        <v>0</v>
      </c>
      <c r="K185" s="6"/>
      <c r="L185" s="5">
        <v>345.2</v>
      </c>
      <c r="M185" s="6"/>
      <c r="N185" s="5">
        <v>1500</v>
      </c>
      <c r="O185" s="6"/>
      <c r="P185" s="5">
        <f t="shared" si="37"/>
        <v>-1154.8</v>
      </c>
      <c r="Q185" s="6"/>
      <c r="R185" s="7">
        <f t="shared" si="38"/>
        <v>0.23013</v>
      </c>
      <c r="S185" s="5"/>
      <c r="T185" s="7"/>
      <c r="U185" s="7"/>
      <c r="V185" s="7"/>
      <c r="W185" s="7"/>
      <c r="X185" s="23">
        <v>1500</v>
      </c>
      <c r="Y185" s="6"/>
      <c r="Z185" s="5">
        <f t="shared" si="35"/>
        <v>0</v>
      </c>
      <c r="AA185" s="6"/>
      <c r="AB185" s="7">
        <f t="shared" si="36"/>
        <v>0</v>
      </c>
    </row>
    <row r="186" spans="1:28" x14ac:dyDescent="0.3">
      <c r="A186" s="2"/>
      <c r="B186" s="2"/>
      <c r="C186" s="2"/>
      <c r="D186" s="2"/>
      <c r="E186" s="2" t="s">
        <v>155</v>
      </c>
      <c r="F186" s="2"/>
      <c r="G186" s="6"/>
      <c r="H186" s="5">
        <v>15691.22</v>
      </c>
      <c r="I186" s="6"/>
      <c r="J186" s="5">
        <v>16636.32</v>
      </c>
      <c r="K186" s="6"/>
      <c r="L186" s="5">
        <v>4630.82</v>
      </c>
      <c r="M186" s="6"/>
      <c r="N186" s="5">
        <v>16800</v>
      </c>
      <c r="O186" s="6"/>
      <c r="P186" s="5">
        <f t="shared" si="37"/>
        <v>-12169.18</v>
      </c>
      <c r="Q186" s="6"/>
      <c r="R186" s="7">
        <f t="shared" si="38"/>
        <v>0.27564</v>
      </c>
      <c r="S186" s="5"/>
      <c r="T186" s="7"/>
      <c r="U186" s="7"/>
      <c r="V186" s="7"/>
      <c r="W186" s="7"/>
      <c r="X186" s="23">
        <v>16800</v>
      </c>
      <c r="Y186" s="6"/>
      <c r="Z186" s="5">
        <f t="shared" si="35"/>
        <v>0</v>
      </c>
      <c r="AA186" s="6"/>
      <c r="AB186" s="7">
        <f t="shared" si="36"/>
        <v>0</v>
      </c>
    </row>
    <row r="187" spans="1:28" x14ac:dyDescent="0.3">
      <c r="A187" s="2"/>
      <c r="B187" s="2"/>
      <c r="C187" s="2"/>
      <c r="D187" s="2"/>
      <c r="E187" s="2" t="s">
        <v>156</v>
      </c>
      <c r="F187" s="2"/>
      <c r="G187" s="6"/>
      <c r="H187" s="5">
        <v>154911.49</v>
      </c>
      <c r="I187" s="6"/>
      <c r="J187" s="5">
        <v>175891.78</v>
      </c>
      <c r="K187" s="6"/>
      <c r="L187" s="5">
        <v>130018.34</v>
      </c>
      <c r="M187" s="6"/>
      <c r="N187" s="5">
        <v>179136.65</v>
      </c>
      <c r="O187" s="6"/>
      <c r="P187" s="5">
        <f t="shared" si="37"/>
        <v>-49118.31</v>
      </c>
      <c r="Q187" s="6"/>
      <c r="R187" s="7">
        <f t="shared" si="38"/>
        <v>0.72580999999999996</v>
      </c>
      <c r="S187" s="5"/>
      <c r="T187" s="7"/>
      <c r="U187" s="7"/>
      <c r="V187" s="7"/>
      <c r="W187" s="7"/>
      <c r="X187" s="23">
        <f>SUM(X156:X185)*0.0765</f>
        <v>179598.73068900002</v>
      </c>
      <c r="Y187" s="6"/>
      <c r="Z187" s="5">
        <f t="shared" si="35"/>
        <v>462.08068900002399</v>
      </c>
      <c r="AA187" s="6"/>
      <c r="AB187" s="7">
        <f t="shared" si="36"/>
        <v>2.5794871624540486E-3</v>
      </c>
    </row>
    <row r="188" spans="1:28" x14ac:dyDescent="0.3">
      <c r="A188" s="2"/>
      <c r="B188" s="2"/>
      <c r="C188" s="2"/>
      <c r="D188" s="2"/>
      <c r="E188" s="2" t="s">
        <v>157</v>
      </c>
      <c r="F188" s="2"/>
      <c r="G188" s="6"/>
      <c r="H188" s="5">
        <v>474429.38</v>
      </c>
      <c r="I188" s="6"/>
      <c r="J188" s="5">
        <v>505676.33</v>
      </c>
      <c r="K188" s="6"/>
      <c r="L188" s="5">
        <v>466595.37</v>
      </c>
      <c r="M188" s="6"/>
      <c r="N188" s="5">
        <v>575000</v>
      </c>
      <c r="O188" s="6"/>
      <c r="P188" s="5">
        <f t="shared" si="37"/>
        <v>-108404.63</v>
      </c>
      <c r="Q188" s="6"/>
      <c r="R188" s="7">
        <f t="shared" si="38"/>
        <v>0.81147000000000002</v>
      </c>
      <c r="S188" s="5"/>
      <c r="T188" s="7"/>
      <c r="U188" s="7"/>
      <c r="V188" s="7"/>
      <c r="W188" s="7"/>
      <c r="X188" s="23">
        <v>500000</v>
      </c>
      <c r="Y188" s="6"/>
      <c r="Z188" s="5">
        <f t="shared" si="35"/>
        <v>-75000</v>
      </c>
      <c r="AA188" s="6"/>
      <c r="AB188" s="7">
        <f t="shared" si="36"/>
        <v>-0.13043478260869565</v>
      </c>
    </row>
    <row r="189" spans="1:28" x14ac:dyDescent="0.3">
      <c r="A189" s="2"/>
      <c r="B189" s="2"/>
      <c r="C189" s="2"/>
      <c r="D189" s="2"/>
      <c r="E189" s="2" t="s">
        <v>158</v>
      </c>
      <c r="F189" s="2"/>
      <c r="G189" s="6"/>
      <c r="H189" s="5">
        <v>270758.74</v>
      </c>
      <c r="I189" s="6"/>
      <c r="J189" s="5">
        <v>196000.12</v>
      </c>
      <c r="K189" s="6"/>
      <c r="L189" s="5">
        <v>304787</v>
      </c>
      <c r="M189" s="6"/>
      <c r="N189" s="5">
        <v>304787</v>
      </c>
      <c r="O189" s="6"/>
      <c r="P189" s="5">
        <f t="shared" si="37"/>
        <v>0</v>
      </c>
      <c r="Q189" s="6"/>
      <c r="R189" s="7">
        <f t="shared" si="38"/>
        <v>1</v>
      </c>
      <c r="S189" s="5"/>
      <c r="T189" s="7"/>
      <c r="U189" s="7"/>
      <c r="V189" s="7"/>
      <c r="W189" s="7"/>
      <c r="X189" s="23">
        <v>314635</v>
      </c>
      <c r="Y189" s="6"/>
      <c r="Z189" s="5">
        <f t="shared" si="35"/>
        <v>9848</v>
      </c>
      <c r="AA189" s="6"/>
      <c r="AB189" s="7">
        <f t="shared" si="36"/>
        <v>3.231108938373356E-2</v>
      </c>
    </row>
    <row r="190" spans="1:28" x14ac:dyDescent="0.3">
      <c r="A190" s="2"/>
      <c r="B190" s="2"/>
      <c r="C190" s="2"/>
      <c r="D190" s="2"/>
      <c r="E190" s="2" t="s">
        <v>159</v>
      </c>
      <c r="F190" s="2"/>
      <c r="G190" s="6"/>
      <c r="H190" s="5">
        <v>22418.880000000001</v>
      </c>
      <c r="I190" s="6"/>
      <c r="J190" s="5">
        <v>24415</v>
      </c>
      <c r="K190" s="6"/>
      <c r="L190" s="5">
        <v>19531.060000000001</v>
      </c>
      <c r="M190" s="6"/>
      <c r="N190" s="5">
        <v>25056</v>
      </c>
      <c r="O190" s="6"/>
      <c r="P190" s="5">
        <f t="shared" si="37"/>
        <v>-5524.94</v>
      </c>
      <c r="Q190" s="6"/>
      <c r="R190" s="7">
        <f t="shared" si="38"/>
        <v>0.77949999999999997</v>
      </c>
      <c r="S190" s="5"/>
      <c r="T190" s="7"/>
      <c r="U190" s="7"/>
      <c r="V190" s="7"/>
      <c r="W190" s="7"/>
      <c r="X190" s="23">
        <v>25056</v>
      </c>
      <c r="Y190" s="6"/>
      <c r="Z190" s="5">
        <f t="shared" si="35"/>
        <v>0</v>
      </c>
      <c r="AA190" s="6"/>
      <c r="AB190" s="7">
        <f t="shared" si="36"/>
        <v>0</v>
      </c>
    </row>
    <row r="191" spans="1:28" x14ac:dyDescent="0.3">
      <c r="A191" s="2"/>
      <c r="B191" s="2"/>
      <c r="C191" s="2"/>
      <c r="D191" s="2"/>
      <c r="E191" s="2" t="s">
        <v>160</v>
      </c>
      <c r="F191" s="2"/>
      <c r="G191" s="6"/>
      <c r="H191" s="5">
        <v>4911.3</v>
      </c>
      <c r="I191" s="6"/>
      <c r="J191" s="5">
        <v>5283.1</v>
      </c>
      <c r="K191" s="6"/>
      <c r="L191" s="5">
        <v>5926.54</v>
      </c>
      <c r="M191" s="6"/>
      <c r="N191" s="5">
        <v>10272.89</v>
      </c>
      <c r="O191" s="6"/>
      <c r="P191" s="5">
        <f t="shared" si="37"/>
        <v>-4346.3500000000004</v>
      </c>
      <c r="Q191" s="6"/>
      <c r="R191" s="7">
        <f t="shared" si="38"/>
        <v>0.57691000000000003</v>
      </c>
      <c r="S191" s="5"/>
      <c r="T191" s="7"/>
      <c r="U191" s="7"/>
      <c r="V191" s="7"/>
      <c r="W191" s="7"/>
      <c r="X191" s="23">
        <f>(X178+X185)*0.09</f>
        <v>11168.567999999999</v>
      </c>
      <c r="Y191" s="6"/>
      <c r="Z191" s="5">
        <f t="shared" si="35"/>
        <v>895.67799999999988</v>
      </c>
      <c r="AA191" s="6"/>
      <c r="AB191" s="7">
        <f t="shared" si="36"/>
        <v>8.7188512677542532E-2</v>
      </c>
    </row>
    <row r="192" spans="1:28" x14ac:dyDescent="0.3">
      <c r="A192" s="2"/>
      <c r="B192" s="2"/>
      <c r="C192" s="2"/>
      <c r="D192" s="2"/>
      <c r="E192" s="2" t="s">
        <v>161</v>
      </c>
      <c r="F192" s="2"/>
      <c r="G192" s="6"/>
      <c r="H192" s="5">
        <v>7044.6</v>
      </c>
      <c r="I192" s="6"/>
      <c r="J192" s="5">
        <v>8239.25</v>
      </c>
      <c r="K192" s="6"/>
      <c r="L192" s="5">
        <v>7025.5</v>
      </c>
      <c r="M192" s="6"/>
      <c r="N192" s="5">
        <v>8400</v>
      </c>
      <c r="O192" s="6"/>
      <c r="P192" s="5">
        <f t="shared" si="37"/>
        <v>-1374.5</v>
      </c>
      <c r="Q192" s="6"/>
      <c r="R192" s="7">
        <f t="shared" si="38"/>
        <v>0.83636999999999995</v>
      </c>
      <c r="S192" s="5"/>
      <c r="T192" s="7"/>
      <c r="U192" s="7"/>
      <c r="V192" s="7"/>
      <c r="W192" s="7"/>
      <c r="X192" s="23">
        <v>8400</v>
      </c>
      <c r="Y192" s="6"/>
      <c r="Z192" s="5">
        <f t="shared" si="35"/>
        <v>0</v>
      </c>
      <c r="AA192" s="6"/>
      <c r="AB192" s="7">
        <f t="shared" si="36"/>
        <v>0</v>
      </c>
    </row>
    <row r="193" spans="1:29" x14ac:dyDescent="0.3">
      <c r="A193" s="2"/>
      <c r="B193" s="2"/>
      <c r="C193" s="2"/>
      <c r="D193" s="2"/>
      <c r="E193" s="2" t="s">
        <v>162</v>
      </c>
      <c r="F193" s="2"/>
      <c r="G193" s="6"/>
      <c r="H193" s="5">
        <v>282.86</v>
      </c>
      <c r="I193" s="6"/>
      <c r="J193" s="5">
        <v>683.9</v>
      </c>
      <c r="K193" s="6"/>
      <c r="L193" s="5">
        <v>1587.69</v>
      </c>
      <c r="M193" s="6"/>
      <c r="N193" s="5">
        <v>2000</v>
      </c>
      <c r="O193" s="6"/>
      <c r="P193" s="5">
        <f t="shared" si="37"/>
        <v>-412.31</v>
      </c>
      <c r="Q193" s="6"/>
      <c r="R193" s="7">
        <f t="shared" si="38"/>
        <v>0.79384999999999994</v>
      </c>
      <c r="S193" s="5"/>
      <c r="T193" s="7"/>
      <c r="U193" s="7"/>
      <c r="V193" s="7"/>
      <c r="W193" s="7"/>
      <c r="X193" s="23">
        <v>3000</v>
      </c>
      <c r="Y193" s="6"/>
      <c r="Z193" s="5">
        <f t="shared" si="35"/>
        <v>1000</v>
      </c>
      <c r="AA193" s="6"/>
      <c r="AB193" s="7">
        <f t="shared" si="36"/>
        <v>0.5</v>
      </c>
    </row>
    <row r="194" spans="1:29" x14ac:dyDescent="0.3">
      <c r="A194" s="2"/>
      <c r="B194" s="2"/>
      <c r="C194" s="2"/>
      <c r="D194" s="2"/>
      <c r="E194" s="2" t="s">
        <v>163</v>
      </c>
      <c r="F194" s="2"/>
      <c r="G194" s="6"/>
      <c r="H194" s="5">
        <v>6050.56</v>
      </c>
      <c r="I194" s="6"/>
      <c r="J194" s="5">
        <v>6484.06</v>
      </c>
      <c r="K194" s="6"/>
      <c r="L194" s="5">
        <v>4426.45</v>
      </c>
      <c r="M194" s="6"/>
      <c r="N194" s="5">
        <v>7500</v>
      </c>
      <c r="O194" s="6"/>
      <c r="P194" s="5">
        <f t="shared" si="37"/>
        <v>-3073.55</v>
      </c>
      <c r="Q194" s="6"/>
      <c r="R194" s="7">
        <f t="shared" si="38"/>
        <v>0.59018999999999999</v>
      </c>
      <c r="S194" s="5"/>
      <c r="T194" s="7"/>
      <c r="U194" s="7"/>
      <c r="V194" s="7"/>
      <c r="W194" s="7"/>
      <c r="X194" s="23">
        <v>7500</v>
      </c>
      <c r="Y194" s="6"/>
      <c r="Z194" s="5">
        <f t="shared" si="35"/>
        <v>0</v>
      </c>
      <c r="AA194" s="6"/>
      <c r="AB194" s="7">
        <f t="shared" si="36"/>
        <v>0</v>
      </c>
    </row>
    <row r="195" spans="1:29" x14ac:dyDescent="0.3">
      <c r="A195" s="2"/>
      <c r="B195" s="2"/>
      <c r="C195" s="2"/>
      <c r="D195" s="2"/>
      <c r="E195" s="2" t="s">
        <v>164</v>
      </c>
      <c r="F195" s="2"/>
      <c r="G195" s="6"/>
      <c r="H195" s="5">
        <v>1351.53</v>
      </c>
      <c r="I195" s="6"/>
      <c r="J195" s="5">
        <v>622.66999999999996</v>
      </c>
      <c r="K195" s="6"/>
      <c r="L195" s="5">
        <v>437.34</v>
      </c>
      <c r="M195" s="6"/>
      <c r="N195" s="5">
        <v>1200</v>
      </c>
      <c r="O195" s="6"/>
      <c r="P195" s="5">
        <f t="shared" si="37"/>
        <v>-762.66</v>
      </c>
      <c r="Q195" s="6"/>
      <c r="R195" s="7">
        <f t="shared" si="38"/>
        <v>0.36445</v>
      </c>
      <c r="S195" s="5"/>
      <c r="T195" s="7"/>
      <c r="U195" s="7"/>
      <c r="V195" s="7"/>
      <c r="W195" s="7"/>
      <c r="X195" s="23">
        <v>1000</v>
      </c>
      <c r="Y195" s="6"/>
      <c r="Z195" s="5">
        <f t="shared" si="35"/>
        <v>-200</v>
      </c>
      <c r="AA195" s="6"/>
      <c r="AB195" s="7">
        <f t="shared" si="36"/>
        <v>-0.16666666666666666</v>
      </c>
    </row>
    <row r="196" spans="1:29" x14ac:dyDescent="0.3">
      <c r="A196" s="2"/>
      <c r="B196" s="2"/>
      <c r="C196" s="2"/>
      <c r="D196" s="2"/>
      <c r="E196" s="2" t="s">
        <v>316</v>
      </c>
      <c r="F196" s="2"/>
      <c r="G196" s="6"/>
      <c r="H196" s="5">
        <v>7571.72</v>
      </c>
      <c r="I196" s="6"/>
      <c r="J196" s="5">
        <v>11035.45</v>
      </c>
      <c r="K196" s="6"/>
      <c r="L196" s="5">
        <v>8450.24</v>
      </c>
      <c r="M196" s="6"/>
      <c r="N196" s="5">
        <v>13960</v>
      </c>
      <c r="O196" s="6"/>
      <c r="P196" s="5">
        <f t="shared" si="37"/>
        <v>-5509.76</v>
      </c>
      <c r="Q196" s="6"/>
      <c r="R196" s="7">
        <f t="shared" si="38"/>
        <v>0.60531999999999997</v>
      </c>
      <c r="S196" s="5"/>
      <c r="T196" s="7"/>
      <c r="U196" s="7"/>
      <c r="V196" s="7"/>
      <c r="W196" s="7"/>
      <c r="X196" s="23">
        <v>22000</v>
      </c>
      <c r="Y196" s="6"/>
      <c r="Z196" s="5">
        <f t="shared" si="35"/>
        <v>8040</v>
      </c>
      <c r="AA196" s="6"/>
      <c r="AB196" s="7">
        <f t="shared" si="36"/>
        <v>0.5759312320916905</v>
      </c>
    </row>
    <row r="197" spans="1:29" x14ac:dyDescent="0.3">
      <c r="A197" s="2"/>
      <c r="B197" s="2"/>
      <c r="C197" s="2"/>
      <c r="D197" s="2"/>
      <c r="E197" s="2" t="s">
        <v>165</v>
      </c>
      <c r="F197" s="2"/>
      <c r="G197" s="6"/>
      <c r="H197" s="5">
        <v>76397.279999999999</v>
      </c>
      <c r="I197" s="6"/>
      <c r="J197" s="5">
        <v>64513.09</v>
      </c>
      <c r="K197" s="6"/>
      <c r="L197" s="5">
        <v>57372.58</v>
      </c>
      <c r="M197" s="6"/>
      <c r="N197" s="5">
        <v>65000</v>
      </c>
      <c r="O197" s="6"/>
      <c r="P197" s="5">
        <f t="shared" si="37"/>
        <v>-7627.42</v>
      </c>
      <c r="Q197" s="6"/>
      <c r="R197" s="7">
        <f t="shared" si="38"/>
        <v>0.88266</v>
      </c>
      <c r="S197" s="5"/>
      <c r="T197" s="7"/>
      <c r="U197" s="7"/>
      <c r="V197" s="7"/>
      <c r="W197" s="7"/>
      <c r="X197" s="23">
        <v>80000</v>
      </c>
      <c r="Y197" s="6"/>
      <c r="Z197" s="5">
        <f t="shared" si="35"/>
        <v>15000</v>
      </c>
      <c r="AA197" s="6"/>
      <c r="AB197" s="7">
        <f t="shared" si="36"/>
        <v>0.23076923076923078</v>
      </c>
    </row>
    <row r="198" spans="1:29" x14ac:dyDescent="0.3">
      <c r="A198" s="2"/>
      <c r="B198" s="2"/>
      <c r="C198" s="2"/>
      <c r="D198" s="2"/>
      <c r="E198" s="2" t="s">
        <v>166</v>
      </c>
      <c r="F198" s="2"/>
      <c r="G198" s="6"/>
      <c r="H198" s="5">
        <v>1126</v>
      </c>
      <c r="I198" s="6"/>
      <c r="J198" s="5">
        <v>597.99</v>
      </c>
      <c r="K198" s="6"/>
      <c r="L198" s="5">
        <v>3926.03</v>
      </c>
      <c r="M198" s="6"/>
      <c r="N198" s="5">
        <v>4500</v>
      </c>
      <c r="O198" s="6"/>
      <c r="P198" s="5">
        <f t="shared" si="37"/>
        <v>-573.97</v>
      </c>
      <c r="Q198" s="6"/>
      <c r="R198" s="7">
        <f t="shared" si="38"/>
        <v>0.87244999999999995</v>
      </c>
      <c r="S198" s="5"/>
      <c r="T198" s="7"/>
      <c r="U198" s="7"/>
      <c r="V198" s="7"/>
      <c r="W198" s="7"/>
      <c r="X198" s="23">
        <v>7000</v>
      </c>
      <c r="Y198" s="6"/>
      <c r="Z198" s="5">
        <f t="shared" si="35"/>
        <v>2500</v>
      </c>
      <c r="AA198" s="6"/>
      <c r="AB198" s="7">
        <f t="shared" si="36"/>
        <v>0.55555555555555558</v>
      </c>
    </row>
    <row r="199" spans="1:29" x14ac:dyDescent="0.3">
      <c r="A199" s="2"/>
      <c r="B199" s="2"/>
      <c r="C199" s="2"/>
      <c r="D199" s="2"/>
      <c r="E199" s="2" t="s">
        <v>167</v>
      </c>
      <c r="F199" s="2"/>
      <c r="G199" s="6"/>
      <c r="H199" s="5">
        <v>9503.24</v>
      </c>
      <c r="I199" s="6"/>
      <c r="J199" s="5">
        <v>15119.95</v>
      </c>
      <c r="K199" s="6"/>
      <c r="L199" s="5">
        <v>14567.05</v>
      </c>
      <c r="M199" s="6"/>
      <c r="N199" s="5">
        <v>15000</v>
      </c>
      <c r="O199" s="6"/>
      <c r="P199" s="5">
        <f t="shared" si="37"/>
        <v>-432.95</v>
      </c>
      <c r="Q199" s="6"/>
      <c r="R199" s="7">
        <f t="shared" si="38"/>
        <v>0.97114</v>
      </c>
      <c r="S199" s="5"/>
      <c r="T199" s="7"/>
      <c r="U199" s="7"/>
      <c r="V199" s="7"/>
      <c r="W199" s="7"/>
      <c r="X199" s="23">
        <v>8000</v>
      </c>
      <c r="Y199" s="6"/>
      <c r="Z199" s="5">
        <f t="shared" si="35"/>
        <v>-7000</v>
      </c>
      <c r="AA199" s="6"/>
      <c r="AB199" s="7">
        <f t="shared" si="36"/>
        <v>-0.46666666666666667</v>
      </c>
    </row>
    <row r="200" spans="1:29" x14ac:dyDescent="0.3">
      <c r="A200" s="2"/>
      <c r="B200" s="2"/>
      <c r="C200" s="2"/>
      <c r="D200" s="2"/>
      <c r="E200" s="2" t="s">
        <v>168</v>
      </c>
      <c r="F200" s="2"/>
      <c r="G200" s="6"/>
      <c r="H200" s="5">
        <v>20819</v>
      </c>
      <c r="I200" s="6"/>
      <c r="J200" s="5">
        <v>29932</v>
      </c>
      <c r="K200" s="6"/>
      <c r="L200" s="5">
        <v>30033.88</v>
      </c>
      <c r="M200" s="6"/>
      <c r="N200" s="5">
        <v>35000</v>
      </c>
      <c r="O200" s="6"/>
      <c r="P200" s="5">
        <f t="shared" si="37"/>
        <v>-4966.12</v>
      </c>
      <c r="Q200" s="6"/>
      <c r="R200" s="7">
        <f t="shared" si="38"/>
        <v>0.85811000000000004</v>
      </c>
      <c r="S200" s="5"/>
      <c r="T200" s="7"/>
      <c r="U200" s="7"/>
      <c r="V200" s="7"/>
      <c r="W200" s="7"/>
      <c r="X200" s="23">
        <v>35000</v>
      </c>
      <c r="Y200" s="6"/>
      <c r="Z200" s="5">
        <f t="shared" si="35"/>
        <v>0</v>
      </c>
      <c r="AA200" s="6"/>
      <c r="AB200" s="7">
        <f t="shared" si="36"/>
        <v>0</v>
      </c>
    </row>
    <row r="201" spans="1:29" x14ac:dyDescent="0.3">
      <c r="A201" s="2"/>
      <c r="B201" s="2"/>
      <c r="C201" s="2"/>
      <c r="D201" s="2"/>
      <c r="E201" s="2" t="s">
        <v>169</v>
      </c>
      <c r="F201" s="2"/>
      <c r="G201" s="6"/>
      <c r="H201" s="5">
        <v>9733.98</v>
      </c>
      <c r="I201" s="6"/>
      <c r="J201" s="5">
        <v>21462.95</v>
      </c>
      <c r="K201" s="6"/>
      <c r="L201" s="5">
        <v>16088.75</v>
      </c>
      <c r="M201" s="6"/>
      <c r="N201" s="5">
        <v>20500</v>
      </c>
      <c r="O201" s="6"/>
      <c r="P201" s="5">
        <f t="shared" si="37"/>
        <v>-4411.25</v>
      </c>
      <c r="Q201" s="6"/>
      <c r="R201" s="7">
        <f t="shared" si="38"/>
        <v>0.78481999999999996</v>
      </c>
      <c r="S201" s="5"/>
      <c r="T201" s="7"/>
      <c r="U201" s="7"/>
      <c r="V201" s="7"/>
      <c r="W201" s="7"/>
      <c r="X201" s="23">
        <v>20500</v>
      </c>
      <c r="Y201" s="6"/>
      <c r="Z201" s="5">
        <f t="shared" si="35"/>
        <v>0</v>
      </c>
      <c r="AA201" s="6"/>
      <c r="AB201" s="7">
        <f t="shared" si="36"/>
        <v>0</v>
      </c>
    </row>
    <row r="202" spans="1:29" x14ac:dyDescent="0.3">
      <c r="A202" s="2"/>
      <c r="B202" s="2"/>
      <c r="C202" s="2"/>
      <c r="D202" s="2"/>
      <c r="E202" s="2" t="s">
        <v>170</v>
      </c>
      <c r="F202" s="2"/>
      <c r="G202" s="6"/>
      <c r="H202" s="5">
        <v>868.28</v>
      </c>
      <c r="I202" s="6"/>
      <c r="J202" s="5">
        <v>961.15</v>
      </c>
      <c r="K202" s="6"/>
      <c r="L202" s="5">
        <v>1725</v>
      </c>
      <c r="M202" s="6"/>
      <c r="N202" s="5">
        <v>3000</v>
      </c>
      <c r="O202" s="6"/>
      <c r="P202" s="5">
        <f t="shared" si="37"/>
        <v>-1275</v>
      </c>
      <c r="Q202" s="6"/>
      <c r="R202" s="7">
        <f t="shared" si="38"/>
        <v>0.57499999999999996</v>
      </c>
      <c r="S202" s="5"/>
      <c r="T202" s="7"/>
      <c r="U202" s="7"/>
      <c r="V202" s="7"/>
      <c r="W202" s="7"/>
      <c r="X202" s="23">
        <v>3000</v>
      </c>
      <c r="Y202" s="6"/>
      <c r="Z202" s="5">
        <f t="shared" si="35"/>
        <v>0</v>
      </c>
      <c r="AA202" s="6"/>
      <c r="AB202" s="7">
        <f t="shared" si="36"/>
        <v>0</v>
      </c>
    </row>
    <row r="203" spans="1:29" x14ac:dyDescent="0.3">
      <c r="A203" s="2"/>
      <c r="B203" s="2"/>
      <c r="C203" s="2"/>
      <c r="D203" s="2"/>
      <c r="E203" s="2" t="s">
        <v>171</v>
      </c>
      <c r="F203" s="2"/>
      <c r="G203" s="6"/>
      <c r="H203" s="5">
        <v>19370.68</v>
      </c>
      <c r="I203" s="6"/>
      <c r="J203" s="5">
        <v>332.93</v>
      </c>
      <c r="K203" s="6"/>
      <c r="L203" s="5">
        <v>7957.89</v>
      </c>
      <c r="M203" s="6"/>
      <c r="N203" s="5">
        <v>30000</v>
      </c>
      <c r="O203" s="6"/>
      <c r="P203" s="5">
        <f t="shared" si="37"/>
        <v>-22042.11</v>
      </c>
      <c r="Q203" s="6"/>
      <c r="R203" s="7">
        <f t="shared" si="38"/>
        <v>0.26526</v>
      </c>
      <c r="S203" s="5"/>
      <c r="T203" s="7"/>
      <c r="U203" s="7"/>
      <c r="V203" s="7"/>
      <c r="W203" s="7"/>
      <c r="X203" s="23">
        <v>0</v>
      </c>
      <c r="Y203" s="6"/>
      <c r="Z203" s="5">
        <f t="shared" si="35"/>
        <v>-30000</v>
      </c>
      <c r="AA203" s="6"/>
      <c r="AB203" s="7">
        <f t="shared" si="36"/>
        <v>-1</v>
      </c>
      <c r="AC203" s="7" t="s">
        <v>319</v>
      </c>
    </row>
    <row r="204" spans="1:29" x14ac:dyDescent="0.3">
      <c r="A204" s="2"/>
      <c r="B204" s="2"/>
      <c r="C204" s="2"/>
      <c r="D204" s="2"/>
      <c r="E204" s="2" t="s">
        <v>172</v>
      </c>
      <c r="F204" s="2"/>
      <c r="G204" s="6"/>
      <c r="H204" s="5">
        <v>17470.7</v>
      </c>
      <c r="I204" s="6"/>
      <c r="J204" s="5">
        <v>17030.21</v>
      </c>
      <c r="K204" s="6"/>
      <c r="L204" s="5">
        <v>14371.77</v>
      </c>
      <c r="M204" s="6"/>
      <c r="N204" s="5">
        <v>18000</v>
      </c>
      <c r="O204" s="6"/>
      <c r="P204" s="5">
        <f t="shared" si="37"/>
        <v>-3628.23</v>
      </c>
      <c r="Q204" s="6"/>
      <c r="R204" s="7">
        <f t="shared" si="38"/>
        <v>0.79842999999999997</v>
      </c>
      <c r="S204" s="5"/>
      <c r="T204" s="7"/>
      <c r="U204" s="7"/>
      <c r="V204" s="7"/>
      <c r="W204" s="7"/>
      <c r="X204" s="23">
        <v>24000</v>
      </c>
      <c r="Y204" s="6"/>
      <c r="Z204" s="5">
        <f t="shared" si="35"/>
        <v>6000</v>
      </c>
      <c r="AA204" s="6"/>
      <c r="AB204" s="7">
        <f t="shared" si="36"/>
        <v>0.33333333333333331</v>
      </c>
    </row>
    <row r="205" spans="1:29" x14ac:dyDescent="0.3">
      <c r="A205" s="2"/>
      <c r="B205" s="2"/>
      <c r="C205" s="2"/>
      <c r="D205" s="2"/>
      <c r="E205" s="2" t="s">
        <v>173</v>
      </c>
      <c r="F205" s="2"/>
      <c r="G205" s="6"/>
      <c r="H205" s="5">
        <v>1638.82</v>
      </c>
      <c r="I205" s="6"/>
      <c r="J205" s="5">
        <v>1584.98</v>
      </c>
      <c r="K205" s="6"/>
      <c r="L205" s="5">
        <v>5437.86</v>
      </c>
      <c r="M205" s="6"/>
      <c r="N205" s="5">
        <v>12500</v>
      </c>
      <c r="O205" s="6"/>
      <c r="P205" s="5">
        <f t="shared" si="37"/>
        <v>-7062.14</v>
      </c>
      <c r="Q205" s="6"/>
      <c r="R205" s="7">
        <f t="shared" si="38"/>
        <v>0.43502999999999997</v>
      </c>
      <c r="S205" s="5"/>
      <c r="T205" s="7"/>
      <c r="U205" s="7"/>
      <c r="V205" s="7"/>
      <c r="W205" s="7"/>
      <c r="X205" s="23">
        <v>12500</v>
      </c>
      <c r="Y205" s="6"/>
      <c r="Z205" s="5">
        <f t="shared" si="35"/>
        <v>0</v>
      </c>
      <c r="AA205" s="6"/>
      <c r="AB205" s="7">
        <f t="shared" si="36"/>
        <v>0</v>
      </c>
    </row>
    <row r="206" spans="1:29" x14ac:dyDescent="0.3">
      <c r="A206" s="2"/>
      <c r="B206" s="2"/>
      <c r="C206" s="2"/>
      <c r="D206" s="2"/>
      <c r="E206" s="2" t="s">
        <v>174</v>
      </c>
      <c r="F206" s="2"/>
      <c r="G206" s="6"/>
      <c r="H206" s="5">
        <v>2114.98</v>
      </c>
      <c r="I206" s="6"/>
      <c r="J206" s="5">
        <v>2222.9</v>
      </c>
      <c r="K206" s="6"/>
      <c r="L206" s="5">
        <v>2148.9</v>
      </c>
      <c r="M206" s="6"/>
      <c r="N206" s="5">
        <v>2500</v>
      </c>
      <c r="O206" s="6"/>
      <c r="P206" s="5">
        <f t="shared" si="37"/>
        <v>-351.1</v>
      </c>
      <c r="Q206" s="6"/>
      <c r="R206" s="7">
        <f t="shared" si="38"/>
        <v>0.85955999999999999</v>
      </c>
      <c r="S206" s="5"/>
      <c r="T206" s="7"/>
      <c r="U206" s="7"/>
      <c r="V206" s="7"/>
      <c r="W206" s="7"/>
      <c r="X206" s="23">
        <v>2000</v>
      </c>
      <c r="Y206" s="6"/>
      <c r="Z206" s="5">
        <f t="shared" si="35"/>
        <v>-500</v>
      </c>
      <c r="AA206" s="6"/>
      <c r="AB206" s="7">
        <f t="shared" si="36"/>
        <v>-0.2</v>
      </c>
    </row>
    <row r="207" spans="1:29" x14ac:dyDescent="0.3">
      <c r="A207" s="2"/>
      <c r="B207" s="2"/>
      <c r="C207" s="2"/>
      <c r="D207" s="2"/>
      <c r="E207" s="2" t="s">
        <v>175</v>
      </c>
      <c r="F207" s="2"/>
      <c r="G207" s="6"/>
      <c r="H207" s="5">
        <v>10496.09</v>
      </c>
      <c r="I207" s="6"/>
      <c r="J207" s="5">
        <v>11107.3</v>
      </c>
      <c r="K207" s="6"/>
      <c r="L207" s="5">
        <v>9104.16</v>
      </c>
      <c r="M207" s="6"/>
      <c r="N207" s="5">
        <v>9150</v>
      </c>
      <c r="O207" s="6"/>
      <c r="P207" s="5">
        <f t="shared" si="37"/>
        <v>-45.84</v>
      </c>
      <c r="Q207" s="6"/>
      <c r="R207" s="7">
        <f t="shared" si="38"/>
        <v>0.99499000000000004</v>
      </c>
      <c r="S207" s="5"/>
      <c r="T207" s="7"/>
      <c r="U207" s="7"/>
      <c r="V207" s="7"/>
      <c r="W207" s="7"/>
      <c r="X207" s="23">
        <v>11150</v>
      </c>
      <c r="Y207" s="6"/>
      <c r="Z207" s="5">
        <f t="shared" si="35"/>
        <v>2000</v>
      </c>
      <c r="AA207" s="6"/>
      <c r="AB207" s="7">
        <f t="shared" si="36"/>
        <v>0.21857923497267759</v>
      </c>
    </row>
    <row r="208" spans="1:29" x14ac:dyDescent="0.3">
      <c r="A208" s="2"/>
      <c r="B208" s="2"/>
      <c r="C208" s="2"/>
      <c r="D208" s="2"/>
      <c r="E208" s="2" t="s">
        <v>176</v>
      </c>
      <c r="F208" s="2"/>
      <c r="G208" s="6"/>
      <c r="H208" s="5">
        <v>4650.29</v>
      </c>
      <c r="I208" s="6"/>
      <c r="J208" s="5">
        <v>4853.87</v>
      </c>
      <c r="K208" s="6"/>
      <c r="L208" s="5">
        <v>1156.45</v>
      </c>
      <c r="M208" s="6"/>
      <c r="N208" s="5">
        <v>5500</v>
      </c>
      <c r="O208" s="6"/>
      <c r="P208" s="5">
        <f t="shared" si="37"/>
        <v>-4343.55</v>
      </c>
      <c r="Q208" s="6"/>
      <c r="R208" s="7">
        <f t="shared" si="38"/>
        <v>0.21026</v>
      </c>
      <c r="S208" s="5"/>
      <c r="T208" s="7"/>
      <c r="U208" s="7"/>
      <c r="V208" s="7"/>
      <c r="W208" s="7"/>
      <c r="X208" s="23">
        <v>5000</v>
      </c>
      <c r="Y208" s="6"/>
      <c r="Z208" s="5">
        <f t="shared" si="35"/>
        <v>-500</v>
      </c>
      <c r="AA208" s="6"/>
      <c r="AB208" s="7">
        <f t="shared" si="36"/>
        <v>-9.0909090909090912E-2</v>
      </c>
    </row>
    <row r="209" spans="1:29" x14ac:dyDescent="0.3">
      <c r="A209" s="2"/>
      <c r="B209" s="2"/>
      <c r="C209" s="2"/>
      <c r="D209" s="2"/>
      <c r="E209" s="2" t="s">
        <v>147</v>
      </c>
      <c r="F209" s="2"/>
      <c r="G209" s="6"/>
      <c r="H209" s="5">
        <v>0</v>
      </c>
      <c r="I209" s="6"/>
      <c r="J209" s="5">
        <v>0</v>
      </c>
      <c r="K209" s="6"/>
      <c r="L209" s="5">
        <v>552</v>
      </c>
      <c r="M209" s="6"/>
      <c r="N209" s="5">
        <v>850</v>
      </c>
      <c r="O209" s="6"/>
      <c r="P209" s="5">
        <f>ROUND((L209-N209),5)</f>
        <v>-298</v>
      </c>
      <c r="Q209" s="6"/>
      <c r="R209" s="7">
        <f>ROUND(IF(N209=0, IF(L209=0, 0, 1), L209/N209),5)</f>
        <v>0.64941000000000004</v>
      </c>
      <c r="S209" s="5"/>
      <c r="T209" s="7"/>
      <c r="U209" s="7"/>
      <c r="V209" s="7"/>
      <c r="W209" s="7"/>
      <c r="X209" s="23">
        <v>850</v>
      </c>
      <c r="Y209" s="6"/>
      <c r="Z209" s="5">
        <f t="shared" si="35"/>
        <v>0</v>
      </c>
      <c r="AA209" s="6"/>
      <c r="AB209" s="7">
        <f t="shared" si="36"/>
        <v>0</v>
      </c>
    </row>
    <row r="210" spans="1:29" x14ac:dyDescent="0.3">
      <c r="A210" s="2"/>
      <c r="B210" s="2"/>
      <c r="C210" s="2"/>
      <c r="D210" s="2"/>
      <c r="E210" s="2" t="s">
        <v>177</v>
      </c>
      <c r="F210" s="2"/>
      <c r="G210" s="6"/>
      <c r="H210" s="5">
        <v>1192.95</v>
      </c>
      <c r="I210" s="6"/>
      <c r="J210" s="5">
        <v>773</v>
      </c>
      <c r="K210" s="6"/>
      <c r="L210" s="5">
        <v>403</v>
      </c>
      <c r="M210" s="6"/>
      <c r="N210" s="5">
        <v>1800</v>
      </c>
      <c r="O210" s="6"/>
      <c r="P210" s="5">
        <f t="shared" si="37"/>
        <v>-1397</v>
      </c>
      <c r="Q210" s="6"/>
      <c r="R210" s="7">
        <f t="shared" si="38"/>
        <v>0.22389000000000001</v>
      </c>
      <c r="S210" s="5"/>
      <c r="T210" s="7"/>
      <c r="U210" s="7"/>
      <c r="V210" s="7"/>
      <c r="W210" s="7"/>
      <c r="X210" s="23">
        <v>1000</v>
      </c>
      <c r="Y210" s="6"/>
      <c r="Z210" s="5">
        <f t="shared" si="35"/>
        <v>-800</v>
      </c>
      <c r="AA210" s="6"/>
      <c r="AB210" s="7">
        <f t="shared" si="36"/>
        <v>-0.44444444444444442</v>
      </c>
    </row>
    <row r="211" spans="1:29" x14ac:dyDescent="0.3">
      <c r="A211" s="2"/>
      <c r="B211" s="2"/>
      <c r="C211" s="2"/>
      <c r="D211" s="2"/>
      <c r="E211" s="2" t="s">
        <v>178</v>
      </c>
      <c r="F211" s="2"/>
      <c r="G211" s="6"/>
      <c r="H211" s="5">
        <v>27366.81</v>
      </c>
      <c r="I211" s="6"/>
      <c r="J211" s="5">
        <v>62917.68</v>
      </c>
      <c r="K211" s="6"/>
      <c r="L211" s="5">
        <v>49431.43</v>
      </c>
      <c r="M211" s="6"/>
      <c r="N211" s="5">
        <v>63100</v>
      </c>
      <c r="O211" s="6"/>
      <c r="P211" s="5">
        <f t="shared" si="37"/>
        <v>-13668.57</v>
      </c>
      <c r="Q211" s="6"/>
      <c r="R211" s="7">
        <f t="shared" si="38"/>
        <v>0.78337999999999997</v>
      </c>
      <c r="S211" s="5"/>
      <c r="T211" s="7"/>
      <c r="U211" s="7"/>
      <c r="V211" s="7"/>
      <c r="W211" s="7"/>
      <c r="X211" s="23">
        <v>64100</v>
      </c>
      <c r="Y211" s="6"/>
      <c r="Z211" s="5">
        <f t="shared" si="35"/>
        <v>1000</v>
      </c>
      <c r="AA211" s="6"/>
      <c r="AB211" s="7">
        <f t="shared" si="36"/>
        <v>1.5847860538827259E-2</v>
      </c>
      <c r="AC211" s="7" t="s">
        <v>367</v>
      </c>
    </row>
    <row r="212" spans="1:29" x14ac:dyDescent="0.3">
      <c r="A212" s="2"/>
      <c r="B212" s="2"/>
      <c r="C212" s="2"/>
      <c r="D212" s="2"/>
      <c r="E212" s="2" t="s">
        <v>179</v>
      </c>
      <c r="F212" s="2"/>
      <c r="G212" s="6"/>
      <c r="H212" s="5">
        <v>76701.440000000002</v>
      </c>
      <c r="I212" s="6"/>
      <c r="J212" s="5">
        <v>93147.08</v>
      </c>
      <c r="K212" s="6"/>
      <c r="L212" s="5">
        <v>108982.12</v>
      </c>
      <c r="M212" s="6"/>
      <c r="N212" s="5">
        <v>108962.1</v>
      </c>
      <c r="O212" s="6"/>
      <c r="P212" s="5">
        <f t="shared" si="37"/>
        <v>20.02</v>
      </c>
      <c r="Q212" s="6"/>
      <c r="R212" s="7">
        <f t="shared" si="38"/>
        <v>1.0001800000000001</v>
      </c>
      <c r="S212" s="5"/>
      <c r="T212" s="7"/>
      <c r="U212" s="7"/>
      <c r="V212" s="7"/>
      <c r="W212" s="7"/>
      <c r="X212" s="23">
        <f>N212*1.1</f>
        <v>119858.31000000001</v>
      </c>
      <c r="Y212" s="6"/>
      <c r="Z212" s="5">
        <f t="shared" si="35"/>
        <v>10896.210000000006</v>
      </c>
      <c r="AA212" s="6"/>
      <c r="AB212" s="7">
        <f t="shared" si="36"/>
        <v>0.10000000000000005</v>
      </c>
    </row>
    <row r="213" spans="1:29" x14ac:dyDescent="0.3">
      <c r="A213" s="2"/>
      <c r="B213" s="2"/>
      <c r="C213" s="2"/>
      <c r="D213" s="2"/>
      <c r="E213" s="2" t="s">
        <v>180</v>
      </c>
      <c r="F213" s="2"/>
      <c r="G213" s="6"/>
      <c r="H213" s="5">
        <v>18158.73</v>
      </c>
      <c r="I213" s="6"/>
      <c r="J213" s="5">
        <v>38880.06</v>
      </c>
      <c r="K213" s="6"/>
      <c r="L213" s="5">
        <v>37300.39</v>
      </c>
      <c r="M213" s="6"/>
      <c r="N213" s="5">
        <v>48000</v>
      </c>
      <c r="O213" s="6"/>
      <c r="P213" s="5">
        <f t="shared" si="37"/>
        <v>-10699.61</v>
      </c>
      <c r="Q213" s="6"/>
      <c r="R213" s="7">
        <f t="shared" si="38"/>
        <v>0.77708999999999995</v>
      </c>
      <c r="S213" s="5"/>
      <c r="T213" s="7"/>
      <c r="U213" s="7"/>
      <c r="V213" s="7"/>
      <c r="W213" s="7"/>
      <c r="X213" s="23">
        <v>60000</v>
      </c>
      <c r="Y213" s="6"/>
      <c r="Z213" s="5">
        <f t="shared" si="35"/>
        <v>12000</v>
      </c>
      <c r="AA213" s="6"/>
      <c r="AB213" s="7">
        <f t="shared" si="36"/>
        <v>0.25</v>
      </c>
      <c r="AC213" s="7"/>
    </row>
    <row r="214" spans="1:29" ht="15" thickBot="1" x14ac:dyDescent="0.35">
      <c r="A214" s="2"/>
      <c r="B214" s="2"/>
      <c r="C214" s="2"/>
      <c r="D214" s="2"/>
      <c r="E214" s="2" t="s">
        <v>181</v>
      </c>
      <c r="F214" s="2"/>
      <c r="G214" s="6"/>
      <c r="H214" s="8">
        <v>7114.55</v>
      </c>
      <c r="I214" s="6"/>
      <c r="J214" s="8">
        <v>7370.07</v>
      </c>
      <c r="K214" s="6"/>
      <c r="L214" s="8">
        <v>17995.29</v>
      </c>
      <c r="M214" s="6"/>
      <c r="N214" s="8">
        <v>30000</v>
      </c>
      <c r="O214" s="6"/>
      <c r="P214" s="8">
        <f t="shared" si="37"/>
        <v>-12004.71</v>
      </c>
      <c r="Q214" s="6"/>
      <c r="R214" s="9">
        <f t="shared" si="38"/>
        <v>0.59984000000000004</v>
      </c>
      <c r="S214" s="8"/>
      <c r="T214" s="7"/>
      <c r="U214" s="7"/>
      <c r="V214" s="7"/>
      <c r="W214" s="7"/>
      <c r="X214" s="24">
        <v>36000</v>
      </c>
      <c r="Y214" s="6"/>
      <c r="Z214" s="8">
        <f t="shared" ref="Z214:Z234" si="39">X214-N214</f>
        <v>6000</v>
      </c>
      <c r="AA214" s="6"/>
      <c r="AB214" s="9">
        <f t="shared" ref="AB214:AB234" si="40">Z214/N214</f>
        <v>0.2</v>
      </c>
      <c r="AC214" s="7"/>
    </row>
    <row r="215" spans="1:29" x14ac:dyDescent="0.3">
      <c r="A215" s="2"/>
      <c r="B215" s="2"/>
      <c r="C215" s="2"/>
      <c r="D215" s="2" t="s">
        <v>317</v>
      </c>
      <c r="E215" s="2"/>
      <c r="F215" s="2"/>
      <c r="G215" s="6"/>
      <c r="H215" s="5">
        <f>SUM(H156:H214)</f>
        <v>3381078.2</v>
      </c>
      <c r="I215" s="6"/>
      <c r="J215" s="5">
        <f>SUM(J156:J214)</f>
        <v>3587765.8700000006</v>
      </c>
      <c r="K215" s="6"/>
      <c r="L215" s="5">
        <f>SUM(L156:L214)</f>
        <v>3136221.040000001</v>
      </c>
      <c r="M215" s="6"/>
      <c r="N215" s="5">
        <f>SUM(N156:N214)</f>
        <v>3943330.22</v>
      </c>
      <c r="O215" s="6"/>
      <c r="P215" s="5">
        <f>SUM(P156:P214)</f>
        <v>-807109.17999999982</v>
      </c>
      <c r="Q215" s="6"/>
      <c r="R215" s="7">
        <f>ROUND(IF(N215=0, IF(L215=0, 0, 1), L215/N215),5)</f>
        <v>0.79532000000000003</v>
      </c>
      <c r="S215" s="5">
        <f>P215*-1</f>
        <v>807109.17999999982</v>
      </c>
      <c r="T215" s="7"/>
      <c r="U215" s="7"/>
      <c r="V215" s="7"/>
      <c r="W215" s="7"/>
      <c r="X215" s="23">
        <f>SUM(X156:X214)</f>
        <v>3926812.4346890002</v>
      </c>
      <c r="Y215" s="6"/>
      <c r="Z215" s="5">
        <f>SUM(Z156:Z214)</f>
        <v>-16517.785310999585</v>
      </c>
      <c r="AA215" s="6"/>
      <c r="AB215" s="7">
        <f t="shared" si="36"/>
        <v>-4.1887907908964277E-3</v>
      </c>
      <c r="AC215" s="7" t="s">
        <v>322</v>
      </c>
    </row>
    <row r="216" spans="1:29" x14ac:dyDescent="0.3">
      <c r="A216" s="2"/>
      <c r="B216" s="2"/>
      <c r="C216" s="2"/>
      <c r="D216" s="2" t="s">
        <v>318</v>
      </c>
      <c r="E216" s="2"/>
      <c r="F216" s="2"/>
      <c r="G216" s="6"/>
      <c r="H216" s="5"/>
      <c r="I216" s="6"/>
      <c r="J216" s="5"/>
      <c r="K216" s="6"/>
      <c r="L216" s="5"/>
      <c r="M216" s="6"/>
      <c r="N216" s="5"/>
      <c r="O216" s="6"/>
      <c r="P216" s="5"/>
      <c r="Q216" s="6"/>
      <c r="R216" s="7"/>
      <c r="S216" s="5"/>
      <c r="T216" s="7"/>
      <c r="U216" s="7"/>
      <c r="V216" s="7"/>
      <c r="W216" s="7"/>
      <c r="X216" s="23"/>
      <c r="Y216" s="6"/>
      <c r="Z216" s="5"/>
      <c r="AA216" s="6"/>
      <c r="AB216" s="7"/>
      <c r="AC216" s="7"/>
    </row>
    <row r="217" spans="1:29" x14ac:dyDescent="0.3">
      <c r="A217" s="2"/>
      <c r="B217" s="2"/>
      <c r="C217" s="2"/>
      <c r="D217" s="2"/>
      <c r="E217" s="2" t="s">
        <v>182</v>
      </c>
      <c r="F217" s="2"/>
      <c r="G217" s="6"/>
      <c r="H217" s="5">
        <v>10092.48</v>
      </c>
      <c r="I217" s="6"/>
      <c r="J217" s="5">
        <v>10437.99</v>
      </c>
      <c r="K217" s="6"/>
      <c r="L217" s="5">
        <v>2691.79</v>
      </c>
      <c r="M217" s="6"/>
      <c r="N217" s="5">
        <v>12000</v>
      </c>
      <c r="O217" s="6"/>
      <c r="P217" s="5">
        <f t="shared" si="37"/>
        <v>-9308.2099999999991</v>
      </c>
      <c r="Q217" s="6"/>
      <c r="R217" s="7">
        <f t="shared" si="38"/>
        <v>0.22431999999999999</v>
      </c>
      <c r="S217" s="5"/>
      <c r="T217" s="7"/>
      <c r="U217" s="7"/>
      <c r="V217" s="7"/>
      <c r="W217" s="7"/>
      <c r="X217" s="23">
        <v>12000</v>
      </c>
      <c r="Y217" s="6"/>
      <c r="Z217" s="5">
        <f t="shared" si="39"/>
        <v>0</v>
      </c>
      <c r="AA217" s="6"/>
      <c r="AB217" s="7">
        <f t="shared" si="40"/>
        <v>0</v>
      </c>
      <c r="AC217" s="7"/>
    </row>
    <row r="218" spans="1:29" x14ac:dyDescent="0.3">
      <c r="A218" s="2"/>
      <c r="B218" s="2"/>
      <c r="C218" s="2"/>
      <c r="D218" s="2"/>
      <c r="E218" s="2" t="s">
        <v>183</v>
      </c>
      <c r="F218" s="2"/>
      <c r="G218" s="6"/>
      <c r="H218" s="5">
        <v>82584.820000000007</v>
      </c>
      <c r="I218" s="6"/>
      <c r="J218" s="5">
        <v>87846.92</v>
      </c>
      <c r="K218" s="6"/>
      <c r="L218" s="5">
        <v>84676.04</v>
      </c>
      <c r="M218" s="6"/>
      <c r="N218" s="5">
        <v>88000</v>
      </c>
      <c r="O218" s="6"/>
      <c r="P218" s="5">
        <f t="shared" si="37"/>
        <v>-3323.96</v>
      </c>
      <c r="Q218" s="6"/>
      <c r="R218" s="7">
        <f t="shared" si="38"/>
        <v>0.96223000000000003</v>
      </c>
      <c r="S218" s="5"/>
      <c r="T218" s="7"/>
      <c r="U218" s="7"/>
      <c r="V218" s="7"/>
      <c r="W218" s="7"/>
      <c r="X218" s="23">
        <v>88000</v>
      </c>
      <c r="Y218" s="6"/>
      <c r="Z218" s="5">
        <f t="shared" si="39"/>
        <v>0</v>
      </c>
      <c r="AA218" s="6"/>
      <c r="AB218" s="7">
        <f t="shared" si="40"/>
        <v>0</v>
      </c>
      <c r="AC218" s="7"/>
    </row>
    <row r="219" spans="1:29" x14ac:dyDescent="0.3">
      <c r="A219" s="2"/>
      <c r="B219" s="2"/>
      <c r="C219" s="2"/>
      <c r="D219" s="2"/>
      <c r="E219" s="2" t="s">
        <v>184</v>
      </c>
      <c r="F219" s="2"/>
      <c r="G219" s="6"/>
      <c r="H219" s="5">
        <v>423282.74</v>
      </c>
      <c r="I219" s="6"/>
      <c r="J219" s="5">
        <v>348673.06</v>
      </c>
      <c r="K219" s="6"/>
      <c r="L219" s="5">
        <v>937371.49</v>
      </c>
      <c r="M219" s="6"/>
      <c r="N219" s="5">
        <v>948973</v>
      </c>
      <c r="O219" s="6"/>
      <c r="P219" s="5">
        <f>ROUND((L219-N219),5)</f>
        <v>-11601.51</v>
      </c>
      <c r="Q219" s="6"/>
      <c r="R219" s="7">
        <f>ROUND(IF(N219=0, IF(L219=0, 0, 1), L219/N219),5)</f>
        <v>0.98777000000000004</v>
      </c>
      <c r="S219" s="5"/>
      <c r="T219" s="7"/>
      <c r="U219" s="7"/>
      <c r="V219" s="7"/>
      <c r="W219" s="7"/>
      <c r="X219" s="23">
        <f>X42*0.7</f>
        <v>280000</v>
      </c>
      <c r="Y219" s="6"/>
      <c r="Z219" s="5">
        <f t="shared" si="39"/>
        <v>-668973</v>
      </c>
      <c r="AA219" s="6"/>
      <c r="AB219" s="7">
        <f t="shared" si="40"/>
        <v>-0.70494418703166473</v>
      </c>
      <c r="AC219" s="7" t="s">
        <v>323</v>
      </c>
    </row>
    <row r="220" spans="1:29" x14ac:dyDescent="0.3">
      <c r="A220" s="2"/>
      <c r="B220" s="2"/>
      <c r="C220" s="2"/>
      <c r="D220" s="2"/>
      <c r="E220" s="2" t="s">
        <v>185</v>
      </c>
      <c r="F220" s="2"/>
      <c r="G220" s="6"/>
      <c r="H220" s="5">
        <v>23350</v>
      </c>
      <c r="I220" s="6"/>
      <c r="J220" s="5">
        <v>23525</v>
      </c>
      <c r="K220" s="6"/>
      <c r="L220" s="5">
        <v>17775</v>
      </c>
      <c r="M220" s="6"/>
      <c r="N220" s="5">
        <v>24000</v>
      </c>
      <c r="O220" s="6"/>
      <c r="P220" s="5">
        <f>ROUND((L220-N220),5)</f>
        <v>-6225</v>
      </c>
      <c r="Q220" s="6"/>
      <c r="R220" s="7">
        <f>ROUND(IF(N220=0, IF(L220=0, 0, 1), L220/N220),5)</f>
        <v>0.74063000000000001</v>
      </c>
      <c r="S220" s="5"/>
      <c r="T220" s="7"/>
      <c r="U220" s="7"/>
      <c r="V220" s="7"/>
      <c r="W220" s="7"/>
      <c r="X220" s="23">
        <v>24000</v>
      </c>
      <c r="Y220" s="6"/>
      <c r="Z220" s="5">
        <f t="shared" si="39"/>
        <v>0</v>
      </c>
      <c r="AA220" s="6"/>
      <c r="AB220" s="7">
        <f t="shared" si="40"/>
        <v>0</v>
      </c>
      <c r="AC220" s="7"/>
    </row>
    <row r="221" spans="1:29" x14ac:dyDescent="0.3">
      <c r="A221" s="2"/>
      <c r="B221" s="2"/>
      <c r="C221" s="2"/>
      <c r="D221" s="2"/>
      <c r="E221" s="2" t="s">
        <v>186</v>
      </c>
      <c r="F221" s="2"/>
      <c r="G221" s="6"/>
      <c r="H221" s="5">
        <v>1084.5</v>
      </c>
      <c r="I221" s="6"/>
      <c r="J221" s="5">
        <v>886.5</v>
      </c>
      <c r="K221" s="6"/>
      <c r="L221" s="5">
        <v>189</v>
      </c>
      <c r="M221" s="6"/>
      <c r="N221" s="5">
        <v>1000</v>
      </c>
      <c r="O221" s="6"/>
      <c r="P221" s="5">
        <f>ROUND((L221-N221),5)</f>
        <v>-811</v>
      </c>
      <c r="Q221" s="6"/>
      <c r="R221" s="7">
        <f>ROUND(IF(N221=0, IF(L221=0, 0, 1), L221/N221),5)</f>
        <v>0.189</v>
      </c>
      <c r="S221" s="5"/>
      <c r="T221" s="7"/>
      <c r="U221" s="7"/>
      <c r="V221" s="7"/>
      <c r="W221" s="7"/>
      <c r="X221" s="23">
        <v>1000</v>
      </c>
      <c r="Y221" s="6"/>
      <c r="Z221" s="5">
        <f t="shared" si="39"/>
        <v>0</v>
      </c>
      <c r="AA221" s="6"/>
      <c r="AB221" s="7">
        <f t="shared" si="40"/>
        <v>0</v>
      </c>
      <c r="AC221" s="7"/>
    </row>
    <row r="222" spans="1:29" x14ac:dyDescent="0.3">
      <c r="A222" s="2"/>
      <c r="B222" s="2"/>
      <c r="C222" s="2"/>
      <c r="D222" s="2"/>
      <c r="E222" s="2" t="s">
        <v>187</v>
      </c>
      <c r="F222" s="2"/>
      <c r="G222" s="6"/>
      <c r="H222" s="5">
        <v>480.11</v>
      </c>
      <c r="I222" s="6"/>
      <c r="J222" s="5">
        <v>351.91</v>
      </c>
      <c r="K222" s="6"/>
      <c r="L222" s="5">
        <v>136.47</v>
      </c>
      <c r="M222" s="6"/>
      <c r="N222" s="5">
        <v>500</v>
      </c>
      <c r="O222" s="6"/>
      <c r="P222" s="5">
        <f t="shared" ref="P222:P233" si="41">ROUND((L222-N222),5)</f>
        <v>-363.53</v>
      </c>
      <c r="Q222" s="6"/>
      <c r="R222" s="7">
        <f t="shared" ref="R222:R235" si="42">ROUND(IF(N222=0, IF(L222=0, 0, 1), L222/N222),5)</f>
        <v>0.27294000000000002</v>
      </c>
      <c r="S222" s="5"/>
      <c r="T222" s="7"/>
      <c r="U222" s="7"/>
      <c r="V222" s="7"/>
      <c r="W222" s="7"/>
      <c r="X222" s="23">
        <v>500</v>
      </c>
      <c r="Y222" s="6"/>
      <c r="Z222" s="5">
        <f t="shared" si="39"/>
        <v>0</v>
      </c>
      <c r="AA222" s="6"/>
      <c r="AB222" s="7">
        <f t="shared" si="40"/>
        <v>0</v>
      </c>
      <c r="AC222" s="7"/>
    </row>
    <row r="223" spans="1:29" x14ac:dyDescent="0.3">
      <c r="A223" s="2"/>
      <c r="B223" s="2"/>
      <c r="C223" s="2"/>
      <c r="D223" s="2"/>
      <c r="E223" s="2" t="s">
        <v>188</v>
      </c>
      <c r="F223" s="2"/>
      <c r="G223" s="6"/>
      <c r="H223" s="5">
        <v>84618.65</v>
      </c>
      <c r="I223" s="6"/>
      <c r="J223" s="5">
        <v>86448.9</v>
      </c>
      <c r="K223" s="6"/>
      <c r="L223" s="5">
        <v>72793.649999999994</v>
      </c>
      <c r="M223" s="6"/>
      <c r="N223" s="5">
        <v>84500</v>
      </c>
      <c r="O223" s="6"/>
      <c r="P223" s="5">
        <f t="shared" si="41"/>
        <v>-11706.35</v>
      </c>
      <c r="Q223" s="6"/>
      <c r="R223" s="7">
        <f t="shared" si="42"/>
        <v>0.86146</v>
      </c>
      <c r="S223" s="5"/>
      <c r="T223" s="7"/>
      <c r="U223" s="7"/>
      <c r="V223" s="7"/>
      <c r="W223" s="7"/>
      <c r="X223" s="23">
        <v>84500</v>
      </c>
      <c r="Y223" s="6"/>
      <c r="Z223" s="5">
        <f t="shared" si="39"/>
        <v>0</v>
      </c>
      <c r="AA223" s="6"/>
      <c r="AB223" s="7">
        <f t="shared" si="40"/>
        <v>0</v>
      </c>
    </row>
    <row r="224" spans="1:29" x14ac:dyDescent="0.3">
      <c r="A224" s="2"/>
      <c r="B224" s="2"/>
      <c r="C224" s="2"/>
      <c r="D224" s="2"/>
      <c r="E224" s="2" t="s">
        <v>189</v>
      </c>
      <c r="F224" s="2"/>
      <c r="G224" s="6"/>
      <c r="H224" s="5">
        <v>2085</v>
      </c>
      <c r="I224" s="6"/>
      <c r="J224" s="5">
        <v>24</v>
      </c>
      <c r="K224" s="6"/>
      <c r="L224" s="5">
        <v>0</v>
      </c>
      <c r="M224" s="6"/>
      <c r="N224" s="5">
        <v>2500</v>
      </c>
      <c r="O224" s="6"/>
      <c r="P224" s="5">
        <f t="shared" si="41"/>
        <v>-2500</v>
      </c>
      <c r="Q224" s="6"/>
      <c r="R224" s="7">
        <f t="shared" si="42"/>
        <v>0</v>
      </c>
      <c r="S224" s="5"/>
      <c r="T224" s="7"/>
      <c r="U224" s="7"/>
      <c r="V224" s="7"/>
      <c r="W224" s="7"/>
      <c r="X224" s="23">
        <v>2500</v>
      </c>
      <c r="Y224" s="6"/>
      <c r="Z224" s="5">
        <f t="shared" si="39"/>
        <v>0</v>
      </c>
      <c r="AA224" s="6"/>
      <c r="AB224" s="7">
        <f t="shared" si="40"/>
        <v>0</v>
      </c>
    </row>
    <row r="225" spans="1:28" x14ac:dyDescent="0.3">
      <c r="A225" s="2"/>
      <c r="B225" s="2"/>
      <c r="C225" s="2"/>
      <c r="D225" s="2"/>
      <c r="E225" s="2" t="s">
        <v>190</v>
      </c>
      <c r="F225" s="2"/>
      <c r="G225" s="6"/>
      <c r="H225" s="5">
        <v>43684.87</v>
      </c>
      <c r="I225" s="6"/>
      <c r="J225" s="5">
        <v>60903.68</v>
      </c>
      <c r="K225" s="6"/>
      <c r="L225" s="5">
        <v>53884.19</v>
      </c>
      <c r="M225" s="6"/>
      <c r="N225" s="5">
        <v>55000</v>
      </c>
      <c r="O225" s="6"/>
      <c r="P225" s="5">
        <f t="shared" si="41"/>
        <v>-1115.81</v>
      </c>
      <c r="Q225" s="6"/>
      <c r="R225" s="7">
        <f t="shared" si="42"/>
        <v>0.97970999999999997</v>
      </c>
      <c r="S225" s="5"/>
      <c r="T225" s="7"/>
      <c r="U225" s="7"/>
      <c r="V225" s="7"/>
      <c r="W225" s="7"/>
      <c r="X225" s="23">
        <v>65000</v>
      </c>
      <c r="Y225" s="6"/>
      <c r="Z225" s="5">
        <f t="shared" si="39"/>
        <v>10000</v>
      </c>
      <c r="AA225" s="6"/>
      <c r="AB225" s="7">
        <f t="shared" si="40"/>
        <v>0.18181818181818182</v>
      </c>
    </row>
    <row r="226" spans="1:28" x14ac:dyDescent="0.3">
      <c r="A226" s="2"/>
      <c r="B226" s="2"/>
      <c r="C226" s="2"/>
      <c r="D226" s="2"/>
      <c r="E226" s="2" t="s">
        <v>191</v>
      </c>
      <c r="F226" s="2"/>
      <c r="G226" s="6"/>
      <c r="H226" s="5">
        <v>8856.5400000000009</v>
      </c>
      <c r="I226" s="6"/>
      <c r="J226" s="5">
        <v>8997.32</v>
      </c>
      <c r="K226" s="6"/>
      <c r="L226" s="5">
        <v>11456.52</v>
      </c>
      <c r="M226" s="6"/>
      <c r="N226" s="5">
        <v>15000</v>
      </c>
      <c r="O226" s="6"/>
      <c r="P226" s="5">
        <f t="shared" si="41"/>
        <v>-3543.48</v>
      </c>
      <c r="Q226" s="6"/>
      <c r="R226" s="7">
        <f t="shared" si="42"/>
        <v>0.76376999999999995</v>
      </c>
      <c r="S226" s="5"/>
      <c r="T226" s="7"/>
      <c r="U226" s="7"/>
      <c r="V226" s="7"/>
      <c r="W226" s="7"/>
      <c r="X226" s="23">
        <v>15000</v>
      </c>
      <c r="Y226" s="6"/>
      <c r="Z226" s="5">
        <f t="shared" si="39"/>
        <v>0</v>
      </c>
      <c r="AA226" s="6"/>
      <c r="AB226" s="7">
        <f t="shared" si="40"/>
        <v>0</v>
      </c>
    </row>
    <row r="227" spans="1:28" x14ac:dyDescent="0.3">
      <c r="A227" s="2"/>
      <c r="B227" s="2"/>
      <c r="C227" s="2"/>
      <c r="D227" s="2"/>
      <c r="E227" s="2" t="s">
        <v>192</v>
      </c>
      <c r="F227" s="2"/>
      <c r="G227" s="6"/>
      <c r="H227" s="5">
        <v>2844.77</v>
      </c>
      <c r="I227" s="6"/>
      <c r="J227" s="5">
        <v>3476.95</v>
      </c>
      <c r="K227" s="6"/>
      <c r="L227" s="5">
        <v>2909.26</v>
      </c>
      <c r="M227" s="6"/>
      <c r="N227" s="5">
        <v>2500</v>
      </c>
      <c r="O227" s="6"/>
      <c r="P227" s="5">
        <f t="shared" si="41"/>
        <v>409.26</v>
      </c>
      <c r="Q227" s="6"/>
      <c r="R227" s="7">
        <f t="shared" si="42"/>
        <v>1.1637</v>
      </c>
      <c r="S227" s="5"/>
      <c r="T227" s="7"/>
      <c r="U227" s="7"/>
      <c r="V227" s="7"/>
      <c r="W227" s="7"/>
      <c r="X227" s="23">
        <v>2500</v>
      </c>
      <c r="Y227" s="6"/>
      <c r="Z227" s="5">
        <f t="shared" si="39"/>
        <v>0</v>
      </c>
      <c r="AA227" s="6"/>
      <c r="AB227" s="7">
        <f t="shared" si="40"/>
        <v>0</v>
      </c>
    </row>
    <row r="228" spans="1:28" x14ac:dyDescent="0.3">
      <c r="A228" s="2"/>
      <c r="B228" s="2"/>
      <c r="C228" s="2"/>
      <c r="D228" s="2"/>
      <c r="E228" s="2" t="s">
        <v>193</v>
      </c>
      <c r="F228" s="2"/>
      <c r="G228" s="6"/>
      <c r="H228" s="5">
        <v>5219.08</v>
      </c>
      <c r="I228" s="6"/>
      <c r="J228" s="5">
        <v>5050.66</v>
      </c>
      <c r="K228" s="6"/>
      <c r="L228" s="5">
        <v>3753.53</v>
      </c>
      <c r="M228" s="6"/>
      <c r="N228" s="5">
        <v>9150</v>
      </c>
      <c r="O228" s="6"/>
      <c r="P228" s="5">
        <f t="shared" si="41"/>
        <v>-5396.47</v>
      </c>
      <c r="Q228" s="6"/>
      <c r="R228" s="7">
        <f t="shared" si="42"/>
        <v>0.41021999999999997</v>
      </c>
      <c r="S228" s="5"/>
      <c r="T228" s="7"/>
      <c r="U228" s="7"/>
      <c r="V228" s="7"/>
      <c r="W228" s="7"/>
      <c r="X228" s="23">
        <v>9150</v>
      </c>
      <c r="Y228" s="6"/>
      <c r="Z228" s="5">
        <f t="shared" si="39"/>
        <v>0</v>
      </c>
      <c r="AA228" s="6"/>
      <c r="AB228" s="7">
        <f t="shared" si="40"/>
        <v>0</v>
      </c>
    </row>
    <row r="229" spans="1:28" x14ac:dyDescent="0.3">
      <c r="A229" s="2"/>
      <c r="B229" s="2"/>
      <c r="C229" s="2"/>
      <c r="D229" s="2"/>
      <c r="E229" s="2" t="s">
        <v>194</v>
      </c>
      <c r="F229" s="2"/>
      <c r="G229" s="6"/>
      <c r="H229" s="5">
        <v>448.62</v>
      </c>
      <c r="I229" s="6"/>
      <c r="J229" s="5">
        <v>665.74</v>
      </c>
      <c r="K229" s="6"/>
      <c r="L229" s="5">
        <v>258.68</v>
      </c>
      <c r="M229" s="6"/>
      <c r="N229" s="5">
        <v>1000</v>
      </c>
      <c r="O229" s="6"/>
      <c r="P229" s="5">
        <f t="shared" si="41"/>
        <v>-741.32</v>
      </c>
      <c r="Q229" s="6"/>
      <c r="R229" s="7">
        <f t="shared" si="42"/>
        <v>0.25868000000000002</v>
      </c>
      <c r="S229" s="5"/>
      <c r="T229" s="7"/>
      <c r="U229" s="7"/>
      <c r="V229" s="7"/>
      <c r="W229" s="7"/>
      <c r="X229" s="23">
        <v>1000</v>
      </c>
      <c r="Y229" s="6"/>
      <c r="Z229" s="5">
        <f t="shared" si="39"/>
        <v>0</v>
      </c>
      <c r="AA229" s="6"/>
      <c r="AB229" s="7">
        <f t="shared" si="40"/>
        <v>0</v>
      </c>
    </row>
    <row r="230" spans="1:28" x14ac:dyDescent="0.3">
      <c r="A230" s="2"/>
      <c r="B230" s="2"/>
      <c r="C230" s="2"/>
      <c r="D230" s="2"/>
      <c r="E230" s="2" t="s">
        <v>195</v>
      </c>
      <c r="F230" s="2"/>
      <c r="G230" s="6"/>
      <c r="H230" s="5">
        <v>3205.14</v>
      </c>
      <c r="I230" s="6"/>
      <c r="J230" s="5">
        <v>8277.7800000000007</v>
      </c>
      <c r="K230" s="6"/>
      <c r="L230" s="5">
        <v>1499</v>
      </c>
      <c r="M230" s="6"/>
      <c r="N230" s="5">
        <v>13500</v>
      </c>
      <c r="O230" s="6"/>
      <c r="P230" s="5">
        <f t="shared" si="41"/>
        <v>-12001</v>
      </c>
      <c r="Q230" s="6"/>
      <c r="R230" s="7">
        <f t="shared" si="42"/>
        <v>0.11104</v>
      </c>
      <c r="S230" s="5"/>
      <c r="T230" s="7"/>
      <c r="U230" s="7"/>
      <c r="V230" s="7"/>
      <c r="W230" s="7"/>
      <c r="X230" s="23">
        <v>13500</v>
      </c>
      <c r="Y230" s="6"/>
      <c r="Z230" s="5">
        <f t="shared" si="39"/>
        <v>0</v>
      </c>
      <c r="AA230" s="6"/>
      <c r="AB230" s="7">
        <f t="shared" si="40"/>
        <v>0</v>
      </c>
    </row>
    <row r="231" spans="1:28" x14ac:dyDescent="0.3">
      <c r="A231" s="2"/>
      <c r="B231" s="2"/>
      <c r="C231" s="2"/>
      <c r="D231" s="2"/>
      <c r="E231" s="2" t="s">
        <v>196</v>
      </c>
      <c r="F231" s="2"/>
      <c r="G231" s="6"/>
      <c r="H231" s="5">
        <v>0</v>
      </c>
      <c r="I231" s="6"/>
      <c r="J231" s="5">
        <v>205.67</v>
      </c>
      <c r="K231" s="6"/>
      <c r="L231" s="5">
        <v>174.46</v>
      </c>
      <c r="M231" s="6"/>
      <c r="N231" s="5">
        <v>500</v>
      </c>
      <c r="O231" s="6"/>
      <c r="P231" s="5">
        <f t="shared" si="41"/>
        <v>-325.54000000000002</v>
      </c>
      <c r="Q231" s="6"/>
      <c r="R231" s="7">
        <f t="shared" si="42"/>
        <v>0.34892000000000001</v>
      </c>
      <c r="S231" s="5"/>
      <c r="T231" s="7"/>
      <c r="U231" s="7"/>
      <c r="V231" s="7"/>
      <c r="W231" s="7"/>
      <c r="X231" s="23">
        <v>500</v>
      </c>
      <c r="Y231" s="6"/>
      <c r="Z231" s="5">
        <f t="shared" si="39"/>
        <v>0</v>
      </c>
      <c r="AA231" s="6"/>
      <c r="AB231" s="7">
        <f t="shared" si="40"/>
        <v>0</v>
      </c>
    </row>
    <row r="232" spans="1:28" x14ac:dyDescent="0.3">
      <c r="A232" s="2"/>
      <c r="B232" s="2"/>
      <c r="C232" s="2"/>
      <c r="D232" s="2"/>
      <c r="E232" s="2" t="s">
        <v>197</v>
      </c>
      <c r="F232" s="2"/>
      <c r="G232" s="6"/>
      <c r="H232" s="5">
        <v>0</v>
      </c>
      <c r="I232" s="6"/>
      <c r="J232" s="5">
        <v>115.84</v>
      </c>
      <c r="K232" s="6"/>
      <c r="L232" s="5">
        <v>416.61</v>
      </c>
      <c r="M232" s="6"/>
      <c r="N232" s="5">
        <v>3000</v>
      </c>
      <c r="O232" s="6"/>
      <c r="P232" s="5">
        <f t="shared" si="41"/>
        <v>-2583.39</v>
      </c>
      <c r="Q232" s="6"/>
      <c r="R232" s="7">
        <f t="shared" si="42"/>
        <v>0.13886999999999999</v>
      </c>
      <c r="S232" s="5"/>
      <c r="T232" s="7"/>
      <c r="U232" s="7"/>
      <c r="V232" s="7"/>
      <c r="W232" s="7"/>
      <c r="X232" s="23">
        <v>3000</v>
      </c>
      <c r="Y232" s="6"/>
      <c r="Z232" s="5">
        <f t="shared" si="39"/>
        <v>0</v>
      </c>
      <c r="AA232" s="6"/>
      <c r="AB232" s="7">
        <f t="shared" si="40"/>
        <v>0</v>
      </c>
    </row>
    <row r="233" spans="1:28" ht="15" thickBot="1" x14ac:dyDescent="0.35">
      <c r="A233" s="2"/>
      <c r="B233" s="2"/>
      <c r="C233" s="2"/>
      <c r="D233" s="2"/>
      <c r="E233" s="2" t="s">
        <v>198</v>
      </c>
      <c r="F233" s="2"/>
      <c r="G233" s="6"/>
      <c r="H233" s="8">
        <v>111.58</v>
      </c>
      <c r="I233" s="6"/>
      <c r="J233" s="8">
        <v>230</v>
      </c>
      <c r="K233" s="6"/>
      <c r="L233" s="8">
        <v>0</v>
      </c>
      <c r="M233" s="6"/>
      <c r="N233" s="8">
        <v>500</v>
      </c>
      <c r="O233" s="6"/>
      <c r="P233" s="8">
        <f t="shared" si="41"/>
        <v>-500</v>
      </c>
      <c r="Q233" s="6"/>
      <c r="R233" s="9">
        <f t="shared" si="42"/>
        <v>0</v>
      </c>
      <c r="S233" s="8"/>
      <c r="T233" s="7"/>
      <c r="U233" s="7"/>
      <c r="V233" s="7"/>
      <c r="W233" s="5"/>
      <c r="X233" s="24">
        <v>500</v>
      </c>
      <c r="Y233" s="6"/>
      <c r="Z233" s="8">
        <f t="shared" si="39"/>
        <v>0</v>
      </c>
      <c r="AA233" s="6"/>
      <c r="AB233" s="9">
        <f t="shared" si="40"/>
        <v>0</v>
      </c>
    </row>
    <row r="234" spans="1:28" x14ac:dyDescent="0.3">
      <c r="A234" s="2"/>
      <c r="B234" s="2"/>
      <c r="C234" s="2"/>
      <c r="D234" s="2" t="s">
        <v>324</v>
      </c>
      <c r="E234" s="2"/>
      <c r="F234" s="2"/>
      <c r="G234" s="6"/>
      <c r="H234" s="5">
        <f>ROUND(SUM(H154:H233),5)</f>
        <v>7454105.2999999998</v>
      </c>
      <c r="I234" s="6"/>
      <c r="J234" s="5">
        <f>ROUND(SUM(J154:J233),5)</f>
        <v>7821649.6600000001</v>
      </c>
      <c r="K234" s="6"/>
      <c r="L234" s="5">
        <f>SUM(L217:L233)</f>
        <v>1189985.69</v>
      </c>
      <c r="M234" s="6"/>
      <c r="N234" s="5">
        <f>SUM(N217:N233)</f>
        <v>1261623</v>
      </c>
      <c r="O234" s="6"/>
      <c r="P234" s="5">
        <f>SUM(P217:P233)</f>
        <v>-71637.31</v>
      </c>
      <c r="Q234" s="6"/>
      <c r="R234" s="7">
        <f>ROUND(IF(N234=0, IF(L234=0, 0, 1), L234/N234),5)</f>
        <v>0.94321999999999995</v>
      </c>
      <c r="S234" s="5">
        <f>P234*-1</f>
        <v>71637.31</v>
      </c>
      <c r="T234" s="7"/>
      <c r="U234" s="7"/>
      <c r="V234" s="7"/>
      <c r="X234" s="23">
        <f>SUM(X217:X233)</f>
        <v>602650</v>
      </c>
      <c r="Y234" s="6"/>
      <c r="Z234" s="5">
        <f t="shared" si="39"/>
        <v>-658973</v>
      </c>
      <c r="AA234" s="6"/>
      <c r="AB234" s="7">
        <f t="shared" si="40"/>
        <v>-0.52232164442151097</v>
      </c>
    </row>
    <row r="235" spans="1:28" x14ac:dyDescent="0.3">
      <c r="A235" s="2"/>
      <c r="B235" s="2"/>
      <c r="C235" s="2"/>
      <c r="D235" s="2" t="s">
        <v>325</v>
      </c>
      <c r="E235" s="2"/>
      <c r="F235" s="2"/>
      <c r="G235" s="6"/>
      <c r="H235" s="5"/>
      <c r="I235" s="6"/>
      <c r="J235" s="5"/>
      <c r="K235" s="6"/>
      <c r="L235" s="5">
        <f>L234+L215</f>
        <v>4326206.7300000004</v>
      </c>
      <c r="M235" s="6"/>
      <c r="N235" s="5">
        <f>N234+N215</f>
        <v>5204953.2200000007</v>
      </c>
      <c r="O235" s="6"/>
      <c r="P235" s="5">
        <f>P234+P215</f>
        <v>-878746.48999999976</v>
      </c>
      <c r="Q235" s="6"/>
      <c r="R235" s="7">
        <f t="shared" si="42"/>
        <v>0.83116999999999996</v>
      </c>
      <c r="S235" s="5"/>
      <c r="T235" s="7"/>
      <c r="U235" s="7"/>
      <c r="V235" s="7"/>
      <c r="W235" s="5"/>
      <c r="X235" s="23">
        <f>X234+X215</f>
        <v>4529462.4346890002</v>
      </c>
      <c r="Y235" s="6"/>
      <c r="Z235" s="5">
        <f>Z234+Z215</f>
        <v>-675490.78531099961</v>
      </c>
      <c r="AA235" s="6"/>
      <c r="AB235" s="7">
        <f t="shared" ref="AB235" si="43">ROUND(IF(X235=0, IF(V235=0, 0, 1), V235/X235),5)</f>
        <v>0</v>
      </c>
    </row>
    <row r="236" spans="1:28" x14ac:dyDescent="0.3">
      <c r="A236" s="2"/>
      <c r="B236" s="2"/>
      <c r="C236" s="2"/>
      <c r="D236" s="2" t="s">
        <v>199</v>
      </c>
      <c r="E236" s="2"/>
      <c r="F236" s="2"/>
      <c r="G236" s="6"/>
      <c r="H236" s="5"/>
      <c r="I236" s="6"/>
      <c r="J236" s="5"/>
      <c r="K236" s="6"/>
      <c r="L236" s="5"/>
      <c r="M236" s="6"/>
      <c r="N236" s="5"/>
      <c r="O236" s="6"/>
      <c r="P236" s="5"/>
      <c r="Q236" s="6"/>
      <c r="R236" s="7"/>
      <c r="S236" s="5"/>
      <c r="T236" s="7"/>
      <c r="U236" s="7"/>
      <c r="V236" s="7"/>
      <c r="W236" s="7"/>
      <c r="X236" s="23"/>
      <c r="Y236" s="6"/>
      <c r="Z236" s="5"/>
      <c r="AA236" s="6"/>
      <c r="AB236" s="7"/>
    </row>
    <row r="237" spans="1:28" x14ac:dyDescent="0.3">
      <c r="A237" s="2"/>
      <c r="B237" s="2"/>
      <c r="C237" s="2"/>
      <c r="D237" s="2"/>
      <c r="E237" s="2" t="s">
        <v>200</v>
      </c>
      <c r="F237" s="2"/>
      <c r="G237" s="6"/>
      <c r="H237" s="5">
        <v>486</v>
      </c>
      <c r="I237" s="6"/>
      <c r="J237" s="5">
        <v>382.5</v>
      </c>
      <c r="K237" s="6"/>
      <c r="L237" s="5">
        <v>405</v>
      </c>
      <c r="M237" s="6"/>
      <c r="N237" s="5">
        <v>1500</v>
      </c>
      <c r="O237" s="6"/>
      <c r="P237" s="5">
        <f>ROUND((L237-N237),5)</f>
        <v>-1095</v>
      </c>
      <c r="Q237" s="6"/>
      <c r="R237" s="7">
        <f>ROUND(IF(N237=0, IF(L237=0, 0, 1), L237/N237),5)</f>
        <v>0.27</v>
      </c>
      <c r="S237" s="5"/>
      <c r="T237" s="7"/>
      <c r="U237" s="7"/>
      <c r="V237" s="7"/>
      <c r="W237" s="7"/>
      <c r="X237" s="23">
        <v>1500</v>
      </c>
      <c r="Y237" s="6"/>
      <c r="Z237" s="5">
        <f>X237-N237</f>
        <v>0</v>
      </c>
      <c r="AA237" s="6"/>
      <c r="AB237" s="7">
        <f>Z237/N237</f>
        <v>0</v>
      </c>
    </row>
    <row r="238" spans="1:28" ht="15" thickBot="1" x14ac:dyDescent="0.35">
      <c r="A238" s="2"/>
      <c r="B238" s="2"/>
      <c r="C238" s="2"/>
      <c r="D238" s="2"/>
      <c r="E238" s="2" t="s">
        <v>201</v>
      </c>
      <c r="F238" s="2"/>
      <c r="G238" s="6"/>
      <c r="H238" s="8">
        <v>33700</v>
      </c>
      <c r="I238" s="6"/>
      <c r="J238" s="8">
        <v>31142.38</v>
      </c>
      <c r="K238" s="6"/>
      <c r="L238" s="8">
        <v>15442</v>
      </c>
      <c r="M238" s="6"/>
      <c r="N238" s="8">
        <v>35000</v>
      </c>
      <c r="O238" s="6"/>
      <c r="P238" s="8">
        <f>ROUND((L238-N238),5)</f>
        <v>-19558</v>
      </c>
      <c r="Q238" s="6"/>
      <c r="R238" s="9">
        <f>ROUND(IF(N238=0, IF(L238=0, 0, 1), L238/N238),5)</f>
        <v>0.44119999999999998</v>
      </c>
      <c r="S238" s="8"/>
      <c r="T238" s="7"/>
      <c r="U238" s="7"/>
      <c r="V238" s="7"/>
      <c r="W238" s="7"/>
      <c r="X238" s="24">
        <v>35000</v>
      </c>
      <c r="Y238" s="6"/>
      <c r="Z238" s="8">
        <f>X238-N238</f>
        <v>0</v>
      </c>
      <c r="AA238" s="6"/>
      <c r="AB238" s="9">
        <f>Z238/N238</f>
        <v>0</v>
      </c>
    </row>
    <row r="239" spans="1:28" x14ac:dyDescent="0.3">
      <c r="A239" s="2"/>
      <c r="B239" s="2"/>
      <c r="C239" s="2"/>
      <c r="D239" s="2" t="s">
        <v>202</v>
      </c>
      <c r="E239" s="2"/>
      <c r="F239" s="2"/>
      <c r="G239" s="6"/>
      <c r="H239" s="5">
        <f>ROUND(SUM(H236:H238),5)</f>
        <v>34186</v>
      </c>
      <c r="I239" s="6"/>
      <c r="J239" s="5">
        <f>ROUND(SUM(J236:J238),5)</f>
        <v>31524.880000000001</v>
      </c>
      <c r="K239" s="6"/>
      <c r="L239" s="5">
        <f>ROUND(SUM(L236:L238),5)</f>
        <v>15847</v>
      </c>
      <c r="M239" s="6"/>
      <c r="N239" s="5">
        <f>ROUND(SUM(N236:N238),5)</f>
        <v>36500</v>
      </c>
      <c r="O239" s="6"/>
      <c r="P239" s="5">
        <f>ROUND((L239-N239),5)</f>
        <v>-20653</v>
      </c>
      <c r="Q239" s="6"/>
      <c r="R239" s="7">
        <f>ROUND(IF(N239=0, IF(L239=0, 0, 1), L239/N239),5)</f>
        <v>0.43415999999999999</v>
      </c>
      <c r="S239" s="5">
        <f>P239*-1</f>
        <v>20653</v>
      </c>
      <c r="T239" s="7"/>
      <c r="U239" s="7"/>
      <c r="V239" s="7"/>
      <c r="W239" s="7"/>
      <c r="X239" s="23">
        <f>ROUND(SUM(X236:X238),5)</f>
        <v>36500</v>
      </c>
      <c r="Y239" s="6"/>
      <c r="Z239" s="5">
        <f>X239-N239</f>
        <v>0</v>
      </c>
      <c r="AA239" s="6"/>
      <c r="AB239" s="7">
        <f>Z239/N239</f>
        <v>0</v>
      </c>
    </row>
    <row r="240" spans="1:28" x14ac:dyDescent="0.3">
      <c r="A240" s="2"/>
      <c r="B240" s="2"/>
      <c r="C240" s="2"/>
      <c r="D240" s="2" t="s">
        <v>203</v>
      </c>
      <c r="E240" s="2"/>
      <c r="F240" s="2"/>
      <c r="G240" s="6"/>
      <c r="H240" s="5"/>
      <c r="I240" s="6"/>
      <c r="J240" s="5"/>
      <c r="K240" s="6"/>
      <c r="L240" s="5"/>
      <c r="M240" s="6"/>
      <c r="N240" s="5"/>
      <c r="O240" s="6"/>
      <c r="P240" s="5"/>
      <c r="Q240" s="6"/>
      <c r="R240" s="7"/>
      <c r="S240" s="5"/>
      <c r="T240" s="7"/>
      <c r="U240" s="7"/>
      <c r="V240" s="7"/>
      <c r="W240" s="7"/>
      <c r="X240" s="23"/>
      <c r="Y240" s="6"/>
      <c r="Z240" s="5"/>
      <c r="AA240" s="6"/>
      <c r="AB240" s="7"/>
    </row>
    <row r="241" spans="1:29" x14ac:dyDescent="0.3">
      <c r="A241" s="2"/>
      <c r="B241" s="2"/>
      <c r="C241" s="2"/>
      <c r="D241" s="2"/>
      <c r="E241" s="2" t="s">
        <v>204</v>
      </c>
      <c r="F241" s="2"/>
      <c r="G241" s="6"/>
      <c r="H241" s="5">
        <v>633241.46</v>
      </c>
      <c r="I241" s="6"/>
      <c r="J241" s="5">
        <v>636346.39</v>
      </c>
      <c r="K241" s="6"/>
      <c r="L241" s="5">
        <v>517622.46</v>
      </c>
      <c r="M241" s="6"/>
      <c r="N241" s="5">
        <v>678549.7</v>
      </c>
      <c r="O241" s="6"/>
      <c r="P241" s="5">
        <f>ROUND((L241-N241),5)</f>
        <v>-160927.24</v>
      </c>
      <c r="Q241" s="6"/>
      <c r="R241" s="7">
        <f>ROUND(IF(N241=0, IF(L241=0, 0, 1), L241/N241),5)</f>
        <v>0.76283999999999996</v>
      </c>
      <c r="S241" s="5"/>
      <c r="T241" s="7"/>
      <c r="U241" s="7"/>
      <c r="V241" s="7"/>
      <c r="W241" s="5"/>
      <c r="X241" s="23">
        <f>SUM(W242:W257)</f>
        <v>854974.47999999975</v>
      </c>
      <c r="Y241" s="6"/>
      <c r="Z241" s="5">
        <f>X241-N241</f>
        <v>176424.7799999998</v>
      </c>
      <c r="AA241" s="6"/>
      <c r="AB241" s="7">
        <f>Z241/N241</f>
        <v>0.26000273819294267</v>
      </c>
    </row>
    <row r="242" spans="1:29" x14ac:dyDescent="0.3">
      <c r="A242" s="2"/>
      <c r="B242" s="2"/>
      <c r="C242" s="2"/>
      <c r="D242" s="2"/>
      <c r="E242" s="2"/>
      <c r="F242" s="2"/>
      <c r="G242" s="6"/>
      <c r="H242" s="5"/>
      <c r="I242" s="6"/>
      <c r="J242" s="5"/>
      <c r="K242" s="6"/>
      <c r="L242" s="5"/>
      <c r="M242" s="6"/>
      <c r="N242" s="5"/>
      <c r="O242" s="6"/>
      <c r="P242" s="5"/>
      <c r="Q242" s="6"/>
      <c r="R242" s="7"/>
      <c r="S242" s="5"/>
      <c r="T242" s="7"/>
      <c r="U242" s="7" t="s">
        <v>382</v>
      </c>
      <c r="W242" s="5">
        <f>122150</f>
        <v>122150</v>
      </c>
      <c r="X242" s="23"/>
      <c r="Y242" s="6"/>
      <c r="Z242" s="5"/>
      <c r="AA242" s="6"/>
      <c r="AB242" s="7"/>
      <c r="AC242" s="7" t="s">
        <v>404</v>
      </c>
    </row>
    <row r="243" spans="1:29" x14ac:dyDescent="0.3">
      <c r="A243" s="2"/>
      <c r="B243" s="2"/>
      <c r="C243" s="2"/>
      <c r="D243" s="2"/>
      <c r="E243" s="2"/>
      <c r="F243" s="2"/>
      <c r="G243" s="6"/>
      <c r="H243" s="5"/>
      <c r="I243" s="6"/>
      <c r="J243" s="5"/>
      <c r="K243" s="6"/>
      <c r="L243" s="5"/>
      <c r="M243" s="6"/>
      <c r="N243" s="5"/>
      <c r="O243" s="6"/>
      <c r="P243" s="5"/>
      <c r="Q243" s="6"/>
      <c r="R243" s="7"/>
      <c r="S243" s="5"/>
      <c r="T243" s="7"/>
      <c r="U243" s="35" t="s">
        <v>381</v>
      </c>
      <c r="W243" s="5">
        <f>66000*0.9</f>
        <v>59400</v>
      </c>
      <c r="X243" s="23"/>
      <c r="Y243" s="6"/>
      <c r="Z243" s="5"/>
      <c r="AA243" s="6"/>
      <c r="AB243" s="7"/>
      <c r="AC243" s="7" t="s">
        <v>405</v>
      </c>
    </row>
    <row r="244" spans="1:29" x14ac:dyDescent="0.3">
      <c r="A244" s="2"/>
      <c r="B244" s="2"/>
      <c r="C244" s="2"/>
      <c r="D244" s="2"/>
      <c r="E244" s="2"/>
      <c r="F244" s="2"/>
      <c r="G244" s="6"/>
      <c r="H244" s="5"/>
      <c r="I244" s="6"/>
      <c r="J244" s="5"/>
      <c r="K244" s="6"/>
      <c r="L244" s="5"/>
      <c r="M244" s="6"/>
      <c r="N244" s="5"/>
      <c r="O244" s="6"/>
      <c r="P244" s="5"/>
      <c r="Q244" s="6"/>
      <c r="R244" s="7"/>
      <c r="S244" s="5"/>
      <c r="T244" s="7"/>
      <c r="U244" s="7" t="s">
        <v>383</v>
      </c>
      <c r="V244" s="33">
        <f>(28.97+3+3)</f>
        <v>34.97</v>
      </c>
      <c r="W244" s="5">
        <f>V244*2080</f>
        <v>72737.599999999991</v>
      </c>
      <c r="X244" s="23"/>
      <c r="Y244" s="6"/>
      <c r="Z244" s="5"/>
      <c r="AA244" s="6"/>
      <c r="AB244" s="7"/>
    </row>
    <row r="245" spans="1:29" x14ac:dyDescent="0.3">
      <c r="A245" s="2"/>
      <c r="B245" s="2"/>
      <c r="C245" s="2"/>
      <c r="D245" s="2"/>
      <c r="E245" s="2"/>
      <c r="F245" s="2"/>
      <c r="G245" s="6"/>
      <c r="H245" s="5"/>
      <c r="I245" s="6"/>
      <c r="J245" s="5"/>
      <c r="K245" s="6"/>
      <c r="L245" s="5"/>
      <c r="M245" s="6"/>
      <c r="N245" s="5"/>
      <c r="O245" s="6"/>
      <c r="P245" s="5"/>
      <c r="Q245" s="6"/>
      <c r="R245" s="7"/>
      <c r="S245" s="5"/>
      <c r="T245" s="7"/>
      <c r="U245" s="7" t="s">
        <v>384</v>
      </c>
      <c r="V245" s="33">
        <f>28.97+2.5</f>
        <v>31.47</v>
      </c>
      <c r="W245" s="5">
        <f>V245*2080</f>
        <v>65457.599999999999</v>
      </c>
      <c r="X245" s="23"/>
      <c r="Y245" s="6"/>
      <c r="Z245" s="5"/>
      <c r="AA245" s="6"/>
      <c r="AB245" s="7"/>
    </row>
    <row r="246" spans="1:29" x14ac:dyDescent="0.3">
      <c r="A246" s="2"/>
      <c r="B246" s="2"/>
      <c r="C246" s="2"/>
      <c r="D246" s="2"/>
      <c r="E246" s="2"/>
      <c r="F246" s="2"/>
      <c r="G246" s="6"/>
      <c r="H246" s="5"/>
      <c r="I246" s="6"/>
      <c r="J246" s="5"/>
      <c r="K246" s="6"/>
      <c r="L246" s="5"/>
      <c r="M246" s="6"/>
      <c r="N246" s="5"/>
      <c r="O246" s="6"/>
      <c r="P246" s="5"/>
      <c r="Q246" s="6"/>
      <c r="R246" s="7"/>
      <c r="S246" s="5"/>
      <c r="T246" s="7"/>
      <c r="U246" s="7" t="s">
        <v>385</v>
      </c>
      <c r="V246" s="33">
        <v>28.97</v>
      </c>
      <c r="W246" s="5">
        <f t="shared" ref="W246:W251" si="44">28.97*2080</f>
        <v>60257.599999999999</v>
      </c>
      <c r="X246" s="23"/>
      <c r="Y246" s="6"/>
      <c r="Z246" s="5"/>
      <c r="AA246" s="6"/>
      <c r="AB246" s="7"/>
    </row>
    <row r="247" spans="1:29" x14ac:dyDescent="0.3">
      <c r="A247" s="2"/>
      <c r="B247" s="2"/>
      <c r="C247" s="2"/>
      <c r="D247" s="2"/>
      <c r="E247" s="2"/>
      <c r="F247" s="2"/>
      <c r="G247" s="6"/>
      <c r="H247" s="5"/>
      <c r="I247" s="6"/>
      <c r="J247" s="5"/>
      <c r="K247" s="6"/>
      <c r="L247" s="5"/>
      <c r="M247" s="6"/>
      <c r="N247" s="5"/>
      <c r="O247" s="6"/>
      <c r="P247" s="5"/>
      <c r="Q247" s="6"/>
      <c r="R247" s="7"/>
      <c r="S247" s="5"/>
      <c r="T247" s="7"/>
      <c r="U247" s="7" t="s">
        <v>385</v>
      </c>
      <c r="V247" s="33">
        <v>28.97</v>
      </c>
      <c r="W247" s="5">
        <f t="shared" si="44"/>
        <v>60257.599999999999</v>
      </c>
      <c r="X247" s="23"/>
      <c r="Y247" s="6"/>
      <c r="Z247" s="5"/>
      <c r="AA247" s="6"/>
      <c r="AB247" s="7"/>
    </row>
    <row r="248" spans="1:29" x14ac:dyDescent="0.3">
      <c r="A248" s="2"/>
      <c r="B248" s="2"/>
      <c r="C248" s="2"/>
      <c r="D248" s="2"/>
      <c r="E248" s="2"/>
      <c r="F248" s="2"/>
      <c r="G248" s="6"/>
      <c r="H248" s="5"/>
      <c r="I248" s="6"/>
      <c r="J248" s="5"/>
      <c r="K248" s="6"/>
      <c r="L248" s="5"/>
      <c r="M248" s="6"/>
      <c r="N248" s="5"/>
      <c r="O248" s="6"/>
      <c r="P248" s="5"/>
      <c r="Q248" s="6"/>
      <c r="R248" s="7"/>
      <c r="S248" s="5"/>
      <c r="T248" s="7"/>
      <c r="U248" s="7" t="s">
        <v>385</v>
      </c>
      <c r="V248" s="33">
        <v>28.97</v>
      </c>
      <c r="W248" s="5">
        <f t="shared" si="44"/>
        <v>60257.599999999999</v>
      </c>
      <c r="X248" s="23"/>
      <c r="Y248" s="6"/>
      <c r="Z248" s="5"/>
      <c r="AA248" s="6"/>
      <c r="AB248" s="7"/>
    </row>
    <row r="249" spans="1:29" x14ac:dyDescent="0.3">
      <c r="A249" s="2"/>
      <c r="B249" s="2"/>
      <c r="C249" s="2"/>
      <c r="D249" s="2"/>
      <c r="E249" s="2"/>
      <c r="F249" s="2"/>
      <c r="G249" s="6"/>
      <c r="H249" s="5"/>
      <c r="I249" s="6"/>
      <c r="J249" s="5"/>
      <c r="K249" s="6"/>
      <c r="L249" s="5"/>
      <c r="M249" s="6"/>
      <c r="N249" s="5"/>
      <c r="O249" s="6"/>
      <c r="P249" s="5"/>
      <c r="Q249" s="6"/>
      <c r="R249" s="7"/>
      <c r="S249" s="5"/>
      <c r="T249" s="7"/>
      <c r="U249" s="7" t="s">
        <v>385</v>
      </c>
      <c r="V249" s="33">
        <v>28.97</v>
      </c>
      <c r="W249" s="5">
        <f t="shared" si="44"/>
        <v>60257.599999999999</v>
      </c>
      <c r="X249" s="23"/>
      <c r="Y249" s="6"/>
      <c r="Z249" s="5"/>
      <c r="AA249" s="6"/>
      <c r="AB249" s="7"/>
    </row>
    <row r="250" spans="1:29" x14ac:dyDescent="0.3">
      <c r="A250" s="2"/>
      <c r="B250" s="2"/>
      <c r="C250" s="2"/>
      <c r="D250" s="2"/>
      <c r="E250" s="2"/>
      <c r="F250" s="2"/>
      <c r="G250" s="6"/>
      <c r="H250" s="5"/>
      <c r="I250" s="6"/>
      <c r="J250" s="5"/>
      <c r="K250" s="6"/>
      <c r="L250" s="5"/>
      <c r="M250" s="6"/>
      <c r="N250" s="5"/>
      <c r="O250" s="6"/>
      <c r="P250" s="5"/>
      <c r="Q250" s="6"/>
      <c r="R250" s="7"/>
      <c r="S250" s="5"/>
      <c r="T250" s="7"/>
      <c r="U250" s="7" t="s">
        <v>385</v>
      </c>
      <c r="V250" s="33">
        <v>28.97</v>
      </c>
      <c r="W250" s="5">
        <f t="shared" si="44"/>
        <v>60257.599999999999</v>
      </c>
      <c r="X250" s="23"/>
      <c r="Y250" s="6"/>
      <c r="Z250" s="5"/>
      <c r="AA250" s="6"/>
      <c r="AB250" s="7"/>
    </row>
    <row r="251" spans="1:29" x14ac:dyDescent="0.3">
      <c r="A251" s="2"/>
      <c r="B251" s="2"/>
      <c r="C251" s="2"/>
      <c r="D251" s="2"/>
      <c r="E251" s="2"/>
      <c r="F251" s="2"/>
      <c r="G251" s="6"/>
      <c r="H251" s="5"/>
      <c r="I251" s="6"/>
      <c r="J251" s="5"/>
      <c r="K251" s="6"/>
      <c r="L251" s="5"/>
      <c r="M251" s="6"/>
      <c r="N251" s="5"/>
      <c r="O251" s="6"/>
      <c r="P251" s="5"/>
      <c r="Q251" s="6"/>
      <c r="R251" s="7"/>
      <c r="S251" s="5"/>
      <c r="T251" s="7"/>
      <c r="U251" s="7" t="s">
        <v>385</v>
      </c>
      <c r="V251" s="33">
        <v>28.97</v>
      </c>
      <c r="W251" s="5">
        <f t="shared" si="44"/>
        <v>60257.599999999999</v>
      </c>
      <c r="X251" s="23"/>
      <c r="Y251" s="6"/>
      <c r="Z251" s="5"/>
      <c r="AA251" s="6"/>
      <c r="AB251" s="7"/>
    </row>
    <row r="252" spans="1:29" x14ac:dyDescent="0.3">
      <c r="A252" s="2"/>
      <c r="B252" s="2"/>
      <c r="C252" s="2"/>
      <c r="D252" s="2"/>
      <c r="E252" s="2"/>
      <c r="F252" s="2"/>
      <c r="G252" s="6"/>
      <c r="H252" s="5"/>
      <c r="I252" s="6"/>
      <c r="J252" s="5"/>
      <c r="K252" s="6"/>
      <c r="L252" s="5"/>
      <c r="M252" s="6"/>
      <c r="N252" s="5"/>
      <c r="O252" s="6"/>
      <c r="P252" s="5"/>
      <c r="Q252" s="6"/>
      <c r="R252" s="7"/>
      <c r="S252" s="5"/>
      <c r="T252" s="7"/>
      <c r="U252" s="7" t="s">
        <v>385</v>
      </c>
      <c r="V252" s="33" t="s">
        <v>326</v>
      </c>
      <c r="W252" s="5">
        <f>28.97*0.9*(2080/2)+(28.97*2080/2)</f>
        <v>57244.72</v>
      </c>
      <c r="X252" s="23"/>
      <c r="Y252" s="6"/>
      <c r="Z252" s="5"/>
      <c r="AA252" s="6"/>
      <c r="AB252" s="7"/>
    </row>
    <row r="253" spans="1:29" x14ac:dyDescent="0.3">
      <c r="A253" s="2"/>
      <c r="B253" s="2"/>
      <c r="C253" s="2"/>
      <c r="D253" s="2"/>
      <c r="E253" s="2"/>
      <c r="F253" s="2"/>
      <c r="G253" s="6"/>
      <c r="H253" s="5"/>
      <c r="I253" s="6"/>
      <c r="J253" s="5"/>
      <c r="K253" s="6"/>
      <c r="L253" s="5"/>
      <c r="M253" s="6"/>
      <c r="N253" s="5"/>
      <c r="O253" s="6"/>
      <c r="P253" s="5"/>
      <c r="Q253" s="6"/>
      <c r="R253" s="7"/>
      <c r="S253" s="5"/>
      <c r="T253" s="7"/>
      <c r="U253" s="35" t="s">
        <v>292</v>
      </c>
      <c r="V253" s="33" t="s">
        <v>327</v>
      </c>
      <c r="W253" s="23">
        <f>28.97*0.8*(2080/2)+(28.97*0.9*2080/2)</f>
        <v>51218.960000000006</v>
      </c>
      <c r="X253" s="23"/>
      <c r="Y253" s="6"/>
      <c r="Z253" s="5"/>
      <c r="AA253" s="6"/>
      <c r="AB253" s="7"/>
    </row>
    <row r="254" spans="1:29" x14ac:dyDescent="0.3">
      <c r="A254" s="2"/>
      <c r="B254" s="2"/>
      <c r="C254" s="2"/>
      <c r="D254" s="2"/>
      <c r="E254" s="2"/>
      <c r="F254" s="2"/>
      <c r="G254" s="6"/>
      <c r="H254" s="5"/>
      <c r="I254" s="6"/>
      <c r="J254" s="5"/>
      <c r="K254" s="6"/>
      <c r="L254" s="5"/>
      <c r="M254" s="6"/>
      <c r="N254" s="5"/>
      <c r="O254" s="6"/>
      <c r="P254" s="5"/>
      <c r="Q254" s="6"/>
      <c r="R254" s="7"/>
      <c r="S254" s="5"/>
      <c r="T254" s="7"/>
      <c r="U254" s="7" t="s">
        <v>386</v>
      </c>
      <c r="V254" s="33">
        <f>V251*0.8</f>
        <v>23.176000000000002</v>
      </c>
      <c r="W254" s="5">
        <f>28.97*0.8*(1250)</f>
        <v>28970.000000000004</v>
      </c>
      <c r="X254" s="23"/>
      <c r="Y254" s="6"/>
      <c r="Z254" s="5"/>
      <c r="AA254" s="6"/>
      <c r="AB254" s="7"/>
    </row>
    <row r="255" spans="1:29" x14ac:dyDescent="0.3">
      <c r="A255" s="2"/>
      <c r="B255" s="2"/>
      <c r="C255" s="2"/>
      <c r="D255" s="2"/>
      <c r="E255" s="2"/>
      <c r="F255" s="2"/>
      <c r="G255" s="6"/>
      <c r="H255" s="5"/>
      <c r="I255" s="6"/>
      <c r="J255" s="5"/>
      <c r="K255" s="6"/>
      <c r="L255" s="5"/>
      <c r="M255" s="6"/>
      <c r="N255" s="5"/>
      <c r="O255" s="6"/>
      <c r="P255" s="5"/>
      <c r="Q255" s="6"/>
      <c r="R255" s="7"/>
      <c r="S255" s="5"/>
      <c r="T255" s="7"/>
      <c r="U255" s="7" t="s">
        <v>386</v>
      </c>
      <c r="V255" s="33">
        <f>V251*0.8</f>
        <v>23.176000000000002</v>
      </c>
      <c r="W255" s="5">
        <f>28.97*0.8*(1250)</f>
        <v>28970.000000000004</v>
      </c>
      <c r="X255" s="23"/>
      <c r="Y255" s="6"/>
      <c r="Z255" s="5"/>
      <c r="AA255" s="6"/>
      <c r="AB255" s="7"/>
    </row>
    <row r="256" spans="1:29" x14ac:dyDescent="0.3">
      <c r="A256" s="2"/>
      <c r="B256" s="2"/>
      <c r="C256" s="2"/>
      <c r="D256" s="2"/>
      <c r="E256" s="2"/>
      <c r="F256" s="2"/>
      <c r="G256" s="6"/>
      <c r="H256" s="5"/>
      <c r="I256" s="6"/>
      <c r="J256" s="5"/>
      <c r="K256" s="6"/>
      <c r="L256" s="5"/>
      <c r="M256" s="6"/>
      <c r="N256" s="5"/>
      <c r="O256" s="6"/>
      <c r="P256" s="5"/>
      <c r="Q256" s="6"/>
      <c r="R256" s="7"/>
      <c r="S256" s="5"/>
      <c r="T256" s="7"/>
      <c r="U256" s="7" t="s">
        <v>293</v>
      </c>
      <c r="W256" s="5">
        <f>0.5*7*2080</f>
        <v>7280</v>
      </c>
      <c r="X256" s="23"/>
      <c r="Y256" s="6"/>
      <c r="Z256" s="5"/>
      <c r="AA256" s="6"/>
      <c r="AB256" s="7"/>
    </row>
    <row r="257" spans="1:29" x14ac:dyDescent="0.3">
      <c r="A257" s="2"/>
      <c r="B257" s="2"/>
      <c r="C257" s="2"/>
      <c r="D257" s="2"/>
      <c r="E257" s="2"/>
      <c r="F257" s="2"/>
      <c r="G257" s="6"/>
      <c r="H257" s="5"/>
      <c r="I257" s="6"/>
      <c r="J257" s="5"/>
      <c r="K257" s="6"/>
      <c r="L257" s="5"/>
      <c r="M257" s="6"/>
      <c r="N257" s="5"/>
      <c r="O257" s="6"/>
      <c r="P257" s="5"/>
      <c r="Q257" s="6"/>
      <c r="R257" s="7"/>
      <c r="S257" s="5"/>
      <c r="T257" s="7"/>
      <c r="U257" s="7"/>
      <c r="W257" s="5"/>
      <c r="X257" s="23"/>
      <c r="Y257" s="6"/>
      <c r="Z257" s="5"/>
      <c r="AA257" s="6"/>
      <c r="AB257" s="7"/>
      <c r="AC257" s="7" t="s">
        <v>328</v>
      </c>
    </row>
    <row r="258" spans="1:29" x14ac:dyDescent="0.3">
      <c r="A258" s="2"/>
      <c r="B258" s="2"/>
      <c r="C258" s="2"/>
      <c r="D258" s="2"/>
      <c r="E258" s="2" t="s">
        <v>205</v>
      </c>
      <c r="F258" s="2"/>
      <c r="G258" s="6"/>
      <c r="H258" s="5">
        <v>36087.07</v>
      </c>
      <c r="I258" s="6"/>
      <c r="J258" s="5">
        <v>16233.55</v>
      </c>
      <c r="K258" s="6"/>
      <c r="L258" s="5">
        <v>30980.21</v>
      </c>
      <c r="M258" s="6"/>
      <c r="N258" s="5">
        <v>30000</v>
      </c>
      <c r="O258" s="6"/>
      <c r="P258" s="5">
        <f>ROUND((L258-N258),5)</f>
        <v>980.21</v>
      </c>
      <c r="Q258" s="6"/>
      <c r="R258" s="7">
        <f>ROUND(IF(N258=0, IF(L258=0, 0, 1), L258/N258),5)</f>
        <v>1.03267</v>
      </c>
      <c r="S258" s="5"/>
      <c r="T258" s="7"/>
      <c r="U258" s="7"/>
      <c r="V258" s="7"/>
      <c r="W258" s="5"/>
      <c r="X258" s="23">
        <v>40000</v>
      </c>
      <c r="Y258" s="6"/>
      <c r="Z258" s="5">
        <f t="shared" ref="Z258:Z281" si="45">X258-N258</f>
        <v>10000</v>
      </c>
      <c r="AA258" s="6"/>
      <c r="AB258" s="7">
        <f t="shared" ref="AB258:AB281" si="46">Z258/N258</f>
        <v>0.33333333333333331</v>
      </c>
    </row>
    <row r="259" spans="1:29" x14ac:dyDescent="0.3">
      <c r="A259" s="2"/>
      <c r="B259" s="2"/>
      <c r="C259" s="2"/>
      <c r="D259" s="2"/>
      <c r="E259" s="2" t="s">
        <v>206</v>
      </c>
      <c r="F259" s="2"/>
      <c r="G259" s="6"/>
      <c r="H259" s="5">
        <v>0</v>
      </c>
      <c r="I259" s="6"/>
      <c r="J259" s="5">
        <v>8500</v>
      </c>
      <c r="K259" s="6"/>
      <c r="L259" s="5">
        <v>9795.68</v>
      </c>
      <c r="M259" s="6"/>
      <c r="N259" s="5">
        <v>7700</v>
      </c>
      <c r="O259" s="6"/>
      <c r="P259" s="5">
        <f t="shared" ref="P259:P266" si="47">ROUND((L259-N259),5)</f>
        <v>2095.6799999999998</v>
      </c>
      <c r="Q259" s="6"/>
      <c r="R259" s="7">
        <f t="shared" ref="R259:R266" si="48">ROUND(IF(N259=0, IF(L259=0, 0, 1), L259/N259),5)</f>
        <v>1.27217</v>
      </c>
      <c r="S259" s="5"/>
      <c r="T259" s="7"/>
      <c r="U259" s="7"/>
      <c r="V259" s="7"/>
      <c r="W259" s="5"/>
      <c r="X259" s="23">
        <v>7700</v>
      </c>
      <c r="Y259" s="6"/>
      <c r="Z259" s="5">
        <f t="shared" si="45"/>
        <v>0</v>
      </c>
      <c r="AA259" s="6"/>
      <c r="AB259" s="7">
        <f t="shared" si="46"/>
        <v>0</v>
      </c>
    </row>
    <row r="260" spans="1:29" x14ac:dyDescent="0.3">
      <c r="A260" s="2"/>
      <c r="B260" s="2"/>
      <c r="C260" s="2"/>
      <c r="D260" s="2"/>
      <c r="E260" s="2" t="s">
        <v>207</v>
      </c>
      <c r="F260" s="2"/>
      <c r="G260" s="6"/>
      <c r="H260" s="5">
        <v>51541.34</v>
      </c>
      <c r="I260" s="6"/>
      <c r="J260" s="5">
        <v>51618.46</v>
      </c>
      <c r="K260" s="6"/>
      <c r="L260" s="5">
        <v>45665.120000000003</v>
      </c>
      <c r="M260" s="6"/>
      <c r="N260" s="5">
        <v>64462.47</v>
      </c>
      <c r="O260" s="6"/>
      <c r="P260" s="5">
        <f t="shared" si="47"/>
        <v>-18797.349999999999</v>
      </c>
      <c r="Q260" s="6"/>
      <c r="R260" s="7">
        <f t="shared" si="48"/>
        <v>0.70840000000000003</v>
      </c>
      <c r="S260" s="5"/>
      <c r="T260" s="7"/>
      <c r="U260" s="7"/>
      <c r="V260" s="7"/>
      <c r="W260" s="5"/>
      <c r="X260" s="23">
        <f>SUM(X241:X259)*0.0765</f>
        <v>69054.597719999976</v>
      </c>
      <c r="Y260" s="6"/>
      <c r="Z260" s="5">
        <f t="shared" si="45"/>
        <v>4592.1277199999749</v>
      </c>
      <c r="AA260" s="6"/>
      <c r="AB260" s="7">
        <f t="shared" si="46"/>
        <v>7.1237228731694191E-2</v>
      </c>
    </row>
    <row r="261" spans="1:29" x14ac:dyDescent="0.3">
      <c r="A261" s="2"/>
      <c r="B261" s="2"/>
      <c r="C261" s="2"/>
      <c r="D261" s="2"/>
      <c r="E261" s="2" t="s">
        <v>208</v>
      </c>
      <c r="F261" s="2"/>
      <c r="G261" s="6"/>
      <c r="H261" s="5">
        <v>235591.96</v>
      </c>
      <c r="I261" s="6"/>
      <c r="J261" s="5">
        <v>187056.66</v>
      </c>
      <c r="K261" s="6"/>
      <c r="L261" s="5">
        <v>176025.86</v>
      </c>
      <c r="M261" s="6"/>
      <c r="N261" s="5">
        <v>220000</v>
      </c>
      <c r="O261" s="6"/>
      <c r="P261" s="5">
        <f t="shared" si="47"/>
        <v>-43974.14</v>
      </c>
      <c r="Q261" s="6"/>
      <c r="R261" s="7">
        <f t="shared" si="48"/>
        <v>0.80012000000000005</v>
      </c>
      <c r="S261" s="5"/>
      <c r="T261" s="7"/>
      <c r="U261" s="7"/>
      <c r="V261" s="7"/>
      <c r="W261" s="7"/>
      <c r="X261" s="23">
        <v>240000</v>
      </c>
      <c r="Y261" s="6"/>
      <c r="Z261" s="5">
        <f t="shared" si="45"/>
        <v>20000</v>
      </c>
      <c r="AA261" s="6"/>
      <c r="AB261" s="7">
        <f t="shared" si="46"/>
        <v>9.0909090909090912E-2</v>
      </c>
    </row>
    <row r="262" spans="1:29" x14ac:dyDescent="0.3">
      <c r="A262" s="2"/>
      <c r="B262" s="2"/>
      <c r="C262" s="2"/>
      <c r="D262" s="2"/>
      <c r="E262" s="2" t="s">
        <v>209</v>
      </c>
      <c r="F262" s="2"/>
      <c r="G262" s="6"/>
      <c r="H262" s="5">
        <v>54532.23</v>
      </c>
      <c r="I262" s="6"/>
      <c r="J262" s="5">
        <v>45821.95</v>
      </c>
      <c r="K262" s="6"/>
      <c r="L262" s="5">
        <v>44237.5</v>
      </c>
      <c r="M262" s="6"/>
      <c r="N262" s="5">
        <v>64462.47</v>
      </c>
      <c r="O262" s="6"/>
      <c r="P262" s="5">
        <f t="shared" si="47"/>
        <v>-20224.97</v>
      </c>
      <c r="Q262" s="6"/>
      <c r="R262" s="7">
        <f t="shared" si="48"/>
        <v>0.68625000000000003</v>
      </c>
      <c r="S262" s="5"/>
      <c r="T262" s="7"/>
      <c r="U262" s="7"/>
      <c r="V262" s="7"/>
      <c r="W262" s="7"/>
      <c r="X262" s="23" cm="1">
        <f t="array" ref="X262">SUM(W242:W253+X258+X259)*0.09</f>
        <v>122593.9032</v>
      </c>
      <c r="Y262" s="6"/>
      <c r="Z262" s="5">
        <f t="shared" si="45"/>
        <v>58131.433199999999</v>
      </c>
      <c r="AA262" s="6"/>
      <c r="AB262" s="7">
        <f t="shared" si="46"/>
        <v>0.90178724457812431</v>
      </c>
    </row>
    <row r="263" spans="1:29" x14ac:dyDescent="0.3">
      <c r="A263" s="2"/>
      <c r="B263" s="2"/>
      <c r="C263" s="2"/>
      <c r="D263" s="2"/>
      <c r="E263" s="2" t="s">
        <v>210</v>
      </c>
      <c r="F263" s="2"/>
      <c r="G263" s="6"/>
      <c r="H263" s="5">
        <v>8885.6</v>
      </c>
      <c r="I263" s="6"/>
      <c r="J263" s="5">
        <v>7575.77</v>
      </c>
      <c r="K263" s="6"/>
      <c r="L263" s="5">
        <v>7491.32</v>
      </c>
      <c r="M263" s="6"/>
      <c r="N263" s="5">
        <v>12672</v>
      </c>
      <c r="O263" s="6"/>
      <c r="P263" s="5">
        <f t="shared" si="47"/>
        <v>-5180.68</v>
      </c>
      <c r="Q263" s="6"/>
      <c r="R263" s="7">
        <f t="shared" si="48"/>
        <v>0.59116999999999997</v>
      </c>
      <c r="S263" s="5"/>
      <c r="T263" s="7"/>
      <c r="U263" s="7"/>
      <c r="V263" s="7"/>
      <c r="W263" s="7"/>
      <c r="X263" s="23">
        <v>12672</v>
      </c>
      <c r="Y263" s="6"/>
      <c r="Z263" s="5">
        <f t="shared" si="45"/>
        <v>0</v>
      </c>
      <c r="AA263" s="6"/>
      <c r="AB263" s="7">
        <f t="shared" si="46"/>
        <v>0</v>
      </c>
    </row>
    <row r="264" spans="1:29" x14ac:dyDescent="0.3">
      <c r="A264" s="2"/>
      <c r="B264" s="2"/>
      <c r="C264" s="2"/>
      <c r="D264" s="2"/>
      <c r="E264" s="2" t="s">
        <v>211</v>
      </c>
      <c r="F264" s="2"/>
      <c r="G264" s="6"/>
      <c r="H264" s="5">
        <v>14884.98</v>
      </c>
      <c r="I264" s="6"/>
      <c r="J264" s="5">
        <v>10654.83</v>
      </c>
      <c r="K264" s="6"/>
      <c r="L264" s="5">
        <v>8943.0300000000007</v>
      </c>
      <c r="M264" s="6"/>
      <c r="N264" s="5">
        <v>15000</v>
      </c>
      <c r="O264" s="6"/>
      <c r="P264" s="5">
        <f t="shared" si="47"/>
        <v>-6056.97</v>
      </c>
      <c r="Q264" s="6"/>
      <c r="R264" s="7">
        <f t="shared" si="48"/>
        <v>0.59619999999999995</v>
      </c>
      <c r="S264" s="5"/>
      <c r="T264" s="7"/>
      <c r="U264" s="7"/>
      <c r="V264" s="7"/>
      <c r="W264" s="7"/>
      <c r="X264" s="23">
        <v>15000</v>
      </c>
      <c r="Y264" s="6"/>
      <c r="Z264" s="5">
        <f t="shared" si="45"/>
        <v>0</v>
      </c>
      <c r="AA264" s="6"/>
      <c r="AB264" s="7">
        <f t="shared" si="46"/>
        <v>0</v>
      </c>
    </row>
    <row r="265" spans="1:29" x14ac:dyDescent="0.3">
      <c r="A265" s="2"/>
      <c r="B265" s="2"/>
      <c r="C265" s="2"/>
      <c r="D265" s="2"/>
      <c r="E265" s="2" t="s">
        <v>212</v>
      </c>
      <c r="F265" s="2"/>
      <c r="G265" s="6"/>
      <c r="H265" s="5">
        <v>8471.56</v>
      </c>
      <c r="I265" s="6"/>
      <c r="J265" s="5">
        <v>7156.93</v>
      </c>
      <c r="K265" s="6"/>
      <c r="L265" s="5">
        <v>2126.0100000000002</v>
      </c>
      <c r="M265" s="6"/>
      <c r="N265" s="5">
        <v>10000</v>
      </c>
      <c r="O265" s="6"/>
      <c r="P265" s="5">
        <f t="shared" si="47"/>
        <v>-7873.99</v>
      </c>
      <c r="Q265" s="6"/>
      <c r="R265" s="7">
        <f t="shared" si="48"/>
        <v>0.21260000000000001</v>
      </c>
      <c r="S265" s="5"/>
      <c r="T265" s="7"/>
      <c r="U265" s="7"/>
      <c r="V265" s="7"/>
      <c r="W265" s="7"/>
      <c r="X265" s="23">
        <v>10000</v>
      </c>
      <c r="Y265" s="6"/>
      <c r="Z265" s="5">
        <f t="shared" si="45"/>
        <v>0</v>
      </c>
      <c r="AA265" s="6"/>
      <c r="AB265" s="7">
        <f t="shared" si="46"/>
        <v>0</v>
      </c>
    </row>
    <row r="266" spans="1:29" x14ac:dyDescent="0.3">
      <c r="A266" s="2"/>
      <c r="B266" s="2"/>
      <c r="C266" s="2"/>
      <c r="D266" s="2"/>
      <c r="E266" s="2" t="s">
        <v>213</v>
      </c>
      <c r="F266" s="2"/>
      <c r="G266" s="6"/>
      <c r="H266" s="5">
        <v>52479.839999999997</v>
      </c>
      <c r="I266" s="6"/>
      <c r="J266" s="5">
        <v>49657.14</v>
      </c>
      <c r="K266" s="6"/>
      <c r="L266" s="5">
        <v>33443.24</v>
      </c>
      <c r="M266" s="6"/>
      <c r="N266" s="5">
        <v>50000</v>
      </c>
      <c r="O266" s="6"/>
      <c r="P266" s="5">
        <f t="shared" si="47"/>
        <v>-16556.759999999998</v>
      </c>
      <c r="Q266" s="6"/>
      <c r="R266" s="7">
        <f t="shared" si="48"/>
        <v>0.66886000000000001</v>
      </c>
      <c r="S266" s="5"/>
      <c r="T266" s="7"/>
      <c r="U266" s="7"/>
      <c r="V266" s="7"/>
      <c r="W266" s="7"/>
      <c r="X266" s="23">
        <v>50000</v>
      </c>
      <c r="Y266" s="6"/>
      <c r="Z266" s="5">
        <f t="shared" si="45"/>
        <v>0</v>
      </c>
      <c r="AA266" s="6"/>
      <c r="AB266" s="7">
        <f t="shared" si="46"/>
        <v>0</v>
      </c>
    </row>
    <row r="267" spans="1:29" x14ac:dyDescent="0.3">
      <c r="A267" s="2"/>
      <c r="B267" s="2"/>
      <c r="C267" s="2"/>
      <c r="D267" s="2"/>
      <c r="E267" s="2" t="s">
        <v>214</v>
      </c>
      <c r="F267" s="2"/>
      <c r="G267" s="6"/>
      <c r="H267" s="5">
        <v>5971.19</v>
      </c>
      <c r="I267" s="6"/>
      <c r="J267" s="5">
        <v>10352.5</v>
      </c>
      <c r="K267" s="6"/>
      <c r="L267" s="5">
        <v>1662.11</v>
      </c>
      <c r="M267" s="6"/>
      <c r="N267" s="5">
        <v>9000</v>
      </c>
      <c r="O267" s="6"/>
      <c r="P267" s="5">
        <f t="shared" ref="P267:P274" si="49">ROUND((L267-N267),5)</f>
        <v>-7337.89</v>
      </c>
      <c r="Q267" s="6"/>
      <c r="R267" s="7">
        <f t="shared" ref="R267:R274" si="50">ROUND(IF(N267=0, IF(L267=0, 0, 1), L267/N267),5)</f>
        <v>0.18468000000000001</v>
      </c>
      <c r="S267" s="5"/>
      <c r="T267" s="7"/>
      <c r="U267" s="7"/>
      <c r="V267" s="7"/>
      <c r="W267" s="7"/>
      <c r="X267" s="23">
        <v>9000</v>
      </c>
      <c r="Y267" s="6"/>
      <c r="Z267" s="5">
        <f t="shared" si="45"/>
        <v>0</v>
      </c>
      <c r="AA267" s="6"/>
      <c r="AB267" s="7">
        <f t="shared" si="46"/>
        <v>0</v>
      </c>
    </row>
    <row r="268" spans="1:29" x14ac:dyDescent="0.3">
      <c r="A268" s="2"/>
      <c r="B268" s="2"/>
      <c r="C268" s="2"/>
      <c r="D268" s="2"/>
      <c r="E268" s="2" t="s">
        <v>215</v>
      </c>
      <c r="F268" s="2"/>
      <c r="G268" s="6"/>
      <c r="H268" s="5">
        <v>3232.5</v>
      </c>
      <c r="I268" s="6"/>
      <c r="J268" s="5">
        <v>4318.71</v>
      </c>
      <c r="K268" s="6"/>
      <c r="L268" s="5">
        <v>1678.19</v>
      </c>
      <c r="M268" s="6"/>
      <c r="N268" s="5">
        <v>5000</v>
      </c>
      <c r="O268" s="6"/>
      <c r="P268" s="5">
        <f t="shared" si="49"/>
        <v>-3321.81</v>
      </c>
      <c r="Q268" s="6"/>
      <c r="R268" s="7">
        <f t="shared" si="50"/>
        <v>0.33563999999999999</v>
      </c>
      <c r="S268" s="5"/>
      <c r="T268" s="7"/>
      <c r="U268" s="7"/>
      <c r="V268" s="7"/>
      <c r="W268" s="7"/>
      <c r="X268" s="23">
        <v>5000</v>
      </c>
      <c r="Y268" s="6"/>
      <c r="Z268" s="5">
        <f t="shared" si="45"/>
        <v>0</v>
      </c>
      <c r="AA268" s="6"/>
      <c r="AB268" s="7">
        <f t="shared" si="46"/>
        <v>0</v>
      </c>
    </row>
    <row r="269" spans="1:29" x14ac:dyDescent="0.3">
      <c r="A269" s="2"/>
      <c r="B269" s="2"/>
      <c r="C269" s="2"/>
      <c r="D269" s="2"/>
      <c r="E269" s="2" t="s">
        <v>216</v>
      </c>
      <c r="F269" s="2"/>
      <c r="G269" s="6"/>
      <c r="H269" s="5">
        <v>17313.23</v>
      </c>
      <c r="I269" s="6"/>
      <c r="J269" s="5">
        <v>3382.86</v>
      </c>
      <c r="K269" s="6"/>
      <c r="L269" s="5">
        <v>965.45</v>
      </c>
      <c r="M269" s="6"/>
      <c r="N269" s="5">
        <v>12000</v>
      </c>
      <c r="O269" s="6"/>
      <c r="P269" s="5">
        <f t="shared" si="49"/>
        <v>-11034.55</v>
      </c>
      <c r="Q269" s="6"/>
      <c r="R269" s="7">
        <f t="shared" si="50"/>
        <v>8.0449999999999994E-2</v>
      </c>
      <c r="S269" s="5"/>
      <c r="T269" s="7"/>
      <c r="U269" s="7"/>
      <c r="V269" s="7"/>
      <c r="W269" s="7"/>
      <c r="X269" s="23">
        <v>12000</v>
      </c>
      <c r="Y269" s="6"/>
      <c r="Z269" s="5">
        <f t="shared" si="45"/>
        <v>0</v>
      </c>
      <c r="AA269" s="6"/>
      <c r="AB269" s="7">
        <f t="shared" si="46"/>
        <v>0</v>
      </c>
    </row>
    <row r="270" spans="1:29" x14ac:dyDescent="0.3">
      <c r="A270" s="2"/>
      <c r="B270" s="2"/>
      <c r="C270" s="2"/>
      <c r="D270" s="2"/>
      <c r="E270" s="2" t="s">
        <v>217</v>
      </c>
      <c r="F270" s="2"/>
      <c r="G270" s="6"/>
      <c r="H270" s="5">
        <v>0</v>
      </c>
      <c r="I270" s="6"/>
      <c r="J270" s="5">
        <v>5952.21</v>
      </c>
      <c r="K270" s="6"/>
      <c r="L270" s="5">
        <v>469.27</v>
      </c>
      <c r="M270" s="6"/>
      <c r="N270" s="5">
        <v>6000</v>
      </c>
      <c r="O270" s="6"/>
      <c r="P270" s="5">
        <f t="shared" si="49"/>
        <v>-5530.73</v>
      </c>
      <c r="Q270" s="6"/>
      <c r="R270" s="7">
        <f t="shared" si="50"/>
        <v>7.8210000000000002E-2</v>
      </c>
      <c r="S270" s="5"/>
      <c r="T270" s="7"/>
      <c r="U270" s="7"/>
      <c r="V270" s="7"/>
      <c r="W270" s="7"/>
      <c r="X270" s="23">
        <v>6000</v>
      </c>
      <c r="Y270" s="6"/>
      <c r="Z270" s="5">
        <f t="shared" si="45"/>
        <v>0</v>
      </c>
      <c r="AA270" s="6"/>
      <c r="AB270" s="7">
        <f t="shared" si="46"/>
        <v>0</v>
      </c>
    </row>
    <row r="271" spans="1:29" x14ac:dyDescent="0.3">
      <c r="A271" s="2"/>
      <c r="B271" s="2"/>
      <c r="C271" s="2"/>
      <c r="D271" s="2"/>
      <c r="E271" s="2" t="s">
        <v>218</v>
      </c>
      <c r="F271" s="2"/>
      <c r="G271" s="6"/>
      <c r="H271" s="5">
        <v>6344.24</v>
      </c>
      <c r="I271" s="6"/>
      <c r="J271" s="5">
        <v>1423.65</v>
      </c>
      <c r="K271" s="6"/>
      <c r="L271" s="5">
        <v>44</v>
      </c>
      <c r="M271" s="6"/>
      <c r="N271" s="5">
        <v>2500</v>
      </c>
      <c r="O271" s="6"/>
      <c r="P271" s="5">
        <f t="shared" si="49"/>
        <v>-2456</v>
      </c>
      <c r="Q271" s="6"/>
      <c r="R271" s="7">
        <f t="shared" si="50"/>
        <v>1.7600000000000001E-2</v>
      </c>
      <c r="S271" s="5"/>
      <c r="T271" s="7"/>
      <c r="U271" s="7"/>
      <c r="V271" s="7"/>
      <c r="W271" s="7"/>
      <c r="X271" s="23">
        <v>2500</v>
      </c>
      <c r="Y271" s="6"/>
      <c r="Z271" s="5">
        <f t="shared" si="45"/>
        <v>0</v>
      </c>
      <c r="AA271" s="6"/>
      <c r="AB271" s="7">
        <f t="shared" si="46"/>
        <v>0</v>
      </c>
    </row>
    <row r="272" spans="1:29" x14ac:dyDescent="0.3">
      <c r="A272" s="2"/>
      <c r="B272" s="2"/>
      <c r="C272" s="2"/>
      <c r="D272" s="2"/>
      <c r="E272" s="2" t="s">
        <v>219</v>
      </c>
      <c r="F272" s="2"/>
      <c r="G272" s="6"/>
      <c r="H272" s="5">
        <v>0</v>
      </c>
      <c r="I272" s="6"/>
      <c r="J272" s="5">
        <v>199.59</v>
      </c>
      <c r="K272" s="6"/>
      <c r="L272" s="5">
        <v>0</v>
      </c>
      <c r="M272" s="6"/>
      <c r="N272" s="5">
        <v>2000</v>
      </c>
      <c r="O272" s="6"/>
      <c r="P272" s="5">
        <f t="shared" si="49"/>
        <v>-2000</v>
      </c>
      <c r="Q272" s="6"/>
      <c r="R272" s="7">
        <f t="shared" si="50"/>
        <v>0</v>
      </c>
      <c r="S272" s="5"/>
      <c r="T272" s="7"/>
      <c r="U272" s="7"/>
      <c r="V272" s="7"/>
      <c r="W272" s="7"/>
      <c r="X272" s="23">
        <v>2000</v>
      </c>
      <c r="Y272" s="6"/>
      <c r="Z272" s="5">
        <f t="shared" si="45"/>
        <v>0</v>
      </c>
      <c r="AA272" s="6"/>
      <c r="AB272" s="7">
        <f t="shared" si="46"/>
        <v>0</v>
      </c>
    </row>
    <row r="273" spans="1:28" x14ac:dyDescent="0.3">
      <c r="A273" s="2"/>
      <c r="B273" s="2"/>
      <c r="C273" s="2"/>
      <c r="D273" s="2"/>
      <c r="E273" s="2" t="s">
        <v>220</v>
      </c>
      <c r="F273" s="2"/>
      <c r="G273" s="6"/>
      <c r="H273" s="5">
        <v>245</v>
      </c>
      <c r="I273" s="6"/>
      <c r="J273" s="5">
        <v>727.16</v>
      </c>
      <c r="K273" s="6"/>
      <c r="L273" s="5">
        <v>0</v>
      </c>
      <c r="M273" s="6"/>
      <c r="N273" s="5">
        <v>800</v>
      </c>
      <c r="O273" s="6"/>
      <c r="P273" s="5">
        <f t="shared" si="49"/>
        <v>-800</v>
      </c>
      <c r="Q273" s="6"/>
      <c r="R273" s="7">
        <f t="shared" si="50"/>
        <v>0</v>
      </c>
      <c r="S273" s="5"/>
      <c r="T273" s="7"/>
      <c r="U273" s="7"/>
      <c r="V273" s="7"/>
      <c r="W273" s="7"/>
      <c r="X273" s="23">
        <v>800</v>
      </c>
      <c r="Y273" s="6"/>
      <c r="Z273" s="5">
        <f t="shared" si="45"/>
        <v>0</v>
      </c>
      <c r="AA273" s="6"/>
      <c r="AB273" s="7">
        <f t="shared" si="46"/>
        <v>0</v>
      </c>
    </row>
    <row r="274" spans="1:28" x14ac:dyDescent="0.3">
      <c r="A274" s="2"/>
      <c r="B274" s="2"/>
      <c r="C274" s="2"/>
      <c r="D274" s="2"/>
      <c r="E274" s="2" t="s">
        <v>221</v>
      </c>
      <c r="F274" s="2"/>
      <c r="G274" s="6"/>
      <c r="H274" s="5">
        <v>4786.4399999999996</v>
      </c>
      <c r="I274" s="6"/>
      <c r="J274" s="5">
        <v>11524.78</v>
      </c>
      <c r="K274" s="6"/>
      <c r="L274" s="5">
        <v>5419.13</v>
      </c>
      <c r="M274" s="6"/>
      <c r="N274" s="5">
        <v>13000</v>
      </c>
      <c r="O274" s="6"/>
      <c r="P274" s="5">
        <f t="shared" si="49"/>
        <v>-7580.87</v>
      </c>
      <c r="Q274" s="6"/>
      <c r="R274" s="7">
        <f t="shared" si="50"/>
        <v>0.41686000000000001</v>
      </c>
      <c r="S274" s="5"/>
      <c r="T274" s="7"/>
      <c r="U274" s="7"/>
      <c r="V274" s="7"/>
      <c r="W274" s="7"/>
      <c r="X274" s="23">
        <v>13000</v>
      </c>
      <c r="Y274" s="6"/>
      <c r="Z274" s="5">
        <f t="shared" si="45"/>
        <v>0</v>
      </c>
      <c r="AA274" s="6"/>
      <c r="AB274" s="7">
        <f t="shared" si="46"/>
        <v>0</v>
      </c>
    </row>
    <row r="275" spans="1:28" x14ac:dyDescent="0.3">
      <c r="A275" s="2"/>
      <c r="B275" s="2"/>
      <c r="C275" s="2"/>
      <c r="D275" s="2"/>
      <c r="E275" s="2" t="s">
        <v>222</v>
      </c>
      <c r="F275" s="2"/>
      <c r="G275" s="6"/>
      <c r="H275" s="5">
        <v>82966.759999999995</v>
      </c>
      <c r="I275" s="6"/>
      <c r="J275" s="5">
        <v>62519.34</v>
      </c>
      <c r="K275" s="6"/>
      <c r="L275" s="5">
        <v>32532.52</v>
      </c>
      <c r="M275" s="6"/>
      <c r="N275" s="5">
        <v>65000</v>
      </c>
      <c r="O275" s="6"/>
      <c r="P275" s="5">
        <f t="shared" ref="P275:P281" si="51">ROUND((L275-N275),5)</f>
        <v>-32467.48</v>
      </c>
      <c r="Q275" s="6"/>
      <c r="R275" s="7">
        <f t="shared" ref="R275:R281" si="52">ROUND(IF(N275=0, IF(L275=0, 0, 1), L275/N275),5)</f>
        <v>0.50049999999999994</v>
      </c>
      <c r="S275" s="5"/>
      <c r="T275" s="7"/>
      <c r="U275" s="7"/>
      <c r="V275" s="7"/>
      <c r="W275" s="7"/>
      <c r="X275" s="23">
        <v>65000</v>
      </c>
      <c r="Y275" s="6"/>
      <c r="Z275" s="5">
        <f t="shared" si="45"/>
        <v>0</v>
      </c>
      <c r="AA275" s="6"/>
      <c r="AB275" s="7">
        <f t="shared" si="46"/>
        <v>0</v>
      </c>
    </row>
    <row r="276" spans="1:28" x14ac:dyDescent="0.3">
      <c r="A276" s="2"/>
      <c r="B276" s="2"/>
      <c r="C276" s="2"/>
      <c r="D276" s="2"/>
      <c r="E276" s="2" t="s">
        <v>223</v>
      </c>
      <c r="F276" s="2"/>
      <c r="G276" s="6"/>
      <c r="H276" s="5">
        <v>3852</v>
      </c>
      <c r="I276" s="6"/>
      <c r="J276" s="5">
        <v>5813.5</v>
      </c>
      <c r="K276" s="6"/>
      <c r="L276" s="5">
        <v>7932</v>
      </c>
      <c r="M276" s="6"/>
      <c r="N276" s="5">
        <v>15000</v>
      </c>
      <c r="O276" s="6"/>
      <c r="P276" s="5">
        <f t="shared" si="51"/>
        <v>-7068</v>
      </c>
      <c r="Q276" s="6"/>
      <c r="R276" s="7">
        <f t="shared" si="52"/>
        <v>0.52880000000000005</v>
      </c>
      <c r="S276" s="5"/>
      <c r="T276" s="7"/>
      <c r="U276" s="7"/>
      <c r="V276" s="7"/>
      <c r="W276" s="7"/>
      <c r="X276" s="23">
        <v>17000</v>
      </c>
      <c r="Y276" s="6"/>
      <c r="Z276" s="5">
        <f t="shared" si="45"/>
        <v>2000</v>
      </c>
      <c r="AA276" s="6"/>
      <c r="AB276" s="7">
        <f t="shared" si="46"/>
        <v>0.13333333333333333</v>
      </c>
    </row>
    <row r="277" spans="1:28" x14ac:dyDescent="0.3">
      <c r="A277" s="2"/>
      <c r="B277" s="2"/>
      <c r="C277" s="2"/>
      <c r="D277" s="2"/>
      <c r="E277" s="2" t="s">
        <v>224</v>
      </c>
      <c r="F277" s="2"/>
      <c r="G277" s="6"/>
      <c r="H277" s="5">
        <v>45</v>
      </c>
      <c r="I277" s="6"/>
      <c r="J277" s="5">
        <v>300</v>
      </c>
      <c r="K277" s="6"/>
      <c r="L277" s="5">
        <v>440</v>
      </c>
      <c r="M277" s="6"/>
      <c r="N277" s="5">
        <v>450</v>
      </c>
      <c r="O277" s="6"/>
      <c r="P277" s="5">
        <f t="shared" si="51"/>
        <v>-10</v>
      </c>
      <c r="Q277" s="6"/>
      <c r="R277" s="7">
        <f t="shared" si="52"/>
        <v>0.97777999999999998</v>
      </c>
      <c r="S277" s="5"/>
      <c r="T277" s="7"/>
      <c r="U277" s="7"/>
      <c r="V277" s="7"/>
      <c r="W277" s="7"/>
      <c r="X277" s="23">
        <v>450</v>
      </c>
      <c r="Y277" s="6"/>
      <c r="Z277" s="5">
        <f t="shared" si="45"/>
        <v>0</v>
      </c>
      <c r="AA277" s="6"/>
      <c r="AB277" s="7">
        <f t="shared" si="46"/>
        <v>0</v>
      </c>
    </row>
    <row r="278" spans="1:28" x14ac:dyDescent="0.3">
      <c r="A278" s="2"/>
      <c r="B278" s="2"/>
      <c r="C278" s="2"/>
      <c r="D278" s="2"/>
      <c r="E278" s="2" t="s">
        <v>225</v>
      </c>
      <c r="F278" s="2"/>
      <c r="G278" s="6"/>
      <c r="H278" s="5">
        <v>7604.17</v>
      </c>
      <c r="I278" s="6"/>
      <c r="J278" s="5">
        <v>4667.17</v>
      </c>
      <c r="K278" s="6"/>
      <c r="L278" s="5">
        <v>11174.94</v>
      </c>
      <c r="M278" s="6"/>
      <c r="N278" s="5">
        <v>12200</v>
      </c>
      <c r="O278" s="6"/>
      <c r="P278" s="5">
        <f t="shared" si="51"/>
        <v>-1025.06</v>
      </c>
      <c r="Q278" s="6"/>
      <c r="R278" s="7">
        <f t="shared" si="52"/>
        <v>0.91598000000000002</v>
      </c>
      <c r="S278" s="5"/>
      <c r="T278" s="7"/>
      <c r="U278" s="7"/>
      <c r="V278" s="7"/>
      <c r="W278" s="7"/>
      <c r="X278" s="23">
        <v>12200</v>
      </c>
      <c r="Y278" s="6"/>
      <c r="Z278" s="5">
        <f t="shared" si="45"/>
        <v>0</v>
      </c>
      <c r="AA278" s="6"/>
      <c r="AB278" s="7">
        <f t="shared" si="46"/>
        <v>0</v>
      </c>
    </row>
    <row r="279" spans="1:28" x14ac:dyDescent="0.3">
      <c r="A279" s="2"/>
      <c r="B279" s="2"/>
      <c r="C279" s="2"/>
      <c r="D279" s="2"/>
      <c r="E279" s="2" t="s">
        <v>226</v>
      </c>
      <c r="F279" s="2"/>
      <c r="G279" s="6"/>
      <c r="H279" s="5">
        <v>4533.0200000000004</v>
      </c>
      <c r="I279" s="6"/>
      <c r="J279" s="5">
        <v>1652.55</v>
      </c>
      <c r="K279" s="6"/>
      <c r="L279" s="5">
        <v>2829.36</v>
      </c>
      <c r="M279" s="6"/>
      <c r="N279" s="5">
        <v>7500</v>
      </c>
      <c r="O279" s="6"/>
      <c r="P279" s="5">
        <f t="shared" si="51"/>
        <v>-4670.6400000000003</v>
      </c>
      <c r="Q279" s="6"/>
      <c r="R279" s="7">
        <f t="shared" si="52"/>
        <v>0.37724999999999997</v>
      </c>
      <c r="S279" s="5"/>
      <c r="T279" s="7"/>
      <c r="U279" s="7"/>
      <c r="V279" s="7"/>
      <c r="W279" s="7"/>
      <c r="X279" s="23">
        <v>7500</v>
      </c>
      <c r="Y279" s="6"/>
      <c r="Z279" s="5">
        <f t="shared" si="45"/>
        <v>0</v>
      </c>
      <c r="AA279" s="6"/>
      <c r="AB279" s="7">
        <f t="shared" si="46"/>
        <v>0</v>
      </c>
    </row>
    <row r="280" spans="1:28" x14ac:dyDescent="0.3">
      <c r="A280" s="2"/>
      <c r="B280" s="2"/>
      <c r="C280" s="2"/>
      <c r="D280" s="2"/>
      <c r="E280" s="2" t="s">
        <v>402</v>
      </c>
      <c r="F280" s="2"/>
      <c r="G280" s="6"/>
      <c r="H280" s="5"/>
      <c r="I280" s="6"/>
      <c r="J280" s="5"/>
      <c r="K280" s="6"/>
      <c r="L280" s="5">
        <v>200</v>
      </c>
      <c r="M280" s="6"/>
      <c r="N280" s="5"/>
      <c r="O280" s="6"/>
      <c r="P280" s="5"/>
      <c r="Q280" s="6"/>
      <c r="R280" s="7"/>
      <c r="S280" s="5"/>
      <c r="T280" s="7"/>
      <c r="U280" s="7"/>
      <c r="V280" s="7"/>
      <c r="W280" s="7"/>
      <c r="X280" s="23"/>
      <c r="Y280" s="6"/>
      <c r="Z280" s="5"/>
      <c r="AA280" s="6"/>
      <c r="AB280" s="7"/>
    </row>
    <row r="281" spans="1:28" x14ac:dyDescent="0.3">
      <c r="A281" s="2"/>
      <c r="B281" s="2"/>
      <c r="C281" s="2"/>
      <c r="D281" s="2"/>
      <c r="E281" s="2" t="s">
        <v>227</v>
      </c>
      <c r="F281" s="2"/>
      <c r="G281" s="6"/>
      <c r="H281" s="5">
        <v>521.28</v>
      </c>
      <c r="I281" s="6"/>
      <c r="J281" s="5">
        <v>499.9</v>
      </c>
      <c r="K281" s="6"/>
      <c r="L281" s="23">
        <v>1252.1099999999999</v>
      </c>
      <c r="M281" s="6"/>
      <c r="N281" s="5">
        <v>10000</v>
      </c>
      <c r="O281" s="6"/>
      <c r="P281" s="5">
        <f t="shared" si="51"/>
        <v>-8747.89</v>
      </c>
      <c r="Q281" s="6"/>
      <c r="R281" s="7">
        <f t="shared" si="52"/>
        <v>0.12520999999999999</v>
      </c>
      <c r="S281" s="5"/>
      <c r="T281" s="7"/>
      <c r="U281" s="7"/>
      <c r="V281" s="7"/>
      <c r="W281" s="7"/>
      <c r="X281" s="23">
        <v>10000</v>
      </c>
      <c r="Y281" s="6"/>
      <c r="Z281" s="5">
        <f t="shared" si="45"/>
        <v>0</v>
      </c>
      <c r="AA281" s="6"/>
      <c r="AB281" s="7">
        <f t="shared" si="46"/>
        <v>0</v>
      </c>
    </row>
    <row r="282" spans="1:28" x14ac:dyDescent="0.3">
      <c r="A282" s="2"/>
      <c r="B282" s="2"/>
      <c r="C282" s="2"/>
      <c r="D282" s="2"/>
      <c r="E282" s="2" t="s">
        <v>228</v>
      </c>
      <c r="F282" s="2"/>
      <c r="G282" s="6"/>
      <c r="H282" s="5">
        <v>82815.86</v>
      </c>
      <c r="I282" s="6"/>
      <c r="J282" s="5">
        <v>36315.11</v>
      </c>
      <c r="K282" s="6"/>
      <c r="L282" s="5">
        <v>64814.58</v>
      </c>
      <c r="M282" s="6"/>
      <c r="N282" s="5">
        <v>125000</v>
      </c>
      <c r="O282" s="6"/>
      <c r="P282" s="5">
        <f t="shared" ref="P282:P290" si="53">ROUND((L282-N282),5)</f>
        <v>-60185.42</v>
      </c>
      <c r="Q282" s="6"/>
      <c r="R282" s="7">
        <f t="shared" ref="R282:R290" si="54">ROUND(IF(N282=0, IF(L282=0, 0, 1), L282/N282),5)</f>
        <v>0.51851999999999998</v>
      </c>
      <c r="S282" s="5"/>
      <c r="T282" s="7"/>
      <c r="U282" s="7"/>
      <c r="V282" s="7"/>
      <c r="W282" s="7"/>
      <c r="X282" s="23">
        <v>125000</v>
      </c>
      <c r="Y282" s="6"/>
      <c r="Z282" s="5">
        <f t="shared" ref="Z282:Z290" si="55">X282-N282</f>
        <v>0</v>
      </c>
      <c r="AA282" s="6"/>
      <c r="AB282" s="7">
        <f t="shared" ref="AB282:AB290" si="56">Z282/N282</f>
        <v>0</v>
      </c>
    </row>
    <row r="283" spans="1:28" x14ac:dyDescent="0.3">
      <c r="A283" s="2"/>
      <c r="B283" s="2"/>
      <c r="C283" s="2"/>
      <c r="D283" s="2"/>
      <c r="E283" s="2" t="s">
        <v>229</v>
      </c>
      <c r="F283" s="2"/>
      <c r="G283" s="6"/>
      <c r="H283" s="5">
        <v>7767.48</v>
      </c>
      <c r="I283" s="6"/>
      <c r="J283" s="5">
        <v>7728.58</v>
      </c>
      <c r="K283" s="6"/>
      <c r="L283" s="5">
        <v>6633.88</v>
      </c>
      <c r="M283" s="6"/>
      <c r="N283" s="5">
        <v>8000</v>
      </c>
      <c r="O283" s="6"/>
      <c r="P283" s="5">
        <f t="shared" si="53"/>
        <v>-1366.12</v>
      </c>
      <c r="Q283" s="6"/>
      <c r="R283" s="7">
        <f t="shared" si="54"/>
        <v>0.82923999999999998</v>
      </c>
      <c r="S283" s="5"/>
      <c r="T283" s="7"/>
      <c r="U283" s="7"/>
      <c r="V283" s="7"/>
      <c r="W283" s="7"/>
      <c r="X283" s="23">
        <v>8000</v>
      </c>
      <c r="Y283" s="6"/>
      <c r="Z283" s="5">
        <f t="shared" si="55"/>
        <v>0</v>
      </c>
      <c r="AA283" s="6"/>
      <c r="AB283" s="7">
        <f t="shared" si="56"/>
        <v>0</v>
      </c>
    </row>
    <row r="284" spans="1:28" x14ac:dyDescent="0.3">
      <c r="A284" s="2"/>
      <c r="B284" s="2"/>
      <c r="C284" s="2"/>
      <c r="D284" s="2"/>
      <c r="E284" s="2" t="s">
        <v>230</v>
      </c>
      <c r="F284" s="2"/>
      <c r="G284" s="6"/>
      <c r="H284" s="5">
        <v>0</v>
      </c>
      <c r="I284" s="6"/>
      <c r="J284" s="5">
        <v>0</v>
      </c>
      <c r="K284" s="6"/>
      <c r="L284" s="5">
        <v>0</v>
      </c>
      <c r="M284" s="6"/>
      <c r="N284" s="5">
        <v>15000</v>
      </c>
      <c r="O284" s="6"/>
      <c r="P284" s="5">
        <f t="shared" si="53"/>
        <v>-15000</v>
      </c>
      <c r="Q284" s="6"/>
      <c r="R284" s="7">
        <f t="shared" si="54"/>
        <v>0</v>
      </c>
      <c r="S284" s="5"/>
      <c r="T284" s="7"/>
      <c r="U284" s="7"/>
      <c r="V284" s="7"/>
      <c r="W284" s="7"/>
      <c r="X284" s="23">
        <v>15000</v>
      </c>
      <c r="Y284" s="6"/>
      <c r="Z284" s="5">
        <f t="shared" si="55"/>
        <v>0</v>
      </c>
      <c r="AA284" s="6"/>
      <c r="AB284" s="7">
        <f t="shared" si="56"/>
        <v>0</v>
      </c>
    </row>
    <row r="285" spans="1:28" x14ac:dyDescent="0.3">
      <c r="A285" s="2"/>
      <c r="B285" s="2"/>
      <c r="C285" s="2"/>
      <c r="D285" s="2"/>
      <c r="E285" s="2" t="s">
        <v>231</v>
      </c>
      <c r="F285" s="2"/>
      <c r="G285" s="6"/>
      <c r="H285" s="5">
        <v>8032.99</v>
      </c>
      <c r="I285" s="6"/>
      <c r="J285" s="5">
        <v>4529.17</v>
      </c>
      <c r="K285" s="6"/>
      <c r="L285" s="5">
        <v>1008.03</v>
      </c>
      <c r="M285" s="6"/>
      <c r="N285" s="5">
        <v>7500</v>
      </c>
      <c r="O285" s="6"/>
      <c r="P285" s="5">
        <f t="shared" si="53"/>
        <v>-6491.97</v>
      </c>
      <c r="Q285" s="6"/>
      <c r="R285" s="7">
        <f t="shared" si="54"/>
        <v>0.13439999999999999</v>
      </c>
      <c r="S285" s="5"/>
      <c r="T285" s="7"/>
      <c r="U285" s="7"/>
      <c r="V285" s="7"/>
      <c r="W285" s="7"/>
      <c r="X285" s="23">
        <v>7500</v>
      </c>
      <c r="Y285" s="6"/>
      <c r="Z285" s="5">
        <f t="shared" si="55"/>
        <v>0</v>
      </c>
      <c r="AA285" s="6"/>
      <c r="AB285" s="7">
        <f t="shared" si="56"/>
        <v>0</v>
      </c>
    </row>
    <row r="286" spans="1:28" x14ac:dyDescent="0.3">
      <c r="A286" s="2"/>
      <c r="B286" s="2"/>
      <c r="C286" s="2"/>
      <c r="D286" s="2"/>
      <c r="E286" s="2" t="s">
        <v>232</v>
      </c>
      <c r="F286" s="2"/>
      <c r="G286" s="6"/>
      <c r="H286" s="5">
        <v>4790.1099999999997</v>
      </c>
      <c r="I286" s="6"/>
      <c r="J286" s="5">
        <v>4686.2</v>
      </c>
      <c r="K286" s="6"/>
      <c r="L286" s="5">
        <v>4220.95</v>
      </c>
      <c r="M286" s="6"/>
      <c r="N286" s="5">
        <v>5000</v>
      </c>
      <c r="O286" s="6"/>
      <c r="P286" s="5">
        <f t="shared" si="53"/>
        <v>-779.05</v>
      </c>
      <c r="Q286" s="6"/>
      <c r="R286" s="7">
        <f t="shared" si="54"/>
        <v>0.84419</v>
      </c>
      <c r="S286" s="5"/>
      <c r="T286" s="7"/>
      <c r="U286" s="7"/>
      <c r="V286" s="7"/>
      <c r="W286" s="7"/>
      <c r="X286" s="23">
        <v>5000</v>
      </c>
      <c r="Y286" s="6"/>
      <c r="Z286" s="5">
        <f t="shared" si="55"/>
        <v>0</v>
      </c>
      <c r="AA286" s="6"/>
      <c r="AB286" s="7">
        <f t="shared" si="56"/>
        <v>0</v>
      </c>
    </row>
    <row r="287" spans="1:28" x14ac:dyDescent="0.3">
      <c r="A287" s="2"/>
      <c r="B287" s="2"/>
      <c r="C287" s="2"/>
      <c r="D287" s="2"/>
      <c r="E287" s="2" t="s">
        <v>233</v>
      </c>
      <c r="F287" s="2"/>
      <c r="G287" s="6"/>
      <c r="H287" s="5">
        <v>7490</v>
      </c>
      <c r="I287" s="6"/>
      <c r="J287" s="5">
        <v>14486.08</v>
      </c>
      <c r="K287" s="6"/>
      <c r="L287" s="5">
        <v>900</v>
      </c>
      <c r="M287" s="6"/>
      <c r="N287" s="5">
        <v>20475</v>
      </c>
      <c r="O287" s="6"/>
      <c r="P287" s="5">
        <f t="shared" si="53"/>
        <v>-19575</v>
      </c>
      <c r="Q287" s="6"/>
      <c r="R287" s="7">
        <f t="shared" si="54"/>
        <v>4.3959999999999999E-2</v>
      </c>
      <c r="S287" s="5"/>
      <c r="T287" s="7"/>
      <c r="U287" s="7"/>
      <c r="V287" s="7"/>
      <c r="W287" s="7"/>
      <c r="X287" s="23">
        <v>20475</v>
      </c>
      <c r="Y287" s="6"/>
      <c r="Z287" s="5">
        <f t="shared" si="55"/>
        <v>0</v>
      </c>
      <c r="AA287" s="6"/>
      <c r="AB287" s="7">
        <f t="shared" si="56"/>
        <v>0</v>
      </c>
    </row>
    <row r="288" spans="1:28" x14ac:dyDescent="0.3">
      <c r="A288" s="2"/>
      <c r="B288" s="2"/>
      <c r="C288" s="2"/>
      <c r="D288" s="2"/>
      <c r="E288" s="2" t="s">
        <v>234</v>
      </c>
      <c r="F288" s="2"/>
      <c r="G288" s="6"/>
      <c r="H288" s="5">
        <v>41670.050000000003</v>
      </c>
      <c r="I288" s="6"/>
      <c r="J288" s="5">
        <v>45437.14</v>
      </c>
      <c r="K288" s="6"/>
      <c r="L288" s="5">
        <v>81783.86</v>
      </c>
      <c r="M288" s="6"/>
      <c r="N288" s="5">
        <v>80000</v>
      </c>
      <c r="O288" s="6"/>
      <c r="P288" s="5">
        <f t="shared" si="53"/>
        <v>1783.86</v>
      </c>
      <c r="Q288" s="6"/>
      <c r="R288" s="7">
        <f t="shared" si="54"/>
        <v>1.0223</v>
      </c>
      <c r="S288" s="5"/>
      <c r="T288" s="7"/>
      <c r="U288" s="7"/>
      <c r="V288" s="7"/>
      <c r="W288" s="7"/>
      <c r="X288" s="23">
        <v>80000</v>
      </c>
      <c r="Y288" s="6"/>
      <c r="Z288" s="5">
        <f t="shared" si="55"/>
        <v>0</v>
      </c>
      <c r="AA288" s="6"/>
      <c r="AB288" s="7">
        <f t="shared" si="56"/>
        <v>0</v>
      </c>
    </row>
    <row r="289" spans="1:29" ht="15" thickBot="1" x14ac:dyDescent="0.35">
      <c r="A289" s="2"/>
      <c r="B289" s="2"/>
      <c r="C289" s="2"/>
      <c r="D289" s="2"/>
      <c r="E289" s="2" t="s">
        <v>235</v>
      </c>
      <c r="F289" s="2"/>
      <c r="G289" s="6"/>
      <c r="H289" s="8">
        <v>436.28</v>
      </c>
      <c r="I289" s="6"/>
      <c r="J289" s="8">
        <v>286.44</v>
      </c>
      <c r="K289" s="6"/>
      <c r="L289" s="8">
        <v>3266.48</v>
      </c>
      <c r="M289" s="6"/>
      <c r="N289" s="8">
        <v>2500</v>
      </c>
      <c r="O289" s="6"/>
      <c r="P289" s="8">
        <f t="shared" si="53"/>
        <v>766.48</v>
      </c>
      <c r="Q289" s="6"/>
      <c r="R289" s="9">
        <f t="shared" si="54"/>
        <v>1.3065899999999999</v>
      </c>
      <c r="S289" s="8"/>
      <c r="T289" s="7"/>
      <c r="U289" s="7"/>
      <c r="V289" s="7"/>
      <c r="W289" s="7"/>
      <c r="X289" s="24">
        <v>2500</v>
      </c>
      <c r="Y289" s="6"/>
      <c r="Z289" s="8">
        <f t="shared" si="55"/>
        <v>0</v>
      </c>
      <c r="AA289" s="6"/>
      <c r="AB289" s="9">
        <f t="shared" si="56"/>
        <v>0</v>
      </c>
    </row>
    <row r="290" spans="1:29" x14ac:dyDescent="0.3">
      <c r="A290" s="2"/>
      <c r="B290" s="2"/>
      <c r="C290" s="2"/>
      <c r="D290" s="2" t="s">
        <v>236</v>
      </c>
      <c r="E290" s="2"/>
      <c r="F290" s="2"/>
      <c r="G290" s="6"/>
      <c r="H290" s="5">
        <f>ROUND(SUM(H240:H289),5)</f>
        <v>1386133.64</v>
      </c>
      <c r="I290" s="6"/>
      <c r="J290" s="5">
        <f>ROUND(SUM(J240:J289),5)</f>
        <v>1247424.32</v>
      </c>
      <c r="K290" s="6"/>
      <c r="L290" s="5">
        <f>ROUND(SUM(L240:L289),5)</f>
        <v>1105557.29</v>
      </c>
      <c r="M290" s="6"/>
      <c r="N290" s="5">
        <f>ROUND(SUM(N240:N289),5)</f>
        <v>1576771.64</v>
      </c>
      <c r="O290" s="6"/>
      <c r="P290" s="5">
        <f t="shared" si="53"/>
        <v>-471214.35</v>
      </c>
      <c r="Q290" s="6"/>
      <c r="R290" s="7">
        <f t="shared" si="54"/>
        <v>0.70115000000000005</v>
      </c>
      <c r="S290" s="5">
        <f>P290*-1</f>
        <v>471214.35</v>
      </c>
      <c r="T290" s="7"/>
      <c r="U290" s="7"/>
      <c r="V290" s="7"/>
      <c r="W290" s="7"/>
      <c r="X290" s="23">
        <f>ROUND(SUM(X240:X289),5)</f>
        <v>1847919.98092</v>
      </c>
      <c r="Y290" s="6"/>
      <c r="Z290" s="5">
        <f t="shared" si="55"/>
        <v>271148.3409200001</v>
      </c>
      <c r="AA290" s="6"/>
      <c r="AB290" s="7">
        <f t="shared" si="56"/>
        <v>0.17196424265976784</v>
      </c>
      <c r="AC290" s="60">
        <f>X290+X239</f>
        <v>1884419.98092</v>
      </c>
    </row>
    <row r="291" spans="1:29" x14ac:dyDescent="0.3">
      <c r="A291" s="2"/>
      <c r="B291" s="2"/>
      <c r="C291" s="2"/>
      <c r="D291" s="2" t="s">
        <v>237</v>
      </c>
      <c r="E291" s="2"/>
      <c r="F291" s="2"/>
      <c r="G291" s="6"/>
      <c r="H291" s="5"/>
      <c r="I291" s="6"/>
      <c r="J291" s="5"/>
      <c r="K291" s="6"/>
      <c r="L291" s="5"/>
      <c r="M291" s="6"/>
      <c r="N291" s="5"/>
      <c r="O291" s="6"/>
      <c r="P291" s="5"/>
      <c r="Q291" s="6"/>
      <c r="R291" s="7"/>
      <c r="S291" s="5"/>
      <c r="T291" s="7"/>
      <c r="U291" s="7"/>
      <c r="V291" s="7"/>
      <c r="W291" s="7"/>
      <c r="X291" s="23"/>
      <c r="Y291" s="6"/>
      <c r="Z291" s="5"/>
      <c r="AA291" s="6"/>
      <c r="AB291" s="7"/>
    </row>
    <row r="292" spans="1:29" x14ac:dyDescent="0.3">
      <c r="A292" s="2"/>
      <c r="B292" s="2"/>
      <c r="C292" s="2"/>
      <c r="D292" s="2"/>
      <c r="E292" s="2" t="s">
        <v>238</v>
      </c>
      <c r="F292" s="2"/>
      <c r="G292" s="6"/>
      <c r="H292" s="5">
        <v>945.6</v>
      </c>
      <c r="I292" s="6"/>
      <c r="J292" s="5">
        <v>729.69</v>
      </c>
      <c r="K292" s="6"/>
      <c r="L292" s="5">
        <v>863.58</v>
      </c>
      <c r="M292" s="6"/>
      <c r="N292" s="5">
        <v>1000</v>
      </c>
      <c r="O292" s="6"/>
      <c r="P292" s="5">
        <f t="shared" ref="P292:P321" si="57">ROUND((L292-N292),5)</f>
        <v>-136.41999999999999</v>
      </c>
      <c r="Q292" s="6"/>
      <c r="R292" s="7">
        <f t="shared" ref="R292:R321" si="58">ROUND(IF(N292=0, IF(L292=0, 0, 1), L292/N292),5)</f>
        <v>0.86358000000000001</v>
      </c>
      <c r="S292" s="5"/>
      <c r="T292" s="7"/>
      <c r="U292" s="7"/>
      <c r="V292" s="7"/>
      <c r="W292" s="7"/>
      <c r="X292" s="23">
        <v>1000</v>
      </c>
      <c r="Y292" s="6"/>
      <c r="Z292" s="5">
        <f>X292-N292</f>
        <v>0</v>
      </c>
      <c r="AA292" s="6"/>
      <c r="AB292" s="7">
        <f>Z292/N292</f>
        <v>0</v>
      </c>
    </row>
    <row r="293" spans="1:29" x14ac:dyDescent="0.3">
      <c r="A293" s="2"/>
      <c r="B293" s="2"/>
      <c r="C293" s="2"/>
      <c r="D293" s="2"/>
      <c r="E293" s="34" t="s">
        <v>239</v>
      </c>
      <c r="F293" s="34"/>
      <c r="G293" s="6"/>
      <c r="H293" s="5">
        <v>95672.5</v>
      </c>
      <c r="I293" s="6"/>
      <c r="J293" s="5">
        <v>132872</v>
      </c>
      <c r="K293" s="6"/>
      <c r="L293" s="5">
        <v>139575.25</v>
      </c>
      <c r="M293" s="6"/>
      <c r="N293" s="5">
        <v>145780</v>
      </c>
      <c r="O293" s="6"/>
      <c r="P293" s="5">
        <f t="shared" si="57"/>
        <v>-6204.75</v>
      </c>
      <c r="Q293" s="6"/>
      <c r="R293" s="7">
        <f t="shared" si="58"/>
        <v>0.95743999999999996</v>
      </c>
      <c r="S293" s="5"/>
      <c r="T293" s="7"/>
      <c r="U293" s="7"/>
      <c r="V293" s="7"/>
      <c r="W293" s="7"/>
      <c r="X293" s="23">
        <f>SUM(W294:W304)</f>
        <v>198938.96000000002</v>
      </c>
      <c r="Y293" s="6"/>
      <c r="Z293" s="5">
        <f>X293-N293</f>
        <v>53158.960000000021</v>
      </c>
      <c r="AA293" s="6"/>
      <c r="AB293" s="7">
        <f>Z293/N293</f>
        <v>0.36465194128138306</v>
      </c>
    </row>
    <row r="294" spans="1:29" x14ac:dyDescent="0.3">
      <c r="A294" s="2"/>
      <c r="B294" s="2"/>
      <c r="C294" s="2"/>
      <c r="D294" s="2"/>
      <c r="E294" s="2"/>
      <c r="F294" s="2"/>
      <c r="G294" s="6"/>
      <c r="H294" s="5"/>
      <c r="I294" s="6"/>
      <c r="J294" s="5"/>
      <c r="K294" s="6"/>
      <c r="L294" s="5"/>
      <c r="M294" s="6"/>
      <c r="N294" s="5"/>
      <c r="O294" s="6"/>
      <c r="P294" s="5"/>
      <c r="Q294" s="6"/>
      <c r="R294" s="7"/>
      <c r="S294" s="5"/>
      <c r="T294" s="7"/>
      <c r="U294" s="36" t="s">
        <v>302</v>
      </c>
      <c r="V294" s="36"/>
      <c r="W294" s="23">
        <f>28.97*0.8*(2080/2)+(28.97*0.9*2080/2)</f>
        <v>51218.960000000006</v>
      </c>
      <c r="X294" s="23"/>
      <c r="Y294" s="6"/>
      <c r="Z294" s="5"/>
      <c r="AA294" s="6"/>
      <c r="AB294" s="7"/>
    </row>
    <row r="295" spans="1:29" x14ac:dyDescent="0.3">
      <c r="A295" s="2"/>
      <c r="B295" s="2"/>
      <c r="C295" s="2"/>
      <c r="D295" s="2"/>
      <c r="E295" s="2"/>
      <c r="F295" s="2"/>
      <c r="G295" s="6"/>
      <c r="H295" s="5"/>
      <c r="I295" s="6"/>
      <c r="J295" s="5"/>
      <c r="K295" s="6"/>
      <c r="L295" s="5"/>
      <c r="M295" s="6"/>
      <c r="N295" s="5"/>
      <c r="O295" s="6"/>
      <c r="P295" s="5"/>
      <c r="Q295" s="6"/>
      <c r="R295" s="7"/>
      <c r="S295" s="5"/>
      <c r="T295" s="7"/>
      <c r="U295" s="32" t="s">
        <v>304</v>
      </c>
      <c r="V295" s="5">
        <v>1560</v>
      </c>
      <c r="W295" s="5">
        <f>V295*19</f>
        <v>29640</v>
      </c>
      <c r="X295" s="23"/>
      <c r="Y295" s="6"/>
      <c r="Z295" s="5"/>
      <c r="AA295" s="6"/>
      <c r="AB295" s="7"/>
    </row>
    <row r="296" spans="1:29" x14ac:dyDescent="0.3">
      <c r="A296" s="2"/>
      <c r="B296" s="2"/>
      <c r="C296" s="2"/>
      <c r="D296" s="2"/>
      <c r="E296" s="2"/>
      <c r="F296" s="2"/>
      <c r="G296" s="6"/>
      <c r="H296" s="5"/>
      <c r="I296" s="6"/>
      <c r="J296" s="5"/>
      <c r="K296" s="6"/>
      <c r="L296" s="5"/>
      <c r="M296" s="6"/>
      <c r="N296" s="5"/>
      <c r="O296" s="6"/>
      <c r="P296" s="5"/>
      <c r="R296" s="7"/>
      <c r="S296" s="5"/>
      <c r="T296" s="29" t="s">
        <v>303</v>
      </c>
      <c r="U296" s="32" t="s">
        <v>305</v>
      </c>
      <c r="V296" s="5">
        <f>32*35</f>
        <v>1120</v>
      </c>
      <c r="W296" s="5">
        <f>V296*18</f>
        <v>20160</v>
      </c>
      <c r="X296" s="23"/>
      <c r="Y296" s="6"/>
      <c r="Z296" s="5"/>
      <c r="AA296" s="6"/>
      <c r="AB296" s="7"/>
    </row>
    <row r="297" spans="1:29" x14ac:dyDescent="0.3">
      <c r="A297" s="2"/>
      <c r="B297" s="2"/>
      <c r="C297" s="2"/>
      <c r="D297" s="2"/>
      <c r="E297" s="2"/>
      <c r="F297" s="2"/>
      <c r="G297" s="6"/>
      <c r="H297" s="5"/>
      <c r="I297" s="6"/>
      <c r="J297" s="5"/>
      <c r="K297" s="6"/>
      <c r="L297" s="5"/>
      <c r="M297" s="6"/>
      <c r="N297" s="5"/>
      <c r="O297" s="6"/>
      <c r="P297" s="5"/>
      <c r="R297" s="7"/>
      <c r="S297" s="5"/>
      <c r="T297" s="29" t="s">
        <v>303</v>
      </c>
      <c r="U297" s="32" t="s">
        <v>306</v>
      </c>
      <c r="V297" s="5">
        <f>32*35</f>
        <v>1120</v>
      </c>
      <c r="W297" s="5">
        <f t="shared" ref="W297:W300" si="59">V297*18</f>
        <v>20160</v>
      </c>
      <c r="X297" s="23"/>
      <c r="Y297" s="6"/>
      <c r="Z297" s="5"/>
      <c r="AA297" s="6"/>
      <c r="AB297" s="7"/>
    </row>
    <row r="298" spans="1:29" x14ac:dyDescent="0.3">
      <c r="A298" s="2"/>
      <c r="B298" s="2"/>
      <c r="C298" s="2"/>
      <c r="D298" s="2"/>
      <c r="E298" s="2"/>
      <c r="F298" s="2"/>
      <c r="G298" s="6"/>
      <c r="H298" s="5"/>
      <c r="I298" s="6"/>
      <c r="J298" s="5"/>
      <c r="K298" s="6"/>
      <c r="L298" s="5"/>
      <c r="M298" s="6"/>
      <c r="N298" s="5"/>
      <c r="O298" s="6"/>
      <c r="P298" s="5"/>
      <c r="R298" s="7"/>
      <c r="S298" s="5"/>
      <c r="T298" s="29" t="s">
        <v>303</v>
      </c>
      <c r="U298" s="32" t="s">
        <v>307</v>
      </c>
      <c r="V298" s="5">
        <f>32*35</f>
        <v>1120</v>
      </c>
      <c r="W298" s="5">
        <f t="shared" si="59"/>
        <v>20160</v>
      </c>
      <c r="X298" s="23"/>
      <c r="Y298" s="6"/>
      <c r="Z298" s="5"/>
      <c r="AA298" s="6"/>
      <c r="AB298" s="7"/>
    </row>
    <row r="299" spans="1:29" x14ac:dyDescent="0.3">
      <c r="A299" s="2"/>
      <c r="B299" s="2"/>
      <c r="C299" s="2"/>
      <c r="D299" s="2"/>
      <c r="E299" s="2"/>
      <c r="F299" s="2"/>
      <c r="G299" s="6"/>
      <c r="H299" s="5"/>
      <c r="I299" s="6"/>
      <c r="J299" s="5"/>
      <c r="K299" s="6"/>
      <c r="L299" s="5"/>
      <c r="M299" s="6"/>
      <c r="R299" s="7"/>
      <c r="T299" s="29" t="s">
        <v>303</v>
      </c>
      <c r="U299" s="32" t="s">
        <v>308</v>
      </c>
      <c r="V299" s="5">
        <f>32*35</f>
        <v>1120</v>
      </c>
      <c r="W299" s="5">
        <f t="shared" si="59"/>
        <v>20160</v>
      </c>
      <c r="X299" s="23"/>
      <c r="Y299" s="6"/>
      <c r="Z299" s="5"/>
      <c r="AA299" s="6"/>
      <c r="AB299" s="7"/>
    </row>
    <row r="300" spans="1:29" x14ac:dyDescent="0.3">
      <c r="A300" s="2"/>
      <c r="B300" s="2"/>
      <c r="C300" s="2"/>
      <c r="D300" s="2"/>
      <c r="E300" s="2"/>
      <c r="F300" s="2"/>
      <c r="G300" s="6"/>
      <c r="H300" s="5"/>
      <c r="I300" s="6"/>
      <c r="J300" s="5"/>
      <c r="K300" s="6"/>
      <c r="L300" s="5"/>
      <c r="M300" s="6"/>
      <c r="N300" s="5"/>
      <c r="O300" s="6"/>
      <c r="P300" s="5"/>
      <c r="R300" s="7"/>
      <c r="S300" s="5"/>
      <c r="T300" s="29" t="s">
        <v>303</v>
      </c>
      <c r="U300" s="32" t="s">
        <v>309</v>
      </c>
      <c r="V300" s="5">
        <f>32*35</f>
        <v>1120</v>
      </c>
      <c r="W300" s="5">
        <f t="shared" si="59"/>
        <v>20160</v>
      </c>
      <c r="X300" s="23"/>
      <c r="Y300" s="6"/>
      <c r="Z300" s="5"/>
      <c r="AA300" s="6"/>
      <c r="AB300" s="7"/>
    </row>
    <row r="301" spans="1:29" x14ac:dyDescent="0.3">
      <c r="A301" s="2"/>
      <c r="B301" s="2"/>
      <c r="C301" s="2"/>
      <c r="D301" s="2"/>
      <c r="E301" s="2"/>
      <c r="F301" s="2"/>
      <c r="G301" s="6"/>
      <c r="H301" s="5"/>
      <c r="I301" s="6"/>
      <c r="J301" s="5"/>
      <c r="K301" s="6"/>
      <c r="M301" s="6"/>
      <c r="N301" s="5"/>
      <c r="O301" s="6"/>
      <c r="P301" s="5"/>
      <c r="R301" s="6"/>
      <c r="S301" s="23"/>
      <c r="T301" s="30" t="s">
        <v>314</v>
      </c>
      <c r="U301" s="36" t="s">
        <v>310</v>
      </c>
      <c r="V301" s="23">
        <f>4.5*4*16</f>
        <v>288</v>
      </c>
      <c r="W301" s="23">
        <f>V301*15</f>
        <v>4320</v>
      </c>
      <c r="X301" s="23"/>
      <c r="Y301" s="6"/>
      <c r="Z301" s="5"/>
      <c r="AA301" s="6"/>
      <c r="AB301" s="7"/>
    </row>
    <row r="302" spans="1:29" x14ac:dyDescent="0.3">
      <c r="J302" s="32"/>
      <c r="P302" s="29"/>
      <c r="S302" s="30"/>
      <c r="T302" s="30" t="s">
        <v>314</v>
      </c>
      <c r="U302" s="36" t="s">
        <v>311</v>
      </c>
      <c r="V302" s="23">
        <f t="shared" ref="V302:V304" si="60">4.5*4*16</f>
        <v>288</v>
      </c>
      <c r="W302" s="23">
        <f t="shared" ref="W302" si="61">V302*15</f>
        <v>4320</v>
      </c>
      <c r="X302" s="23"/>
    </row>
    <row r="303" spans="1:29" x14ac:dyDescent="0.3">
      <c r="J303" s="32"/>
      <c r="N303" s="5"/>
      <c r="O303" s="6"/>
      <c r="P303" s="5"/>
      <c r="R303" s="7"/>
      <c r="S303" s="23"/>
      <c r="T303" s="30" t="s">
        <v>314</v>
      </c>
      <c r="U303" s="36" t="s">
        <v>312</v>
      </c>
      <c r="V303" s="23">
        <f t="shared" si="60"/>
        <v>288</v>
      </c>
      <c r="W303" s="23">
        <f>V303*15</f>
        <v>4320</v>
      </c>
      <c r="X303" s="23"/>
    </row>
    <row r="304" spans="1:29" x14ac:dyDescent="0.3">
      <c r="A304" s="2"/>
      <c r="B304" s="2"/>
      <c r="C304" s="2"/>
      <c r="D304" s="2"/>
      <c r="F304" s="2"/>
      <c r="G304" s="6"/>
      <c r="H304" s="5"/>
      <c r="I304" s="6"/>
      <c r="J304" s="5"/>
      <c r="K304" s="6"/>
      <c r="L304" s="5"/>
      <c r="M304" s="6"/>
      <c r="N304" s="5"/>
      <c r="O304" s="6"/>
      <c r="P304" s="5"/>
      <c r="R304" s="7"/>
      <c r="S304" s="23"/>
      <c r="T304" s="30" t="s">
        <v>314</v>
      </c>
      <c r="U304" s="36" t="s">
        <v>313</v>
      </c>
      <c r="V304" s="23">
        <f t="shared" si="60"/>
        <v>288</v>
      </c>
      <c r="W304" s="23">
        <f>V304*15</f>
        <v>4320</v>
      </c>
      <c r="X304" s="23"/>
      <c r="Y304" s="6"/>
      <c r="Z304" s="5"/>
      <c r="AA304" s="6"/>
      <c r="AB304" s="7"/>
    </row>
    <row r="305" spans="1:30" x14ac:dyDescent="0.3">
      <c r="A305" s="2"/>
      <c r="B305" s="2"/>
      <c r="C305" s="2"/>
      <c r="D305" s="2"/>
      <c r="E305" s="2" t="s">
        <v>298</v>
      </c>
      <c r="F305" s="2"/>
      <c r="G305" s="6"/>
      <c r="H305" s="5"/>
      <c r="I305" s="6"/>
      <c r="J305" s="5"/>
      <c r="K305" s="6"/>
      <c r="L305" s="5"/>
      <c r="M305" s="6"/>
      <c r="N305" s="5"/>
      <c r="O305" s="6"/>
      <c r="P305" s="5"/>
      <c r="Q305" s="29"/>
      <c r="R305" s="7"/>
      <c r="S305" s="5"/>
      <c r="T305" s="7"/>
      <c r="U305" s="32"/>
      <c r="V305" s="5"/>
      <c r="W305" s="5"/>
      <c r="X305" s="23">
        <v>3000</v>
      </c>
      <c r="Y305" s="6"/>
      <c r="Z305" s="5"/>
      <c r="AA305" s="6"/>
      <c r="AB305" s="7"/>
    </row>
    <row r="306" spans="1:30" x14ac:dyDescent="0.3">
      <c r="A306" s="2"/>
      <c r="B306" s="2"/>
      <c r="C306" s="2"/>
      <c r="D306" s="2"/>
      <c r="E306" s="2" t="s">
        <v>240</v>
      </c>
      <c r="F306" s="2"/>
      <c r="G306" s="6"/>
      <c r="H306" s="5">
        <v>7319</v>
      </c>
      <c r="I306" s="6"/>
      <c r="J306" s="5">
        <v>10164.76</v>
      </c>
      <c r="K306" s="6"/>
      <c r="L306" s="5">
        <v>10677.49</v>
      </c>
      <c r="M306" s="6"/>
      <c r="N306" s="5">
        <v>11152.17</v>
      </c>
      <c r="O306" s="6"/>
      <c r="P306" s="5">
        <f>ROUND((L306-N306),5)</f>
        <v>-474.68</v>
      </c>
      <c r="Q306" s="6"/>
      <c r="R306" s="7">
        <f>ROUND(IF(N306=0, IF(L306=0, 0, 1), L306/N306),5)</f>
        <v>0.95743999999999996</v>
      </c>
      <c r="S306" s="5"/>
      <c r="T306" s="7"/>
      <c r="U306" s="7"/>
      <c r="V306" s="7"/>
      <c r="W306" s="7"/>
      <c r="X306" s="23">
        <f>(X293+X305)*0.0765</f>
        <v>15448.330440000002</v>
      </c>
      <c r="Y306" s="6"/>
      <c r="Z306" s="5">
        <f>X306-N306</f>
        <v>4296.1604400000015</v>
      </c>
      <c r="AA306" s="6"/>
      <c r="AB306" s="7">
        <f>Z306/N306</f>
        <v>0.38523089587048992</v>
      </c>
    </row>
    <row r="307" spans="1:30" x14ac:dyDescent="0.3">
      <c r="A307" s="2"/>
      <c r="B307" s="2"/>
      <c r="C307" s="2"/>
      <c r="D307" s="2"/>
      <c r="E307" s="34" t="s">
        <v>299</v>
      </c>
      <c r="F307" s="34"/>
      <c r="G307" s="6"/>
      <c r="H307" s="5"/>
      <c r="I307" s="6"/>
      <c r="J307" s="5"/>
      <c r="K307" s="6"/>
      <c r="L307" s="5"/>
      <c r="M307" s="6"/>
      <c r="N307" s="5"/>
      <c r="O307" s="6"/>
      <c r="P307" s="5"/>
      <c r="Q307" s="6"/>
      <c r="R307" s="7"/>
      <c r="S307" s="5"/>
      <c r="T307" s="7"/>
      <c r="U307" s="7"/>
      <c r="V307" s="7"/>
      <c r="W307" s="7"/>
      <c r="X307" s="23">
        <v>29000</v>
      </c>
      <c r="Y307" s="6"/>
      <c r="Z307" s="5"/>
      <c r="AA307" s="6"/>
      <c r="AB307" s="7"/>
    </row>
    <row r="308" spans="1:30" x14ac:dyDescent="0.3">
      <c r="A308" s="2"/>
      <c r="B308" s="2"/>
      <c r="C308" s="2"/>
      <c r="D308" s="2"/>
      <c r="E308" s="34" t="s">
        <v>300</v>
      </c>
      <c r="F308" s="34"/>
      <c r="G308" s="6"/>
      <c r="H308" s="5"/>
      <c r="I308" s="6"/>
      <c r="J308" s="5"/>
      <c r="K308" s="6"/>
      <c r="L308" s="5"/>
      <c r="M308" s="6"/>
      <c r="N308" s="5"/>
      <c r="O308" s="6"/>
      <c r="P308" s="5"/>
      <c r="Q308" s="6"/>
      <c r="R308" s="7"/>
      <c r="S308" s="5"/>
      <c r="T308" s="7"/>
      <c r="U308" s="7"/>
      <c r="V308" s="7"/>
      <c r="W308" s="7"/>
      <c r="X308" s="23">
        <f>(W294+X305)*0.09</f>
        <v>4879.7064</v>
      </c>
      <c r="Y308" s="6"/>
      <c r="Z308" s="5"/>
      <c r="AA308" s="6"/>
      <c r="AB308" s="7"/>
    </row>
    <row r="309" spans="1:30" x14ac:dyDescent="0.3">
      <c r="A309" s="2"/>
      <c r="B309" s="2"/>
      <c r="C309" s="2"/>
      <c r="D309" s="2"/>
      <c r="E309" s="34" t="s">
        <v>301</v>
      </c>
      <c r="F309" s="34"/>
      <c r="G309" s="6"/>
      <c r="H309" s="5"/>
      <c r="I309" s="6"/>
      <c r="J309" s="5"/>
      <c r="K309" s="6"/>
      <c r="L309" s="5"/>
      <c r="M309" s="6"/>
      <c r="N309" s="5"/>
      <c r="O309" s="6"/>
      <c r="P309" s="5"/>
      <c r="Q309" s="6"/>
      <c r="R309" s="7"/>
      <c r="S309" s="5"/>
      <c r="T309" s="7"/>
      <c r="U309" s="7"/>
      <c r="V309" s="7"/>
      <c r="W309" s="7"/>
      <c r="X309" s="23">
        <f>82*12*1</f>
        <v>984</v>
      </c>
      <c r="Y309" s="6"/>
      <c r="Z309" s="5"/>
      <c r="AA309" s="6"/>
      <c r="AB309" s="7"/>
    </row>
    <row r="310" spans="1:30" x14ac:dyDescent="0.3">
      <c r="A310" s="2"/>
      <c r="B310" s="2"/>
      <c r="C310" s="2"/>
      <c r="D310" s="2"/>
      <c r="E310" s="2" t="s">
        <v>241</v>
      </c>
      <c r="F310" s="2"/>
      <c r="G310" s="6"/>
      <c r="H310" s="5">
        <v>5676.6</v>
      </c>
      <c r="I310" s="6"/>
      <c r="J310" s="5">
        <v>6864.87</v>
      </c>
      <c r="K310" s="6"/>
      <c r="L310" s="5">
        <v>12434.53</v>
      </c>
      <c r="M310" s="6"/>
      <c r="N310" s="5">
        <v>7000</v>
      </c>
      <c r="O310" s="6"/>
      <c r="P310" s="5">
        <f t="shared" si="57"/>
        <v>5434.53</v>
      </c>
      <c r="Q310" s="6"/>
      <c r="R310" s="7">
        <f t="shared" si="58"/>
        <v>1.7763599999999999</v>
      </c>
      <c r="S310" s="5"/>
      <c r="T310" s="7"/>
      <c r="U310" s="7"/>
      <c r="V310" s="7"/>
      <c r="W310" s="7"/>
      <c r="X310" s="23">
        <v>7000</v>
      </c>
      <c r="Y310" s="6"/>
      <c r="Z310" s="5">
        <f t="shared" ref="Z310:Z324" si="62">X310-N310</f>
        <v>0</v>
      </c>
      <c r="AA310" s="6"/>
      <c r="AB310" s="7">
        <f t="shared" ref="AB310:AB322" si="63">Z310/N310</f>
        <v>0</v>
      </c>
    </row>
    <row r="311" spans="1:30" x14ac:dyDescent="0.3">
      <c r="A311" s="2"/>
      <c r="B311" s="2"/>
      <c r="C311" s="2"/>
      <c r="D311" s="2"/>
      <c r="E311" s="2" t="s">
        <v>242</v>
      </c>
      <c r="F311" s="2"/>
      <c r="G311" s="6"/>
      <c r="H311" s="5">
        <v>4679.6099999999997</v>
      </c>
      <c r="I311" s="6"/>
      <c r="J311" s="5">
        <v>2287.94</v>
      </c>
      <c r="K311" s="6"/>
      <c r="L311" s="5">
        <v>2786.38</v>
      </c>
      <c r="M311" s="6"/>
      <c r="N311" s="5">
        <v>6000</v>
      </c>
      <c r="O311" s="6"/>
      <c r="P311" s="5">
        <f t="shared" si="57"/>
        <v>-3213.62</v>
      </c>
      <c r="Q311" s="6"/>
      <c r="R311" s="7">
        <f t="shared" si="58"/>
        <v>0.46439999999999998</v>
      </c>
      <c r="S311" s="5"/>
      <c r="T311" s="7"/>
      <c r="U311" s="7"/>
      <c r="V311" s="7"/>
      <c r="W311" s="7"/>
      <c r="X311" s="23">
        <v>6000</v>
      </c>
      <c r="Y311" s="6"/>
      <c r="Z311" s="5">
        <f t="shared" si="62"/>
        <v>0</v>
      </c>
      <c r="AA311" s="6"/>
      <c r="AB311" s="7">
        <f t="shared" si="63"/>
        <v>0</v>
      </c>
    </row>
    <row r="312" spans="1:30" x14ac:dyDescent="0.3">
      <c r="A312" s="2"/>
      <c r="B312" s="2"/>
      <c r="C312" s="2"/>
      <c r="D312" s="2"/>
      <c r="E312" s="2" t="s">
        <v>243</v>
      </c>
      <c r="F312" s="2"/>
      <c r="G312" s="6"/>
      <c r="H312" s="5">
        <v>0</v>
      </c>
      <c r="I312" s="6"/>
      <c r="J312" s="5">
        <v>197.5</v>
      </c>
      <c r="K312" s="6"/>
      <c r="L312" s="5">
        <v>0</v>
      </c>
      <c r="M312" s="6"/>
      <c r="N312" s="5">
        <v>2000</v>
      </c>
      <c r="O312" s="6"/>
      <c r="P312" s="5">
        <f t="shared" si="57"/>
        <v>-2000</v>
      </c>
      <c r="Q312" s="6"/>
      <c r="R312" s="7">
        <f t="shared" si="58"/>
        <v>0</v>
      </c>
      <c r="S312" s="5"/>
      <c r="T312" s="7"/>
      <c r="U312" s="7"/>
      <c r="V312" s="7"/>
      <c r="W312" s="7"/>
      <c r="X312" s="23">
        <v>2000</v>
      </c>
      <c r="Y312" s="6"/>
      <c r="Z312" s="5">
        <f t="shared" si="62"/>
        <v>0</v>
      </c>
      <c r="AA312" s="6"/>
      <c r="AB312" s="7">
        <f t="shared" si="63"/>
        <v>0</v>
      </c>
    </row>
    <row r="313" spans="1:30" x14ac:dyDescent="0.3">
      <c r="A313" s="2"/>
      <c r="B313" s="2"/>
      <c r="C313" s="2"/>
      <c r="D313" s="2"/>
      <c r="E313" s="2" t="s">
        <v>244</v>
      </c>
      <c r="F313" s="2"/>
      <c r="G313" s="6"/>
      <c r="H313" s="5">
        <v>3433.4</v>
      </c>
      <c r="I313" s="6"/>
      <c r="J313" s="5">
        <v>3873.3</v>
      </c>
      <c r="K313" s="6"/>
      <c r="L313" s="5">
        <v>438.72</v>
      </c>
      <c r="M313" s="6"/>
      <c r="N313" s="5">
        <v>5000</v>
      </c>
      <c r="O313" s="6"/>
      <c r="P313" s="5">
        <f t="shared" si="57"/>
        <v>-4561.28</v>
      </c>
      <c r="Q313" s="6"/>
      <c r="R313" s="7">
        <f t="shared" si="58"/>
        <v>8.7739999999999999E-2</v>
      </c>
      <c r="S313" s="5"/>
      <c r="T313" s="7"/>
      <c r="U313" s="7"/>
      <c r="V313" s="7"/>
      <c r="W313" s="7"/>
      <c r="X313" s="23">
        <v>5000</v>
      </c>
      <c r="Y313" s="6"/>
      <c r="Z313" s="5">
        <f t="shared" si="62"/>
        <v>0</v>
      </c>
      <c r="AA313" s="6"/>
      <c r="AB313" s="7">
        <f t="shared" si="63"/>
        <v>0</v>
      </c>
    </row>
    <row r="314" spans="1:30" x14ac:dyDescent="0.3">
      <c r="A314" s="2"/>
      <c r="B314" s="2"/>
      <c r="C314" s="2"/>
      <c r="D314" s="2"/>
      <c r="E314" s="2" t="s">
        <v>245</v>
      </c>
      <c r="F314" s="2"/>
      <c r="G314" s="6"/>
      <c r="H314" s="5">
        <v>1795.73</v>
      </c>
      <c r="I314" s="6"/>
      <c r="J314" s="5">
        <v>684.26</v>
      </c>
      <c r="K314" s="6"/>
      <c r="L314" s="5">
        <v>868.56</v>
      </c>
      <c r="M314" s="6"/>
      <c r="N314" s="5">
        <v>1000</v>
      </c>
      <c r="O314" s="6"/>
      <c r="P314" s="5">
        <f t="shared" si="57"/>
        <v>-131.44</v>
      </c>
      <c r="Q314" s="6"/>
      <c r="R314" s="7">
        <f t="shared" si="58"/>
        <v>0.86856</v>
      </c>
      <c r="S314" s="5"/>
      <c r="T314" s="7"/>
      <c r="U314" s="7"/>
      <c r="V314" s="7"/>
      <c r="W314" s="7"/>
      <c r="X314" s="23">
        <v>1700</v>
      </c>
      <c r="Y314" s="6"/>
      <c r="Z314" s="5">
        <f t="shared" si="62"/>
        <v>700</v>
      </c>
      <c r="AA314" s="6"/>
      <c r="AB314" s="7">
        <f t="shared" si="63"/>
        <v>0.7</v>
      </c>
    </row>
    <row r="315" spans="1:30" x14ac:dyDescent="0.3">
      <c r="A315" s="2"/>
      <c r="B315" s="2"/>
      <c r="C315" s="2"/>
      <c r="D315" s="2"/>
      <c r="E315" s="2" t="s">
        <v>246</v>
      </c>
      <c r="F315" s="2"/>
      <c r="G315" s="6"/>
      <c r="H315" s="5">
        <v>1539.54</v>
      </c>
      <c r="I315" s="6"/>
      <c r="J315" s="5">
        <v>360</v>
      </c>
      <c r="K315" s="6"/>
      <c r="L315" s="5">
        <v>0</v>
      </c>
      <c r="M315" s="6"/>
      <c r="N315" s="5">
        <v>1500</v>
      </c>
      <c r="O315" s="6"/>
      <c r="P315" s="5">
        <f t="shared" si="57"/>
        <v>-1500</v>
      </c>
      <c r="Q315" s="6"/>
      <c r="R315" s="7">
        <f t="shared" si="58"/>
        <v>0</v>
      </c>
      <c r="S315" s="5"/>
      <c r="T315" s="7"/>
      <c r="U315" s="7"/>
      <c r="V315" s="7"/>
      <c r="W315" s="7"/>
      <c r="X315" s="23">
        <v>1500</v>
      </c>
      <c r="Y315" s="6"/>
      <c r="Z315" s="5">
        <f t="shared" si="62"/>
        <v>0</v>
      </c>
      <c r="AA315" s="6"/>
      <c r="AB315" s="7">
        <f t="shared" si="63"/>
        <v>0</v>
      </c>
    </row>
    <row r="316" spans="1:30" x14ac:dyDescent="0.3">
      <c r="A316" s="2"/>
      <c r="B316" s="2"/>
      <c r="C316" s="2"/>
      <c r="D316" s="2"/>
      <c r="E316" s="2" t="s">
        <v>247</v>
      </c>
      <c r="F316" s="2"/>
      <c r="G316" s="6"/>
      <c r="H316" s="5">
        <v>7118.72</v>
      </c>
      <c r="I316" s="6"/>
      <c r="J316" s="5">
        <v>9157.67</v>
      </c>
      <c r="K316" s="6"/>
      <c r="L316" s="5">
        <v>8609.0499999999993</v>
      </c>
      <c r="M316" s="6"/>
      <c r="N316" s="5">
        <v>9000</v>
      </c>
      <c r="O316" s="6"/>
      <c r="P316" s="5">
        <f t="shared" si="57"/>
        <v>-390.95</v>
      </c>
      <c r="Q316" s="6"/>
      <c r="R316" s="7">
        <f t="shared" si="58"/>
        <v>0.95655999999999997</v>
      </c>
      <c r="S316" s="5"/>
      <c r="T316" s="7"/>
      <c r="U316" s="7"/>
      <c r="V316" s="7"/>
      <c r="W316" s="7"/>
      <c r="X316" s="23">
        <v>9000</v>
      </c>
      <c r="Y316" s="6"/>
      <c r="Z316" s="5">
        <f t="shared" si="62"/>
        <v>0</v>
      </c>
      <c r="AA316" s="6"/>
      <c r="AB316" s="7">
        <f t="shared" si="63"/>
        <v>0</v>
      </c>
    </row>
    <row r="317" spans="1:30" x14ac:dyDescent="0.3">
      <c r="A317" s="2"/>
      <c r="B317" s="2"/>
      <c r="C317" s="2"/>
      <c r="D317" s="2"/>
      <c r="E317" s="2" t="s">
        <v>248</v>
      </c>
      <c r="F317" s="2"/>
      <c r="G317" s="6"/>
      <c r="H317" s="5">
        <v>9325.61</v>
      </c>
      <c r="I317" s="6"/>
      <c r="J317" s="5">
        <v>8594.59</v>
      </c>
      <c r="K317" s="6"/>
      <c r="L317" s="5">
        <v>9341.9500000000007</v>
      </c>
      <c r="M317" s="6"/>
      <c r="N317" s="5">
        <v>20000</v>
      </c>
      <c r="O317" s="6"/>
      <c r="P317" s="5">
        <f t="shared" si="57"/>
        <v>-10658.05</v>
      </c>
      <c r="Q317" s="6"/>
      <c r="R317" s="7">
        <f t="shared" si="58"/>
        <v>0.46710000000000002</v>
      </c>
      <c r="S317" s="5"/>
      <c r="T317" s="7"/>
      <c r="U317" s="7"/>
      <c r="V317" s="7"/>
      <c r="W317" s="7"/>
      <c r="X317" s="23">
        <v>20000</v>
      </c>
      <c r="Y317" s="6"/>
      <c r="Z317" s="5">
        <f t="shared" si="62"/>
        <v>0</v>
      </c>
      <c r="AA317" s="6"/>
      <c r="AB317" s="7">
        <f t="shared" si="63"/>
        <v>0</v>
      </c>
    </row>
    <row r="318" spans="1:30" x14ac:dyDescent="0.3">
      <c r="A318" s="2"/>
      <c r="B318" s="2"/>
      <c r="C318" s="2"/>
      <c r="D318" s="2"/>
      <c r="E318" s="2" t="s">
        <v>249</v>
      </c>
      <c r="F318" s="2"/>
      <c r="G318" s="6"/>
      <c r="H318" s="5">
        <v>3620.79</v>
      </c>
      <c r="I318" s="6"/>
      <c r="J318" s="5">
        <v>2683.28</v>
      </c>
      <c r="K318" s="6"/>
      <c r="L318" s="5">
        <v>1118.49</v>
      </c>
      <c r="M318" s="6"/>
      <c r="N318" s="5">
        <v>4000</v>
      </c>
      <c r="O318" s="6"/>
      <c r="P318" s="5">
        <f t="shared" si="57"/>
        <v>-2881.51</v>
      </c>
      <c r="Q318" s="6"/>
      <c r="R318" s="7">
        <f t="shared" si="58"/>
        <v>0.27961999999999998</v>
      </c>
      <c r="S318" s="5"/>
      <c r="T318" s="7"/>
      <c r="U318" s="7"/>
      <c r="V318" s="7"/>
      <c r="W318" s="7"/>
      <c r="X318" s="23">
        <v>4000</v>
      </c>
      <c r="Y318" s="6"/>
      <c r="Z318" s="5">
        <f t="shared" si="62"/>
        <v>0</v>
      </c>
      <c r="AA318" s="6"/>
      <c r="AB318" s="7">
        <f t="shared" si="63"/>
        <v>0</v>
      </c>
    </row>
    <row r="319" spans="1:30" x14ac:dyDescent="0.3">
      <c r="A319" s="2"/>
      <c r="B319" s="2"/>
      <c r="C319" s="2"/>
      <c r="D319" s="2"/>
      <c r="E319" s="2" t="s">
        <v>250</v>
      </c>
      <c r="F319" s="2"/>
      <c r="G319" s="6"/>
      <c r="H319" s="5">
        <v>20196.89</v>
      </c>
      <c r="I319" s="6"/>
      <c r="J319" s="5">
        <v>25584.29</v>
      </c>
      <c r="K319" s="6"/>
      <c r="L319" s="5">
        <v>24309.040000000001</v>
      </c>
      <c r="M319" s="6"/>
      <c r="N319" s="5">
        <v>30000</v>
      </c>
      <c r="O319" s="6"/>
      <c r="P319" s="5">
        <f t="shared" si="57"/>
        <v>-5690.96</v>
      </c>
      <c r="Q319" s="6"/>
      <c r="R319" s="7">
        <f t="shared" si="58"/>
        <v>0.81030000000000002</v>
      </c>
      <c r="S319" s="5"/>
      <c r="T319" s="7"/>
      <c r="U319" s="7"/>
      <c r="V319" s="7"/>
      <c r="W319" s="7"/>
      <c r="X319" s="23">
        <v>30500</v>
      </c>
      <c r="Y319" s="6"/>
      <c r="Z319" s="5">
        <f t="shared" si="62"/>
        <v>500</v>
      </c>
      <c r="AA319" s="6"/>
      <c r="AB319" s="7">
        <f t="shared" si="63"/>
        <v>1.6666666666666666E-2</v>
      </c>
      <c r="AC319" s="7"/>
      <c r="AD319" s="7"/>
    </row>
    <row r="320" spans="1:30" x14ac:dyDescent="0.3">
      <c r="A320" s="2"/>
      <c r="B320" s="2"/>
      <c r="C320" s="2"/>
      <c r="D320" s="2"/>
      <c r="E320" s="2" t="s">
        <v>251</v>
      </c>
      <c r="F320" s="2"/>
      <c r="G320" s="6"/>
      <c r="H320" s="5">
        <v>0</v>
      </c>
      <c r="I320" s="6"/>
      <c r="J320" s="5">
        <v>2365</v>
      </c>
      <c r="K320" s="6"/>
      <c r="L320" s="5">
        <v>375</v>
      </c>
      <c r="M320" s="6"/>
      <c r="N320" s="5">
        <v>2500</v>
      </c>
      <c r="O320" s="6"/>
      <c r="P320" s="5">
        <f t="shared" si="57"/>
        <v>-2125</v>
      </c>
      <c r="Q320" s="6"/>
      <c r="R320" s="7">
        <f t="shared" si="58"/>
        <v>0.15</v>
      </c>
      <c r="S320" s="5"/>
      <c r="T320" s="7"/>
      <c r="U320" s="7"/>
      <c r="V320" s="7"/>
      <c r="W320" s="7"/>
      <c r="X320" s="23">
        <v>2500</v>
      </c>
      <c r="Y320" s="6"/>
      <c r="Z320" s="5">
        <f t="shared" si="62"/>
        <v>0</v>
      </c>
      <c r="AA320" s="6"/>
      <c r="AB320" s="7">
        <f t="shared" si="63"/>
        <v>0</v>
      </c>
      <c r="AC320" s="7"/>
      <c r="AD320" s="7"/>
    </row>
    <row r="321" spans="1:30" x14ac:dyDescent="0.3">
      <c r="A321" s="2"/>
      <c r="B321" s="2"/>
      <c r="C321" s="2"/>
      <c r="D321" s="2"/>
      <c r="E321" s="2" t="s">
        <v>252</v>
      </c>
      <c r="F321" s="2"/>
      <c r="G321" s="6"/>
      <c r="H321" s="5">
        <v>0</v>
      </c>
      <c r="I321" s="6"/>
      <c r="J321" s="5">
        <v>0</v>
      </c>
      <c r="K321" s="6"/>
      <c r="L321" s="5">
        <v>0</v>
      </c>
      <c r="M321" s="6"/>
      <c r="N321" s="5">
        <v>450</v>
      </c>
      <c r="O321" s="6"/>
      <c r="P321" s="5">
        <f t="shared" si="57"/>
        <v>-450</v>
      </c>
      <c r="Q321" s="6"/>
      <c r="R321" s="7">
        <f t="shared" si="58"/>
        <v>0</v>
      </c>
      <c r="S321" s="5"/>
      <c r="T321" s="7"/>
      <c r="U321" s="7"/>
      <c r="V321" s="7"/>
      <c r="W321" s="7"/>
      <c r="X321" s="23">
        <v>450</v>
      </c>
      <c r="Y321" s="6"/>
      <c r="Z321" s="5">
        <f t="shared" si="62"/>
        <v>0</v>
      </c>
      <c r="AA321" s="6"/>
      <c r="AB321" s="7">
        <f t="shared" si="63"/>
        <v>0</v>
      </c>
      <c r="AC321" s="7"/>
      <c r="AD321" s="7"/>
    </row>
    <row r="322" spans="1:30" x14ac:dyDescent="0.3">
      <c r="A322" s="2"/>
      <c r="B322" s="2"/>
      <c r="C322" s="2"/>
      <c r="D322" s="2"/>
      <c r="E322" s="2" t="s">
        <v>253</v>
      </c>
      <c r="F322" s="2"/>
      <c r="G322" s="6"/>
      <c r="H322" s="5">
        <v>0</v>
      </c>
      <c r="I322" s="6"/>
      <c r="J322" s="5">
        <v>14233.25</v>
      </c>
      <c r="K322" s="6"/>
      <c r="L322" s="5">
        <v>42365.77</v>
      </c>
      <c r="M322" s="6"/>
      <c r="N322" s="5">
        <v>62000</v>
      </c>
      <c r="O322" s="6"/>
      <c r="P322" s="5">
        <f>ROUND((L322-N322),5)</f>
        <v>-19634.23</v>
      </c>
      <c r="Q322" s="6"/>
      <c r="R322" s="7">
        <f>ROUND(IF(N322=0, IF(L322=0, 0, 1), L322/N322),5)</f>
        <v>0.68332000000000004</v>
      </c>
      <c r="S322" s="5"/>
      <c r="T322" s="7"/>
      <c r="U322" s="7"/>
      <c r="V322" s="7"/>
      <c r="W322" s="7"/>
      <c r="X322" s="23">
        <v>17000</v>
      </c>
      <c r="Y322" s="6"/>
      <c r="Z322" s="5">
        <f t="shared" si="62"/>
        <v>-45000</v>
      </c>
      <c r="AA322" s="6"/>
      <c r="AB322" s="7">
        <f t="shared" si="63"/>
        <v>-0.72580645161290325</v>
      </c>
      <c r="AC322" s="7" t="s">
        <v>315</v>
      </c>
      <c r="AD322" s="7"/>
    </row>
    <row r="323" spans="1:30" ht="15" thickBot="1" x14ac:dyDescent="0.35">
      <c r="A323" s="2"/>
      <c r="B323" s="2"/>
      <c r="C323" s="2"/>
      <c r="D323" s="2"/>
      <c r="E323" s="2" t="s">
        <v>254</v>
      </c>
      <c r="F323" s="2"/>
      <c r="G323" s="6"/>
      <c r="H323" s="8">
        <v>6461.22</v>
      </c>
      <c r="I323" s="6"/>
      <c r="J323" s="8">
        <v>0</v>
      </c>
      <c r="K323" s="6"/>
      <c r="L323" s="8"/>
      <c r="M323" s="6"/>
      <c r="N323" s="8"/>
      <c r="O323" s="6"/>
      <c r="P323" s="8"/>
      <c r="Q323" s="6"/>
      <c r="R323" s="9"/>
      <c r="S323" s="8"/>
      <c r="T323" s="7"/>
      <c r="U323" s="7"/>
      <c r="V323" s="7"/>
      <c r="W323" s="7"/>
      <c r="X323" s="24">
        <v>0</v>
      </c>
      <c r="Y323" s="6"/>
      <c r="Z323" s="8">
        <f t="shared" si="62"/>
        <v>0</v>
      </c>
      <c r="AA323" s="6"/>
      <c r="AB323" s="9"/>
      <c r="AC323" s="7"/>
      <c r="AD323" s="7"/>
    </row>
    <row r="324" spans="1:30" x14ac:dyDescent="0.3">
      <c r="A324" s="2"/>
      <c r="B324" s="2"/>
      <c r="C324" s="2"/>
      <c r="D324" s="2" t="s">
        <v>255</v>
      </c>
      <c r="E324" s="2"/>
      <c r="F324" s="2"/>
      <c r="G324" s="6"/>
      <c r="H324" s="5">
        <f>ROUND(SUM(H291:H323),5)</f>
        <v>167785.21</v>
      </c>
      <c r="I324" s="6"/>
      <c r="J324" s="5">
        <f>ROUND(SUM(J291:J323),5)</f>
        <v>220652.4</v>
      </c>
      <c r="K324" s="6"/>
      <c r="L324" s="5">
        <f>ROUND(SUM(L291:L323),5)</f>
        <v>253763.81</v>
      </c>
      <c r="M324" s="6"/>
      <c r="N324" s="5">
        <f>ROUND(SUM(N291:N323),5)</f>
        <v>308382.17</v>
      </c>
      <c r="O324" s="6"/>
      <c r="P324" s="5">
        <f>ROUND((L324-N324),5)</f>
        <v>-54618.36</v>
      </c>
      <c r="Q324" s="6"/>
      <c r="R324" s="7">
        <f>ROUND(IF(N324=0, IF(L324=0, 0, 1), L324/N324),5)</f>
        <v>0.82289000000000001</v>
      </c>
      <c r="S324" s="5">
        <f>P324*-1</f>
        <v>54618.36</v>
      </c>
      <c r="T324" s="7"/>
      <c r="U324" s="7"/>
      <c r="V324" s="7"/>
      <c r="W324" s="7"/>
      <c r="X324" s="23">
        <f>ROUND(SUM(X291:X323),5)</f>
        <v>359900.99683999998</v>
      </c>
      <c r="Y324" s="6"/>
      <c r="Z324" s="5">
        <f t="shared" si="62"/>
        <v>51518.826839999994</v>
      </c>
      <c r="AA324" s="6"/>
      <c r="AB324" s="7">
        <f>Z324/N324</f>
        <v>0.16706162629311544</v>
      </c>
      <c r="AC324" s="7"/>
      <c r="AD324" s="7"/>
    </row>
    <row r="325" spans="1:30" x14ac:dyDescent="0.3">
      <c r="A325" s="2"/>
      <c r="B325" s="2"/>
      <c r="C325" s="2"/>
      <c r="D325" s="2" t="s">
        <v>256</v>
      </c>
      <c r="E325" s="2"/>
      <c r="F325" s="2"/>
      <c r="G325" s="6"/>
      <c r="H325" s="5"/>
      <c r="I325" s="6"/>
      <c r="J325" s="5"/>
      <c r="K325" s="6"/>
      <c r="L325" s="5"/>
      <c r="M325" s="6"/>
      <c r="N325" s="5"/>
      <c r="O325" s="6"/>
      <c r="P325" s="5"/>
      <c r="Q325" s="6"/>
      <c r="R325" s="7"/>
      <c r="S325" s="5"/>
      <c r="T325" s="7"/>
      <c r="U325" s="7"/>
      <c r="V325" s="7"/>
      <c r="W325" s="7"/>
      <c r="X325" s="23"/>
      <c r="Y325" s="6"/>
      <c r="Z325" s="5"/>
      <c r="AA325" s="6"/>
      <c r="AB325" s="7"/>
      <c r="AC325" s="7"/>
      <c r="AD325" s="7"/>
    </row>
    <row r="326" spans="1:30" x14ac:dyDescent="0.3">
      <c r="A326" s="2"/>
      <c r="B326" s="2"/>
      <c r="C326" s="2"/>
      <c r="D326" s="2"/>
      <c r="E326" s="2" t="s">
        <v>257</v>
      </c>
      <c r="F326" s="2"/>
      <c r="G326" s="6"/>
      <c r="H326" s="5">
        <v>0</v>
      </c>
      <c r="I326" s="6"/>
      <c r="J326" s="5">
        <v>0</v>
      </c>
      <c r="K326" s="6"/>
      <c r="L326" s="5">
        <v>30000</v>
      </c>
      <c r="M326" s="6"/>
      <c r="N326" s="5">
        <v>731341</v>
      </c>
      <c r="O326" s="6"/>
      <c r="P326" s="5">
        <f>ROUND((L326-N326),5)</f>
        <v>-701341</v>
      </c>
      <c r="Q326" s="6"/>
      <c r="R326" s="7">
        <f>ROUND(IF(N326=0, IF(L326=0, 0, 1), L326/N326),5)</f>
        <v>4.1020000000000001E-2</v>
      </c>
      <c r="S326" s="5"/>
      <c r="T326" s="7"/>
      <c r="U326" s="7"/>
      <c r="V326" s="7"/>
      <c r="W326" s="7"/>
      <c r="X326" s="23">
        <f>835000-224802</f>
        <v>610198</v>
      </c>
      <c r="Y326" s="6"/>
      <c r="Z326" s="5">
        <f>X326-N326</f>
        <v>-121143</v>
      </c>
      <c r="AA326" s="6"/>
      <c r="AB326" s="7">
        <f>Z326/N326</f>
        <v>-0.16564502742222847</v>
      </c>
      <c r="AC326" s="7" t="s">
        <v>294</v>
      </c>
      <c r="AD326" s="7"/>
    </row>
    <row r="327" spans="1:30" ht="15" thickBot="1" x14ac:dyDescent="0.35">
      <c r="A327" s="2"/>
      <c r="B327" s="2"/>
      <c r="C327" s="2"/>
      <c r="D327" s="2"/>
      <c r="E327" s="2" t="s">
        <v>258</v>
      </c>
      <c r="F327" s="2"/>
      <c r="G327" s="6"/>
      <c r="H327" s="8">
        <v>0</v>
      </c>
      <c r="I327" s="6"/>
      <c r="J327" s="8">
        <v>0</v>
      </c>
      <c r="K327" s="6"/>
      <c r="L327" s="8">
        <v>0</v>
      </c>
      <c r="M327" s="6"/>
      <c r="N327" s="8">
        <v>103659</v>
      </c>
      <c r="O327" s="6"/>
      <c r="P327" s="8">
        <f>ROUND((L327-N327),5)</f>
        <v>-103659</v>
      </c>
      <c r="Q327" s="6"/>
      <c r="R327" s="9">
        <f>ROUND(IF(N327=0, IF(L327=0, 0, 1), L327/N327),5)</f>
        <v>0</v>
      </c>
      <c r="S327" s="8">
        <f>P327*-1</f>
        <v>103659</v>
      </c>
      <c r="T327" s="7"/>
      <c r="U327" s="7"/>
      <c r="V327" s="7"/>
      <c r="W327" s="7"/>
      <c r="X327" s="24">
        <f>112401*2</f>
        <v>224802</v>
      </c>
      <c r="Y327" s="6"/>
      <c r="Z327" s="8">
        <f>X327-N327</f>
        <v>121143</v>
      </c>
      <c r="AA327" s="6"/>
      <c r="AB327" s="9">
        <f>Z327/N327</f>
        <v>1.1686684224235233</v>
      </c>
      <c r="AC327" s="7"/>
      <c r="AD327" s="7"/>
    </row>
    <row r="328" spans="1:30" x14ac:dyDescent="0.3">
      <c r="A328" s="2"/>
      <c r="B328" s="2"/>
      <c r="C328" s="2"/>
      <c r="D328" s="2" t="s">
        <v>259</v>
      </c>
      <c r="E328" s="2"/>
      <c r="F328" s="2"/>
      <c r="G328" s="6"/>
      <c r="H328" s="5">
        <f>ROUND(SUM(H325:H327),5)</f>
        <v>0</v>
      </c>
      <c r="I328" s="6"/>
      <c r="J328" s="5">
        <f>ROUND(SUM(J325:J327),5)</f>
        <v>0</v>
      </c>
      <c r="K328" s="6"/>
      <c r="L328" s="5">
        <f>ROUND(SUM(L325:L327),5)</f>
        <v>30000</v>
      </c>
      <c r="M328" s="6"/>
      <c r="N328" s="5">
        <f>ROUND(SUM(N325:N327),5)</f>
        <v>835000</v>
      </c>
      <c r="O328" s="6"/>
      <c r="P328" s="5">
        <f>ROUND((L328-N328),5)</f>
        <v>-805000</v>
      </c>
      <c r="Q328" s="6"/>
      <c r="R328" s="7">
        <f>ROUND(IF(N328=0, IF(L328=0, 0, 1), L328/N328),5)</f>
        <v>3.5929999999999997E-2</v>
      </c>
      <c r="S328" s="5"/>
      <c r="T328" s="7"/>
      <c r="U328" s="7"/>
      <c r="V328" s="7"/>
      <c r="W328" s="7"/>
      <c r="X328" s="23">
        <f>ROUND(SUM(X325:X327),5)</f>
        <v>835000</v>
      </c>
      <c r="Y328" s="6"/>
      <c r="Z328" s="5">
        <f>X328-N328</f>
        <v>0</v>
      </c>
      <c r="AA328" s="6"/>
      <c r="AB328" s="7">
        <f>Z328/N328</f>
        <v>0</v>
      </c>
      <c r="AC328" s="7"/>
      <c r="AD328" s="7"/>
    </row>
    <row r="329" spans="1:30" x14ac:dyDescent="0.3">
      <c r="A329" s="2"/>
      <c r="B329" s="2"/>
      <c r="C329" s="2"/>
      <c r="D329" s="2" t="s">
        <v>260</v>
      </c>
      <c r="E329" s="2"/>
      <c r="F329" s="2"/>
      <c r="G329" s="6"/>
      <c r="H329" s="5"/>
      <c r="I329" s="6"/>
      <c r="J329" s="5"/>
      <c r="K329" s="6"/>
      <c r="L329" s="5"/>
      <c r="M329" s="6"/>
      <c r="N329" s="5"/>
      <c r="O329" s="6"/>
      <c r="P329" s="5"/>
      <c r="Q329" s="6"/>
      <c r="R329" s="7"/>
      <c r="S329" s="5"/>
      <c r="T329" s="7"/>
      <c r="U329" s="7"/>
      <c r="V329" s="7"/>
      <c r="W329" s="7"/>
      <c r="X329" s="23"/>
      <c r="Y329" s="6"/>
      <c r="Z329" s="5"/>
      <c r="AA329" s="6"/>
      <c r="AB329" s="7"/>
      <c r="AC329" s="7"/>
      <c r="AD329" s="7"/>
    </row>
    <row r="330" spans="1:30" x14ac:dyDescent="0.3">
      <c r="A330" s="2"/>
      <c r="B330" s="2"/>
      <c r="C330" s="2"/>
      <c r="D330" s="2"/>
      <c r="E330" s="2" t="s">
        <v>261</v>
      </c>
      <c r="F330" s="2"/>
      <c r="G330" s="6"/>
      <c r="H330" s="5">
        <v>18623.02</v>
      </c>
      <c r="I330" s="6"/>
      <c r="J330" s="5">
        <v>20511.87</v>
      </c>
      <c r="K330" s="6"/>
      <c r="L330" s="5">
        <v>18427.509999999998</v>
      </c>
      <c r="M330" s="6"/>
      <c r="N330" s="5">
        <v>22000</v>
      </c>
      <c r="O330" s="6"/>
      <c r="P330" s="5">
        <f>ROUND((L330-N330),5)</f>
        <v>-3572.49</v>
      </c>
      <c r="Q330" s="6"/>
      <c r="R330" s="7">
        <f>ROUND(IF(N330=0, IF(L330=0, 0, 1), L330/N330),5)</f>
        <v>0.83760999999999997</v>
      </c>
      <c r="S330" s="5"/>
      <c r="T330" s="7"/>
      <c r="U330" s="7"/>
      <c r="V330" s="7"/>
      <c r="W330" s="7"/>
      <c r="X330" s="23">
        <v>35000</v>
      </c>
      <c r="Y330" s="6"/>
      <c r="Z330" s="5">
        <f>X330-N330</f>
        <v>13000</v>
      </c>
      <c r="AA330" s="6"/>
      <c r="AB330" s="7">
        <f>Z330/N330</f>
        <v>0.59090909090909094</v>
      </c>
      <c r="AC330" s="7"/>
      <c r="AD330" s="7"/>
    </row>
    <row r="331" spans="1:30" x14ac:dyDescent="0.3">
      <c r="A331" s="2"/>
      <c r="B331" s="2"/>
      <c r="C331" s="2"/>
      <c r="D331" s="2"/>
      <c r="E331" s="2" t="s">
        <v>262</v>
      </c>
      <c r="F331" s="2"/>
      <c r="G331" s="6"/>
      <c r="H331" s="5">
        <v>185897.58</v>
      </c>
      <c r="I331" s="6"/>
      <c r="J331" s="5">
        <v>244871.2</v>
      </c>
      <c r="K331" s="6"/>
      <c r="L331" s="5">
        <v>209881.60000000001</v>
      </c>
      <c r="M331" s="6"/>
      <c r="N331" s="5">
        <v>250000</v>
      </c>
      <c r="O331" s="6"/>
      <c r="P331" s="5">
        <f>ROUND((L331-N331),5)</f>
        <v>-40118.400000000001</v>
      </c>
      <c r="Q331" s="6"/>
      <c r="R331" s="7">
        <f>ROUND(IF(N331=0, IF(L331=0, 0, 1), L331/N331),5)</f>
        <v>0.83953</v>
      </c>
      <c r="S331" s="5"/>
      <c r="T331" s="7"/>
      <c r="U331" s="7"/>
      <c r="V331" s="7"/>
      <c r="W331" s="7"/>
      <c r="X331" s="23">
        <v>270000</v>
      </c>
      <c r="Y331" s="6"/>
      <c r="Z331" s="5">
        <f>X331-N331</f>
        <v>20000</v>
      </c>
      <c r="AA331" s="6"/>
      <c r="AB331" s="7">
        <f>Z331/N331</f>
        <v>0.08</v>
      </c>
      <c r="AC331" s="7"/>
      <c r="AD331" s="7"/>
    </row>
    <row r="332" spans="1:30" ht="15" thickBot="1" x14ac:dyDescent="0.35">
      <c r="A332" s="2"/>
      <c r="B332" s="2"/>
      <c r="C332" s="2"/>
      <c r="D332" s="2"/>
      <c r="E332" s="2" t="s">
        <v>263</v>
      </c>
      <c r="F332" s="2"/>
      <c r="G332" s="6"/>
      <c r="H332" s="8">
        <v>192.51</v>
      </c>
      <c r="I332" s="6"/>
      <c r="J332" s="8">
        <v>207</v>
      </c>
      <c r="K332" s="6"/>
      <c r="L332" s="8">
        <v>222.18</v>
      </c>
      <c r="M332" s="6"/>
      <c r="N332" s="8">
        <v>200</v>
      </c>
      <c r="O332" s="6"/>
      <c r="P332" s="8">
        <f>ROUND((L332-N332),5)</f>
        <v>22.18</v>
      </c>
      <c r="Q332" s="6"/>
      <c r="R332" s="9">
        <f>ROUND(IF(N332=0, IF(L332=0, 0, 1), L332/N332),5)</f>
        <v>1.1109</v>
      </c>
      <c r="S332" s="8"/>
      <c r="T332" s="7"/>
      <c r="U332" s="7"/>
      <c r="V332" s="7"/>
      <c r="W332" s="7"/>
      <c r="X332" s="24">
        <v>250</v>
      </c>
      <c r="Y332" s="6"/>
      <c r="Z332" s="8">
        <f>X332-N332</f>
        <v>50</v>
      </c>
      <c r="AA332" s="6"/>
      <c r="AB332" s="9">
        <f>Z332/N332</f>
        <v>0.25</v>
      </c>
      <c r="AC332" s="7"/>
      <c r="AD332" s="7"/>
    </row>
    <row r="333" spans="1:30" x14ac:dyDescent="0.3">
      <c r="A333" s="2"/>
      <c r="B333" s="2"/>
      <c r="C333" s="2"/>
      <c r="D333" s="2" t="s">
        <v>264</v>
      </c>
      <c r="E333" s="2"/>
      <c r="F333" s="2"/>
      <c r="G333" s="6"/>
      <c r="H333" s="5">
        <f>ROUND(SUM(H329:H332),5)</f>
        <v>204713.11</v>
      </c>
      <c r="I333" s="6"/>
      <c r="J333" s="5">
        <f>ROUND(SUM(J329:J332),5)</f>
        <v>265590.07</v>
      </c>
      <c r="K333" s="6"/>
      <c r="L333" s="5">
        <f>ROUND(SUM(L329:L332),5)</f>
        <v>228531.29</v>
      </c>
      <c r="M333" s="6"/>
      <c r="N333" s="5">
        <f>ROUND(SUM(N329:N332),5)</f>
        <v>272200</v>
      </c>
      <c r="O333" s="6"/>
      <c r="P333" s="5">
        <f>ROUND((L333-N333),5)</f>
        <v>-43668.71</v>
      </c>
      <c r="Q333" s="6"/>
      <c r="R333" s="7">
        <f>ROUND(IF(N333=0, IF(L333=0, 0, 1), L333/N333),5)</f>
        <v>0.83957000000000004</v>
      </c>
      <c r="S333" s="5">
        <f>P333*-1</f>
        <v>43668.71</v>
      </c>
      <c r="T333" s="7"/>
      <c r="U333" s="7"/>
      <c r="V333" s="7"/>
      <c r="W333" s="7"/>
      <c r="X333" s="23">
        <f>ROUND(SUM(X329:X332),5)</f>
        <v>305250</v>
      </c>
      <c r="Y333" s="6"/>
      <c r="Z333" s="5">
        <f>X333-N333</f>
        <v>33050</v>
      </c>
      <c r="AA333" s="6"/>
      <c r="AB333" s="7">
        <f>Z333/N333</f>
        <v>0.12141807494489346</v>
      </c>
      <c r="AC333" s="7"/>
      <c r="AD333" s="7"/>
    </row>
    <row r="334" spans="1:30" x14ac:dyDescent="0.3">
      <c r="A334" s="2"/>
      <c r="B334" s="2"/>
      <c r="C334" s="2"/>
      <c r="D334" s="2" t="s">
        <v>265</v>
      </c>
      <c r="E334" s="2"/>
      <c r="F334" s="2"/>
      <c r="G334" s="6"/>
      <c r="H334" s="5"/>
      <c r="I334" s="6"/>
      <c r="J334" s="5"/>
      <c r="K334" s="6"/>
      <c r="L334" s="5"/>
      <c r="M334" s="6"/>
      <c r="N334" s="5"/>
      <c r="O334" s="6"/>
      <c r="P334" s="5"/>
      <c r="Q334" s="6"/>
      <c r="R334" s="7"/>
      <c r="S334" s="5"/>
      <c r="T334" s="7"/>
      <c r="U334" s="7"/>
      <c r="V334" s="7"/>
      <c r="W334" s="7"/>
      <c r="X334" s="23"/>
      <c r="Y334" s="6"/>
      <c r="Z334" s="5"/>
      <c r="AA334" s="6"/>
      <c r="AB334" s="7"/>
      <c r="AC334" s="7"/>
      <c r="AD334" s="7"/>
    </row>
    <row r="335" spans="1:30" x14ac:dyDescent="0.3">
      <c r="A335" s="2"/>
      <c r="B335" s="2"/>
      <c r="C335" s="2"/>
      <c r="D335" s="2"/>
      <c r="E335" s="2" t="s">
        <v>266</v>
      </c>
      <c r="F335" s="2"/>
      <c r="G335" s="6"/>
      <c r="H335" s="5">
        <v>122077.13</v>
      </c>
      <c r="I335" s="6"/>
      <c r="J335" s="5">
        <v>134859</v>
      </c>
      <c r="K335" s="6"/>
      <c r="L335" s="5">
        <v>141361.25</v>
      </c>
      <c r="M335" s="6"/>
      <c r="N335" s="5">
        <v>155000</v>
      </c>
      <c r="O335" s="6"/>
      <c r="P335" s="5">
        <f>ROUND((L335-N335),5)</f>
        <v>-13638.75</v>
      </c>
      <c r="Q335" s="6"/>
      <c r="R335" s="7">
        <f>ROUND(IF(N335=0, IF(L335=0, 0, 1), L335/N335),5)</f>
        <v>0.91200999999999999</v>
      </c>
      <c r="S335" s="5"/>
      <c r="T335" s="7"/>
      <c r="U335" s="7"/>
      <c r="V335" s="7"/>
      <c r="W335" s="7"/>
      <c r="X335" s="23">
        <f>N335*1.07</f>
        <v>165850</v>
      </c>
      <c r="Y335" s="6"/>
      <c r="Z335" s="5">
        <f>X335-N335</f>
        <v>10850</v>
      </c>
      <c r="AA335" s="6"/>
      <c r="AB335" s="7">
        <f>Z335/N335</f>
        <v>7.0000000000000007E-2</v>
      </c>
      <c r="AC335" s="7">
        <v>7.0000000000000007E-2</v>
      </c>
      <c r="AD335" s="7"/>
    </row>
    <row r="336" spans="1:30" ht="15" thickBot="1" x14ac:dyDescent="0.35">
      <c r="A336" s="2"/>
      <c r="B336" s="2"/>
      <c r="C336" s="2"/>
      <c r="D336" s="2"/>
      <c r="E336" s="2" t="s">
        <v>267</v>
      </c>
      <c r="F336" s="2"/>
      <c r="G336" s="6"/>
      <c r="H336" s="8">
        <v>9765</v>
      </c>
      <c r="I336" s="6"/>
      <c r="J336" s="8">
        <v>9765</v>
      </c>
      <c r="K336" s="6"/>
      <c r="L336" s="8">
        <v>13250</v>
      </c>
      <c r="M336" s="6"/>
      <c r="N336" s="8">
        <v>15000</v>
      </c>
      <c r="O336" s="6"/>
      <c r="P336" s="8">
        <f>ROUND((L336-N336),5)</f>
        <v>-1750</v>
      </c>
      <c r="Q336" s="6"/>
      <c r="R336" s="9">
        <f>ROUND(IF(N336=0, IF(L336=0, 0, 1), L336/N336),5)</f>
        <v>0.88332999999999995</v>
      </c>
      <c r="S336" s="8"/>
      <c r="T336" s="7"/>
      <c r="U336" s="7"/>
      <c r="V336" s="7"/>
      <c r="W336" s="7"/>
      <c r="X336" s="24">
        <v>15000</v>
      </c>
      <c r="Y336" s="6"/>
      <c r="Z336" s="8">
        <f>X336-N336</f>
        <v>0</v>
      </c>
      <c r="AA336" s="6"/>
      <c r="AB336" s="9">
        <f>Z336/N336</f>
        <v>0</v>
      </c>
      <c r="AC336" s="7"/>
      <c r="AD336" s="7"/>
    </row>
    <row r="337" spans="1:35" x14ac:dyDescent="0.3">
      <c r="A337" s="2"/>
      <c r="B337" s="2"/>
      <c r="C337" s="2"/>
      <c r="D337" s="2" t="s">
        <v>268</v>
      </c>
      <c r="E337" s="2"/>
      <c r="F337" s="2"/>
      <c r="G337" s="6"/>
      <c r="H337" s="5">
        <f>ROUND(SUM(H334:H336),5)</f>
        <v>131842.13</v>
      </c>
      <c r="I337" s="6"/>
      <c r="J337" s="5">
        <f>ROUND(SUM(J334:J336),5)</f>
        <v>144624</v>
      </c>
      <c r="K337" s="6"/>
      <c r="L337" s="5">
        <f>ROUND(SUM(L334:L336),5)</f>
        <v>154611.25</v>
      </c>
      <c r="M337" s="6"/>
      <c r="N337" s="5">
        <f>ROUND(SUM(N334:N336),5)</f>
        <v>170000</v>
      </c>
      <c r="O337" s="6"/>
      <c r="P337" s="5">
        <f>ROUND((L337-N337),5)</f>
        <v>-15388.75</v>
      </c>
      <c r="Q337" s="6"/>
      <c r="R337" s="7">
        <f>ROUND(IF(N337=0, IF(L337=0, 0, 1), L337/N337),5)</f>
        <v>0.90947999999999996</v>
      </c>
      <c r="S337" s="5"/>
      <c r="T337" s="7"/>
      <c r="U337" s="7"/>
      <c r="V337" s="7"/>
      <c r="W337" s="7"/>
      <c r="X337" s="23">
        <f>ROUND(SUM(X334:X336),5)</f>
        <v>180850</v>
      </c>
      <c r="Y337" s="6"/>
      <c r="Z337" s="5">
        <f>X337-N337</f>
        <v>10850</v>
      </c>
      <c r="AA337" s="6"/>
      <c r="AB337" s="7">
        <f>Z337/N337</f>
        <v>6.382352941176471E-2</v>
      </c>
      <c r="AC337" s="7"/>
      <c r="AD337" s="7"/>
      <c r="AH337" s="61"/>
    </row>
    <row r="338" spans="1:35" x14ac:dyDescent="0.3">
      <c r="A338" s="2"/>
      <c r="B338" s="2"/>
      <c r="C338" s="2"/>
      <c r="D338" s="2" t="s">
        <v>269</v>
      </c>
      <c r="E338" s="2"/>
      <c r="F338" s="2"/>
      <c r="G338" s="6"/>
      <c r="H338" s="5"/>
      <c r="I338" s="6"/>
      <c r="J338" s="5"/>
      <c r="K338" s="6"/>
      <c r="L338" s="5"/>
      <c r="M338" s="6"/>
      <c r="N338" s="5"/>
      <c r="O338" s="6"/>
      <c r="P338" s="5"/>
      <c r="Q338" s="6"/>
      <c r="R338" s="7"/>
      <c r="S338" s="5"/>
      <c r="T338" s="7"/>
      <c r="U338" s="7"/>
      <c r="V338" s="7"/>
      <c r="W338" s="7"/>
      <c r="X338" s="23"/>
      <c r="Y338" s="6"/>
      <c r="Z338" s="5"/>
      <c r="AA338" s="6"/>
      <c r="AB338" s="7"/>
      <c r="AC338" s="7"/>
      <c r="AD338" s="7"/>
    </row>
    <row r="339" spans="1:35" x14ac:dyDescent="0.3">
      <c r="A339" s="2"/>
      <c r="B339" s="2"/>
      <c r="C339" s="2"/>
      <c r="D339" s="2"/>
      <c r="E339" s="2" t="s">
        <v>270</v>
      </c>
      <c r="F339" s="2"/>
      <c r="G339" s="6"/>
      <c r="H339" s="5">
        <v>152521.47</v>
      </c>
      <c r="I339" s="6"/>
      <c r="J339" s="5">
        <v>215313.35</v>
      </c>
      <c r="K339" s="6"/>
      <c r="L339" s="5">
        <v>215313.35</v>
      </c>
      <c r="M339" s="6"/>
      <c r="N339" s="5">
        <v>216000</v>
      </c>
      <c r="O339" s="6"/>
      <c r="P339" s="5">
        <f>ROUND((L339-N339),5)</f>
        <v>-686.65</v>
      </c>
      <c r="Q339" s="6"/>
      <c r="R339" s="7">
        <f>ROUND(IF(N339=0, IF(L339=0, 0, 1), L339/N339),5)</f>
        <v>0.99682000000000004</v>
      </c>
      <c r="S339" s="5"/>
      <c r="T339" s="7"/>
      <c r="U339" s="7"/>
      <c r="V339" s="7"/>
      <c r="W339" s="7"/>
      <c r="X339" s="23">
        <v>216000</v>
      </c>
      <c r="Y339" s="6"/>
      <c r="Z339" s="5">
        <f>X339-N339</f>
        <v>0</v>
      </c>
      <c r="AA339" s="6"/>
      <c r="AB339" s="7">
        <f>Z339/N339</f>
        <v>0</v>
      </c>
      <c r="AC339" s="7"/>
      <c r="AD339" s="7"/>
      <c r="AG339" s="61"/>
      <c r="AH339" s="63"/>
    </row>
    <row r="340" spans="1:35" x14ac:dyDescent="0.3">
      <c r="A340" s="2"/>
      <c r="B340" s="2"/>
      <c r="C340" s="2"/>
      <c r="D340" s="2"/>
      <c r="E340" s="2" t="s">
        <v>271</v>
      </c>
      <c r="F340" s="2"/>
      <c r="G340" s="6"/>
      <c r="H340" s="5">
        <v>1680</v>
      </c>
      <c r="I340" s="6"/>
      <c r="J340" s="5">
        <v>1517.93</v>
      </c>
      <c r="K340" s="6"/>
      <c r="L340" s="5">
        <v>500</v>
      </c>
      <c r="M340" s="6"/>
      <c r="N340" s="5">
        <v>1000</v>
      </c>
      <c r="O340" s="6"/>
      <c r="P340" s="5">
        <f>ROUND((L340-N340),5)</f>
        <v>-500</v>
      </c>
      <c r="Q340" s="6"/>
      <c r="R340" s="7">
        <f>ROUND(IF(N340=0, IF(L340=0, 0, 1), L340/N340),5)</f>
        <v>0.5</v>
      </c>
      <c r="S340" s="5"/>
      <c r="T340" s="7"/>
      <c r="U340" s="7"/>
      <c r="V340" s="7"/>
      <c r="W340" s="7"/>
      <c r="X340" s="23">
        <v>1000</v>
      </c>
      <c r="Y340" s="6"/>
      <c r="Z340" s="5">
        <f>X340-N340</f>
        <v>0</v>
      </c>
      <c r="AA340" s="6"/>
      <c r="AB340" s="7">
        <f>Z340/N340</f>
        <v>0</v>
      </c>
      <c r="AC340" s="7"/>
      <c r="AD340" s="7"/>
      <c r="AG340" s="61"/>
      <c r="AH340" s="63"/>
      <c r="AI340" t="s">
        <v>408</v>
      </c>
    </row>
    <row r="341" spans="1:35" ht="15" thickBot="1" x14ac:dyDescent="0.35">
      <c r="A341" s="2"/>
      <c r="B341" s="2"/>
      <c r="C341" s="2"/>
      <c r="D341" s="2"/>
      <c r="E341" s="2" t="s">
        <v>272</v>
      </c>
      <c r="F341" s="2"/>
      <c r="G341" s="6"/>
      <c r="H341" s="8">
        <v>0.02</v>
      </c>
      <c r="I341" s="6"/>
      <c r="J341" s="8">
        <v>0</v>
      </c>
      <c r="K341" s="6"/>
      <c r="L341" s="8">
        <v>0</v>
      </c>
      <c r="M341" s="6"/>
      <c r="N341" s="8"/>
      <c r="O341" s="6"/>
      <c r="P341" s="8"/>
      <c r="Q341" s="6"/>
      <c r="R341" s="9"/>
      <c r="S341" s="8"/>
      <c r="T341" s="7"/>
      <c r="U341" s="7"/>
      <c r="V341" s="7"/>
      <c r="W341" s="7"/>
      <c r="X341" s="24"/>
      <c r="Y341" s="6"/>
      <c r="Z341" s="8"/>
      <c r="AA341" s="6"/>
      <c r="AB341" s="9"/>
      <c r="AC341" s="7"/>
      <c r="AD341" s="7"/>
      <c r="AG341" s="61"/>
      <c r="AH341" s="63"/>
    </row>
    <row r="342" spans="1:35" x14ac:dyDescent="0.3">
      <c r="A342" s="2"/>
      <c r="B342" s="2"/>
      <c r="C342" s="2"/>
      <c r="D342" s="2" t="s">
        <v>273</v>
      </c>
      <c r="E342" s="2"/>
      <c r="F342" s="2"/>
      <c r="G342" s="6"/>
      <c r="H342" s="5">
        <f>ROUND(SUM(H338:H341),5)</f>
        <v>154201.49</v>
      </c>
      <c r="I342" s="6"/>
      <c r="J342" s="5">
        <f>ROUND(SUM(J338:J341),5)</f>
        <v>216831.28</v>
      </c>
      <c r="K342" s="6"/>
      <c r="L342" s="5">
        <f>ROUND(SUM(L338:L341),5)</f>
        <v>215813.35</v>
      </c>
      <c r="M342" s="6"/>
      <c r="N342" s="5">
        <f>ROUND(SUM(N338:N341),5)</f>
        <v>217000</v>
      </c>
      <c r="O342" s="6"/>
      <c r="P342" s="5">
        <f>ROUND((L342-N342),5)</f>
        <v>-1186.6500000000001</v>
      </c>
      <c r="Q342" s="6"/>
      <c r="R342" s="7">
        <f>ROUND(IF(N342=0, IF(L342=0, 0, 1), L342/N342),5)</f>
        <v>0.99453000000000003</v>
      </c>
      <c r="S342" s="5"/>
      <c r="T342" s="7"/>
      <c r="U342" s="7"/>
      <c r="V342" s="7"/>
      <c r="W342" s="7"/>
      <c r="X342" s="23">
        <f>ROUND(SUM(X338:X341),5)</f>
        <v>217000</v>
      </c>
      <c r="Y342" s="6"/>
      <c r="Z342" s="5">
        <f>X342-N342</f>
        <v>0</v>
      </c>
      <c r="AA342" s="6"/>
      <c r="AB342" s="7">
        <f>Z342/N342</f>
        <v>0</v>
      </c>
      <c r="AC342" s="7"/>
      <c r="AD342" s="7"/>
      <c r="AG342" s="61"/>
      <c r="AH342" s="63"/>
    </row>
    <row r="343" spans="1:35" x14ac:dyDescent="0.3">
      <c r="A343" s="2"/>
      <c r="B343" s="2"/>
      <c r="C343" s="2"/>
      <c r="D343" s="2" t="s">
        <v>274</v>
      </c>
      <c r="E343" s="2"/>
      <c r="F343" s="2"/>
      <c r="G343" s="6"/>
      <c r="H343" s="5"/>
      <c r="I343" s="6"/>
      <c r="J343" s="5"/>
      <c r="K343" s="6"/>
      <c r="L343" s="5"/>
      <c r="M343" s="6"/>
      <c r="N343" s="5"/>
      <c r="O343" s="6"/>
      <c r="P343" s="5"/>
      <c r="Q343" s="6"/>
      <c r="R343" s="7"/>
      <c r="S343" s="5"/>
      <c r="T343" s="7"/>
      <c r="U343" s="7"/>
      <c r="V343" s="7"/>
      <c r="W343" s="7"/>
      <c r="X343" s="23"/>
      <c r="Y343" s="6"/>
      <c r="Z343" s="5"/>
      <c r="AA343" s="6"/>
      <c r="AB343" s="7"/>
      <c r="AC343" s="7"/>
      <c r="AD343" s="7"/>
      <c r="AG343" s="61"/>
      <c r="AH343" s="63"/>
      <c r="AI343" t="s">
        <v>409</v>
      </c>
    </row>
    <row r="344" spans="1:35" ht="15" thickBot="1" x14ac:dyDescent="0.35">
      <c r="A344" s="2"/>
      <c r="B344" s="2"/>
      <c r="C344" s="2"/>
      <c r="D344" s="2"/>
      <c r="E344" s="2" t="s">
        <v>275</v>
      </c>
      <c r="F344" s="2"/>
      <c r="G344" s="6"/>
      <c r="H344" s="8">
        <v>35</v>
      </c>
      <c r="I344" s="6"/>
      <c r="J344" s="8">
        <v>3</v>
      </c>
      <c r="K344" s="6"/>
      <c r="L344" s="8">
        <v>-96.8</v>
      </c>
      <c r="M344" s="6"/>
      <c r="N344" s="5"/>
      <c r="O344" s="6"/>
      <c r="P344" s="5"/>
      <c r="Q344" s="6"/>
      <c r="R344" s="7"/>
      <c r="S344" s="5"/>
      <c r="T344" s="7"/>
      <c r="U344" s="7"/>
      <c r="V344" s="7"/>
      <c r="W344" s="7"/>
      <c r="X344" s="23"/>
      <c r="Y344" s="6"/>
      <c r="Z344" s="5"/>
      <c r="AA344" s="6"/>
      <c r="AB344" s="7"/>
      <c r="AG344" s="61"/>
      <c r="AH344" s="63"/>
    </row>
    <row r="345" spans="1:35" x14ac:dyDescent="0.3">
      <c r="A345" s="2"/>
      <c r="B345" s="2"/>
      <c r="C345" s="2"/>
      <c r="D345" s="2" t="s">
        <v>276</v>
      </c>
      <c r="E345" s="2"/>
      <c r="F345" s="2"/>
      <c r="G345" s="6"/>
      <c r="H345" s="5">
        <f>ROUND(SUM(H343:H344),5)</f>
        <v>35</v>
      </c>
      <c r="I345" s="6"/>
      <c r="J345" s="5">
        <f>ROUND(SUM(J343:J344),5)</f>
        <v>3</v>
      </c>
      <c r="K345" s="6"/>
      <c r="L345" s="5">
        <f>ROUND(SUM(L343:L344),5)</f>
        <v>-96.8</v>
      </c>
      <c r="M345" s="6"/>
      <c r="N345" s="5"/>
      <c r="O345" s="6"/>
      <c r="P345" s="5"/>
      <c r="Q345" s="6"/>
      <c r="R345" s="7"/>
      <c r="S345" s="5"/>
      <c r="T345" s="7"/>
      <c r="U345" s="7"/>
      <c r="V345" s="7"/>
      <c r="W345" s="7"/>
      <c r="X345" s="23"/>
      <c r="Y345" s="6"/>
      <c r="Z345" s="5"/>
      <c r="AA345" s="6"/>
      <c r="AB345" s="7"/>
      <c r="AG345" s="61"/>
      <c r="AH345" s="63"/>
    </row>
    <row r="346" spans="1:35" x14ac:dyDescent="0.3">
      <c r="A346" s="2"/>
      <c r="B346" s="2"/>
      <c r="C346" s="2"/>
      <c r="D346" s="2" t="s">
        <v>277</v>
      </c>
      <c r="E346" s="2"/>
      <c r="F346" s="2"/>
      <c r="G346" s="6"/>
      <c r="H346" s="5"/>
      <c r="I346" s="6"/>
      <c r="J346" s="5"/>
      <c r="K346" s="6"/>
      <c r="L346" s="5"/>
      <c r="M346" s="6"/>
      <c r="N346" s="5"/>
      <c r="O346" s="6"/>
      <c r="P346" s="5"/>
      <c r="Q346" s="6"/>
      <c r="R346" s="7"/>
      <c r="S346" s="5"/>
      <c r="T346" s="7"/>
      <c r="U346" s="7"/>
      <c r="V346" s="7"/>
      <c r="W346" s="7"/>
      <c r="X346" s="23"/>
      <c r="Y346" s="6"/>
      <c r="Z346" s="5"/>
      <c r="AA346" s="6"/>
      <c r="AB346" s="7"/>
      <c r="AG346" s="61"/>
      <c r="AH346" s="63"/>
    </row>
    <row r="347" spans="1:35" x14ac:dyDescent="0.3">
      <c r="A347" s="2"/>
      <c r="B347" s="2"/>
      <c r="C347" s="2"/>
      <c r="D347" s="2"/>
      <c r="E347" s="2" t="s">
        <v>278</v>
      </c>
      <c r="F347" s="2"/>
      <c r="G347" s="6"/>
      <c r="H347" s="5"/>
      <c r="I347" s="6"/>
      <c r="J347" s="5"/>
      <c r="K347" s="6"/>
      <c r="L347" s="5"/>
      <c r="M347" s="6"/>
      <c r="N347" s="5"/>
      <c r="O347" s="6"/>
      <c r="P347" s="5"/>
      <c r="Q347" s="6"/>
      <c r="R347" s="7"/>
      <c r="S347" s="5"/>
      <c r="T347" s="7"/>
      <c r="U347" s="7"/>
      <c r="V347" s="7"/>
      <c r="W347" s="7"/>
      <c r="X347" s="23"/>
      <c r="Y347" s="6"/>
      <c r="Z347" s="5"/>
      <c r="AA347" s="6"/>
      <c r="AB347" s="7"/>
      <c r="AG347" s="61"/>
      <c r="AH347" s="63"/>
    </row>
    <row r="348" spans="1:35" x14ac:dyDescent="0.3">
      <c r="A348" s="2"/>
      <c r="B348" s="2"/>
      <c r="C348" s="2"/>
      <c r="D348" s="2"/>
      <c r="E348" s="2"/>
      <c r="F348" s="2" t="s">
        <v>279</v>
      </c>
      <c r="G348" s="6"/>
      <c r="H348" s="5">
        <v>0</v>
      </c>
      <c r="I348" s="6"/>
      <c r="J348" s="5">
        <v>0</v>
      </c>
      <c r="K348" s="6"/>
      <c r="L348" s="5">
        <v>470800</v>
      </c>
      <c r="M348" s="6"/>
      <c r="N348" s="21">
        <v>470800</v>
      </c>
      <c r="O348" s="6"/>
      <c r="P348" s="5">
        <f>ROUND((L348-N348),5)</f>
        <v>0</v>
      </c>
      <c r="Q348" s="6"/>
      <c r="R348" s="7">
        <f>ROUND(IF(N348=0, IF(L348=0, 0, 1), L348/N348),5)</f>
        <v>1</v>
      </c>
      <c r="S348" s="5"/>
      <c r="T348" s="7"/>
      <c r="U348" s="7"/>
      <c r="V348" s="7"/>
      <c r="W348" s="7"/>
      <c r="X348" s="23">
        <v>50000</v>
      </c>
      <c r="Y348" s="6"/>
      <c r="Z348" s="5">
        <f t="shared" ref="Z348:Z354" si="64">X348-N348</f>
        <v>-420800</v>
      </c>
      <c r="AA348" s="6"/>
      <c r="AB348" s="7">
        <f t="shared" ref="AB348:AB353" si="65">Z348/N348</f>
        <v>-0.89379779099405265</v>
      </c>
      <c r="AG348" s="61"/>
      <c r="AH348" s="63"/>
    </row>
    <row r="349" spans="1:35" x14ac:dyDescent="0.3">
      <c r="A349" s="2"/>
      <c r="B349" s="2"/>
      <c r="C349" s="2"/>
      <c r="D349" s="2"/>
      <c r="E349" s="2"/>
      <c r="F349" s="2" t="s">
        <v>280</v>
      </c>
      <c r="G349" s="6"/>
      <c r="H349" s="5">
        <v>0</v>
      </c>
      <c r="I349" s="6"/>
      <c r="J349" s="5">
        <v>0</v>
      </c>
      <c r="K349" s="6"/>
      <c r="L349" s="5">
        <v>509753.29</v>
      </c>
      <c r="M349" s="6"/>
      <c r="N349" s="21">
        <v>509753.29</v>
      </c>
      <c r="O349" s="6"/>
      <c r="P349" s="5">
        <f>ROUND((L349-N349),5)</f>
        <v>0</v>
      </c>
      <c r="Q349" s="6"/>
      <c r="R349" s="7">
        <f>ROUND(IF(N349=0, IF(L349=0, 0, 1), L349/N349),5)</f>
        <v>1</v>
      </c>
      <c r="S349" s="5"/>
      <c r="T349" s="7"/>
      <c r="U349" s="7"/>
      <c r="V349" s="7"/>
      <c r="W349" s="7"/>
      <c r="X349" s="23">
        <v>393358.07</v>
      </c>
      <c r="Y349" s="6"/>
      <c r="Z349" s="5">
        <f t="shared" si="64"/>
        <v>-116395.21999999997</v>
      </c>
      <c r="AA349" s="6"/>
      <c r="AB349" s="7">
        <f t="shared" si="65"/>
        <v>-0.22833637817227226</v>
      </c>
      <c r="AG349" s="61"/>
    </row>
    <row r="350" spans="1:35" ht="15" thickBot="1" x14ac:dyDescent="0.35">
      <c r="A350" s="2"/>
      <c r="B350" s="2"/>
      <c r="C350" s="2"/>
      <c r="D350" s="2"/>
      <c r="E350" s="2"/>
      <c r="F350" s="2" t="s">
        <v>281</v>
      </c>
      <c r="G350" s="6"/>
      <c r="H350" s="5">
        <v>1981746.49</v>
      </c>
      <c r="I350" s="6"/>
      <c r="J350" s="5">
        <v>1534432.04</v>
      </c>
      <c r="K350" s="6"/>
      <c r="L350" s="5">
        <v>0</v>
      </c>
      <c r="M350" s="6"/>
      <c r="N350" s="5"/>
      <c r="O350" s="6"/>
      <c r="P350" s="5"/>
      <c r="Q350" s="6"/>
      <c r="R350" s="7"/>
      <c r="S350" s="5"/>
      <c r="T350" s="7"/>
      <c r="U350" s="7"/>
      <c r="V350" s="7"/>
      <c r="W350" s="7"/>
      <c r="X350" s="23"/>
      <c r="Y350" s="6"/>
      <c r="Z350" s="5">
        <f t="shared" si="64"/>
        <v>0</v>
      </c>
      <c r="AA350" s="6"/>
      <c r="AB350" s="7"/>
    </row>
    <row r="351" spans="1:35" ht="15" thickBot="1" x14ac:dyDescent="0.35">
      <c r="A351" s="2"/>
      <c r="B351" s="2"/>
      <c r="C351" s="2"/>
      <c r="D351" s="2"/>
      <c r="E351" s="2" t="s">
        <v>282</v>
      </c>
      <c r="F351" s="2"/>
      <c r="G351" s="6"/>
      <c r="H351" s="12">
        <f>ROUND(SUM(H347:H350),5)</f>
        <v>1981746.49</v>
      </c>
      <c r="I351" s="6"/>
      <c r="J351" s="12">
        <f>ROUND(SUM(J347:J350),5)</f>
        <v>1534432.04</v>
      </c>
      <c r="K351" s="6"/>
      <c r="L351" s="12">
        <f>ROUND(SUM(L347:L350),5)</f>
        <v>980553.29</v>
      </c>
      <c r="M351" s="6"/>
      <c r="N351" s="12">
        <f>ROUND(SUM(N347:N350),5)</f>
        <v>980553.29</v>
      </c>
      <c r="O351" s="6"/>
      <c r="P351" s="12">
        <f>ROUND((L351-N351),5)</f>
        <v>0</v>
      </c>
      <c r="Q351" s="6"/>
      <c r="R351" s="13">
        <f>ROUND(IF(N351=0, IF(L351=0, 0, 1), L351/N351),5)</f>
        <v>1</v>
      </c>
      <c r="S351" s="12"/>
      <c r="T351" s="7"/>
      <c r="U351" s="7"/>
      <c r="V351" s="7"/>
      <c r="W351" s="7"/>
      <c r="X351" s="26">
        <f>ROUND(SUM(X347:X350),5)</f>
        <v>443358.07</v>
      </c>
      <c r="Y351" s="6"/>
      <c r="Z351" s="12">
        <f t="shared" si="64"/>
        <v>-537195.22</v>
      </c>
      <c r="AA351" s="6"/>
      <c r="AB351" s="13">
        <f t="shared" si="65"/>
        <v>-0.54784908222581141</v>
      </c>
      <c r="AG351" s="61"/>
    </row>
    <row r="352" spans="1:35" ht="15" thickBot="1" x14ac:dyDescent="0.35">
      <c r="A352" s="2"/>
      <c r="B352" s="2"/>
      <c r="C352" s="2"/>
      <c r="D352" s="2" t="s">
        <v>283</v>
      </c>
      <c r="E352" s="2"/>
      <c r="F352" s="2"/>
      <c r="G352" s="6"/>
      <c r="H352" s="12">
        <f>ROUND(H346+H351,5)</f>
        <v>1981746.49</v>
      </c>
      <c r="I352" s="6"/>
      <c r="J352" s="12">
        <f>ROUND(J346+J351,5)</f>
        <v>1534432.04</v>
      </c>
      <c r="K352" s="6"/>
      <c r="L352" s="12">
        <f>ROUND(L346+L351,5)</f>
        <v>980553.29</v>
      </c>
      <c r="M352" s="6"/>
      <c r="N352" s="12">
        <f>ROUND(N346+N351,5)</f>
        <v>980553.29</v>
      </c>
      <c r="O352" s="6"/>
      <c r="P352" s="12">
        <f>ROUND((L352-N352),5)</f>
        <v>0</v>
      </c>
      <c r="Q352" s="6"/>
      <c r="R352" s="13">
        <f>ROUND(IF(N352=0, IF(L352=0, 0, 1), L352/N352),5)</f>
        <v>1</v>
      </c>
      <c r="S352" s="12"/>
      <c r="T352" s="51">
        <v>8220622.5700000022</v>
      </c>
      <c r="U352" s="51">
        <f>T352-L353</f>
        <v>454.69000000227243</v>
      </c>
      <c r="V352" s="7"/>
      <c r="W352" s="7"/>
      <c r="X352" s="26">
        <f>ROUND(X346+X351,5)</f>
        <v>443358.07</v>
      </c>
      <c r="Y352" s="6"/>
      <c r="Z352" s="12">
        <f t="shared" si="64"/>
        <v>-537195.22</v>
      </c>
      <c r="AA352" s="6"/>
      <c r="AB352" s="13">
        <f t="shared" si="65"/>
        <v>-0.54784908222581141</v>
      </c>
      <c r="AG352" s="61"/>
    </row>
    <row r="353" spans="1:33" ht="15" thickBot="1" x14ac:dyDescent="0.35">
      <c r="A353" s="2"/>
      <c r="B353" s="2"/>
      <c r="C353" s="2" t="s">
        <v>284</v>
      </c>
      <c r="D353" s="2"/>
      <c r="E353" s="2"/>
      <c r="F353" s="2"/>
      <c r="G353" s="6"/>
      <c r="H353" s="12">
        <f>ROUND(H81+H153+H234+H239+H290+H324+H328+H333+H337+H342+H345+H352,5)</f>
        <v>12476973.41</v>
      </c>
      <c r="I353" s="6"/>
      <c r="J353" s="12">
        <f>ROUND(J81+J153+J234+J239+J290+J324+J328+J333+J337+J342+J345+J352,5)</f>
        <v>12565824.58</v>
      </c>
      <c r="K353" s="6"/>
      <c r="L353" s="12">
        <f>ROUND(L81+L153+L235+L239+L290+L324+L328+L333+L337+L342+L345+L352,5)</f>
        <v>8220167.8799999999</v>
      </c>
      <c r="M353" s="6"/>
      <c r="N353" s="12">
        <f>ROUND(N81+N153+N235+N239+N290+N324+N328+N333+N337+N342+N345+N352,5)</f>
        <v>10959931.1</v>
      </c>
      <c r="O353" s="6"/>
      <c r="P353" s="12">
        <f>ROUND((L353-N353),5)</f>
        <v>-2739763.22</v>
      </c>
      <c r="Q353" s="6"/>
      <c r="R353" s="13">
        <f>ROUND(IF(N353=0, IF(L353=0, 0, 1), L353/N353),5)</f>
        <v>0.75002000000000002</v>
      </c>
      <c r="S353" s="12">
        <f>SUM(S153:S352)</f>
        <v>2021750.0199999998</v>
      </c>
      <c r="T353" s="7"/>
      <c r="U353" s="7"/>
      <c r="V353" s="7"/>
      <c r="W353" s="7"/>
      <c r="X353" s="26">
        <f>ROUND(X81+X153+X235+X239+X290+X324+X328+X333+X337+X342+X345+X352,5)</f>
        <v>10168187.520090001</v>
      </c>
      <c r="Y353" s="6"/>
      <c r="Z353" s="12">
        <f t="shared" si="64"/>
        <v>-791743.57990999892</v>
      </c>
      <c r="AA353" s="6"/>
      <c r="AB353" s="13">
        <f t="shared" si="65"/>
        <v>-7.2239831864453874E-2</v>
      </c>
      <c r="AG353" s="61"/>
    </row>
    <row r="354" spans="1:33" s="16" customFormat="1" ht="10.8" thickBot="1" x14ac:dyDescent="0.25">
      <c r="A354" s="2" t="s">
        <v>285</v>
      </c>
      <c r="B354" s="2"/>
      <c r="C354" s="2"/>
      <c r="D354" s="2"/>
      <c r="E354" s="2"/>
      <c r="F354" s="2"/>
      <c r="G354" s="2"/>
      <c r="H354" s="14">
        <f>ROUND(H80-H353,5)</f>
        <v>-3785789.05</v>
      </c>
      <c r="I354" s="2"/>
      <c r="J354" s="14">
        <f>ROUND(J80-J353,5)</f>
        <v>-1600951.71</v>
      </c>
      <c r="K354" s="2"/>
      <c r="L354" s="14">
        <f>ROUND(L80-L353,5)</f>
        <v>2974015.4</v>
      </c>
      <c r="M354" s="2"/>
      <c r="N354" s="14">
        <f>ROUND(N80-N353,5)</f>
        <v>0</v>
      </c>
      <c r="O354" s="2"/>
      <c r="P354" s="14">
        <f>ROUND((L354-N354),5)</f>
        <v>2974015.4</v>
      </c>
      <c r="Q354" s="2"/>
      <c r="R354" s="15">
        <f>ROUND(IF(N354=0, IF(L354=0, 0, 1), L354/N354),5)</f>
        <v>1</v>
      </c>
      <c r="S354" s="14"/>
      <c r="T354" s="28"/>
      <c r="U354" s="28"/>
      <c r="V354" s="28"/>
      <c r="W354" s="28"/>
      <c r="X354" s="27">
        <f>ROUND(X80-X353,5)</f>
        <v>0</v>
      </c>
      <c r="Y354" s="2"/>
      <c r="Z354" s="14">
        <f t="shared" si="64"/>
        <v>0</v>
      </c>
      <c r="AA354" s="2"/>
      <c r="AB354" s="15"/>
      <c r="AG354" s="62"/>
    </row>
    <row r="355" spans="1:33" ht="15" thickTop="1" x14ac:dyDescent="0.3"/>
    <row r="356" spans="1:33" ht="15.6" x14ac:dyDescent="0.3">
      <c r="C356" s="47" t="s">
        <v>362</v>
      </c>
      <c r="D356" s="47"/>
      <c r="E356" s="47"/>
      <c r="F356" s="47"/>
      <c r="G356" s="48"/>
      <c r="H356" s="48"/>
      <c r="I356" s="48"/>
      <c r="J356" s="48"/>
      <c r="K356" s="48"/>
      <c r="L356" s="48"/>
      <c r="M356" s="48"/>
      <c r="N356" s="48"/>
      <c r="O356" s="48"/>
      <c r="P356" s="48"/>
      <c r="Q356" s="48"/>
      <c r="R356" s="48"/>
      <c r="S356" s="48"/>
      <c r="T356" s="48"/>
      <c r="U356" s="48"/>
      <c r="V356" s="48"/>
      <c r="W356" s="48"/>
      <c r="X356" s="48"/>
      <c r="Y356" s="48"/>
      <c r="Z356" s="48"/>
      <c r="AA356" s="48"/>
      <c r="AB356" s="48"/>
    </row>
    <row r="358" spans="1:33" x14ac:dyDescent="0.3">
      <c r="D358" s="44" t="s">
        <v>391</v>
      </c>
      <c r="E358" s="44"/>
      <c r="H358" s="5"/>
      <c r="L358" s="44" t="s">
        <v>390</v>
      </c>
      <c r="W358" s="56" t="s">
        <v>393</v>
      </c>
    </row>
    <row r="359" spans="1:33" x14ac:dyDescent="0.3">
      <c r="F359" s="16" t="s">
        <v>400</v>
      </c>
      <c r="H359" s="5">
        <v>9008300.3499999996</v>
      </c>
      <c r="L359" s="5">
        <f>H359</f>
        <v>9008300.3499999996</v>
      </c>
      <c r="N359" s="43"/>
      <c r="W359" s="37" t="s">
        <v>329</v>
      </c>
      <c r="X359" s="5">
        <f>X353-X352</f>
        <v>9724829.4500900004</v>
      </c>
      <c r="Z359" s="49"/>
    </row>
    <row r="360" spans="1:33" x14ac:dyDescent="0.3">
      <c r="D360" s="16" t="s">
        <v>348</v>
      </c>
      <c r="G360" s="2"/>
      <c r="L360" s="5">
        <f>H376</f>
        <v>342195.8</v>
      </c>
      <c r="N360" s="43" t="s">
        <v>338</v>
      </c>
      <c r="W360" t="s">
        <v>392</v>
      </c>
      <c r="X360" s="50">
        <f>-X328</f>
        <v>-835000</v>
      </c>
    </row>
    <row r="361" spans="1:33" x14ac:dyDescent="0.3">
      <c r="F361" s="2" t="s">
        <v>334</v>
      </c>
      <c r="G361" s="2"/>
      <c r="H361" s="5">
        <v>67066.210000000006</v>
      </c>
      <c r="L361" s="5">
        <f>H377</f>
        <v>-2021750.0199999998</v>
      </c>
      <c r="N361" s="43" t="s">
        <v>339</v>
      </c>
      <c r="W361" s="37" t="s">
        <v>365</v>
      </c>
      <c r="X361" s="5">
        <f>SUM(X359:X360)</f>
        <v>8889829.4500900004</v>
      </c>
    </row>
    <row r="362" spans="1:33" ht="15" thickBot="1" x14ac:dyDescent="0.35">
      <c r="F362" s="2" t="s">
        <v>335</v>
      </c>
      <c r="L362" s="39">
        <f>SUM(L359:L361)</f>
        <v>7328746.1300000008</v>
      </c>
      <c r="N362" s="43" t="s">
        <v>389</v>
      </c>
      <c r="W362" s="37" t="s">
        <v>330</v>
      </c>
      <c r="X362" s="53">
        <f>X361*0.2</f>
        <v>1777965.8900180003</v>
      </c>
    </row>
    <row r="363" spans="1:33" x14ac:dyDescent="0.3">
      <c r="F363" s="16">
        <v>2023</v>
      </c>
      <c r="H363" s="5">
        <v>535000</v>
      </c>
      <c r="N363" s="43"/>
      <c r="V363" s="54"/>
      <c r="W363" s="37"/>
      <c r="X363" s="5"/>
    </row>
    <row r="364" spans="1:33" x14ac:dyDescent="0.3">
      <c r="F364" s="16">
        <v>2024</v>
      </c>
      <c r="H364" s="50">
        <v>731341</v>
      </c>
      <c r="L364" s="5">
        <f>-X362</f>
        <v>-1777965.8900180003</v>
      </c>
      <c r="N364" s="43" t="s">
        <v>357</v>
      </c>
      <c r="W364" s="55" t="s">
        <v>331</v>
      </c>
    </row>
    <row r="365" spans="1:33" x14ac:dyDescent="0.3">
      <c r="F365" s="16" t="s">
        <v>336</v>
      </c>
      <c r="H365" s="5">
        <f>SUM(H363:H364)</f>
        <v>1266341</v>
      </c>
      <c r="L365" s="5">
        <f>-X348</f>
        <v>-50000</v>
      </c>
      <c r="N365" s="43" t="s">
        <v>358</v>
      </c>
      <c r="W365" s="46" t="s">
        <v>345</v>
      </c>
      <c r="X365" s="5">
        <f>X348</f>
        <v>50000</v>
      </c>
    </row>
    <row r="366" spans="1:33" x14ac:dyDescent="0.3">
      <c r="F366" s="16" t="s">
        <v>346</v>
      </c>
      <c r="H366" s="41">
        <f>H361+H365</f>
        <v>1333407.21</v>
      </c>
      <c r="L366" s="5">
        <f>-X349</f>
        <v>-393358.07</v>
      </c>
      <c r="N366" s="43" t="s">
        <v>358</v>
      </c>
      <c r="W366" s="46" t="s">
        <v>332</v>
      </c>
      <c r="X366" s="5">
        <f>X349</f>
        <v>393358.07</v>
      </c>
    </row>
    <row r="367" spans="1:33" x14ac:dyDescent="0.3">
      <c r="D367" s="16" t="s">
        <v>351</v>
      </c>
      <c r="L367" s="5">
        <f>-X367</f>
        <v>-125201.82008999999</v>
      </c>
      <c r="N367" s="43" t="s">
        <v>359</v>
      </c>
      <c r="W367" s="46" t="s">
        <v>333</v>
      </c>
      <c r="X367" s="5">
        <f>X370-SUM(X365:X366)</f>
        <v>125201.82008999999</v>
      </c>
    </row>
    <row r="368" spans="1:33" ht="15" thickBot="1" x14ac:dyDescent="0.35">
      <c r="F368" s="16" t="s">
        <v>352</v>
      </c>
      <c r="L368" s="39">
        <f>SUM(L362:L367)</f>
        <v>4982220.3498920007</v>
      </c>
      <c r="N368" s="43"/>
      <c r="X368" s="53">
        <f>SUM(X365:X367)</f>
        <v>568559.89009</v>
      </c>
    </row>
    <row r="369" spans="4:24" x14ac:dyDescent="0.3">
      <c r="F369" s="16" t="s">
        <v>334</v>
      </c>
      <c r="H369" s="5">
        <f>H361</f>
        <v>67066.210000000006</v>
      </c>
      <c r="L369" s="5">
        <f>-X359</f>
        <v>-9724829.4500900004</v>
      </c>
      <c r="N369" s="43" t="s">
        <v>363</v>
      </c>
    </row>
    <row r="370" spans="4:24" x14ac:dyDescent="0.3">
      <c r="F370" s="16" t="s">
        <v>335</v>
      </c>
      <c r="H370" s="5">
        <f>H365</f>
        <v>1266341</v>
      </c>
      <c r="L370" s="5">
        <f>X80-X368</f>
        <v>9599627.6300000008</v>
      </c>
      <c r="N370" s="43" t="s">
        <v>364</v>
      </c>
      <c r="W370" s="46" t="s">
        <v>406</v>
      </c>
      <c r="X370" s="5">
        <v>568559.89009</v>
      </c>
    </row>
    <row r="371" spans="4:24" ht="15" thickBot="1" x14ac:dyDescent="0.35">
      <c r="F371" s="16" t="s">
        <v>353</v>
      </c>
      <c r="H371" s="39">
        <f>SUM(H369:H370)</f>
        <v>1333407.21</v>
      </c>
      <c r="L371" s="45">
        <f>SUM(L368:L370)</f>
        <v>4857018.5298020011</v>
      </c>
      <c r="N371" s="43" t="s">
        <v>394</v>
      </c>
      <c r="W371" s="46" t="s">
        <v>407</v>
      </c>
      <c r="X371" s="5">
        <f>X368-X370</f>
        <v>0</v>
      </c>
    </row>
    <row r="372" spans="4:24" x14ac:dyDescent="0.3">
      <c r="F372" s="16" t="s">
        <v>354</v>
      </c>
      <c r="H372" s="41">
        <f>-X365</f>
        <v>-50000</v>
      </c>
    </row>
    <row r="373" spans="4:24" ht="15" thickBot="1" x14ac:dyDescent="0.35">
      <c r="F373" s="16" t="s">
        <v>355</v>
      </c>
      <c r="H373" s="39">
        <f>SUM(H371:H372)</f>
        <v>1283407.21</v>
      </c>
      <c r="L373" s="5">
        <f>X362</f>
        <v>1777965.8900180003</v>
      </c>
      <c r="N373" s="43" t="s">
        <v>357</v>
      </c>
      <c r="U373" s="40"/>
    </row>
    <row r="374" spans="4:24" ht="15" thickBot="1" x14ac:dyDescent="0.35">
      <c r="D374" s="16" t="s">
        <v>349</v>
      </c>
      <c r="H374" s="42"/>
      <c r="L374" s="45">
        <f>SUM(L371:L373)</f>
        <v>6634984.4198200013</v>
      </c>
      <c r="N374" s="43" t="s">
        <v>395</v>
      </c>
    </row>
    <row r="375" spans="4:24" x14ac:dyDescent="0.3">
      <c r="F375" s="16" t="s">
        <v>337</v>
      </c>
      <c r="H375" s="5">
        <f>H359-H366</f>
        <v>7674893.1399999997</v>
      </c>
      <c r="N375" s="43"/>
    </row>
    <row r="376" spans="4:24" x14ac:dyDescent="0.3">
      <c r="F376" s="16" t="s">
        <v>338</v>
      </c>
      <c r="H376" s="5">
        <f>S80</f>
        <v>342195.8</v>
      </c>
      <c r="L376" s="5"/>
    </row>
    <row r="377" spans="4:24" x14ac:dyDescent="0.3">
      <c r="F377" s="16" t="s">
        <v>339</v>
      </c>
      <c r="H377" s="5">
        <f>S353*-1</f>
        <v>-2021750.0199999998</v>
      </c>
      <c r="L377" s="5"/>
    </row>
    <row r="378" spans="4:24" ht="15" thickBot="1" x14ac:dyDescent="0.35">
      <c r="F378" s="16" t="s">
        <v>340</v>
      </c>
      <c r="H378" s="39">
        <f>SUM(H375:H377)</f>
        <v>5995338.9199999999</v>
      </c>
      <c r="J378" s="52"/>
      <c r="L378" s="5"/>
    </row>
    <row r="379" spans="4:24" x14ac:dyDescent="0.3">
      <c r="D379" s="16" t="s">
        <v>350</v>
      </c>
      <c r="L379" s="5"/>
    </row>
    <row r="380" spans="4:24" x14ac:dyDescent="0.3">
      <c r="F380" s="16" t="s">
        <v>341</v>
      </c>
      <c r="H380" s="5">
        <f>X362</f>
        <v>1777965.8900180003</v>
      </c>
      <c r="L380" s="5"/>
    </row>
    <row r="381" spans="4:24" ht="15" thickBot="1" x14ac:dyDescent="0.35">
      <c r="F381" s="16" t="s">
        <v>344</v>
      </c>
      <c r="H381" s="39">
        <f>H378-H380</f>
        <v>4217373.0299819997</v>
      </c>
      <c r="L381" s="5"/>
    </row>
    <row r="382" spans="4:24" x14ac:dyDescent="0.3">
      <c r="F382" s="16" t="s">
        <v>342</v>
      </c>
      <c r="H382" s="5">
        <f>-X367</f>
        <v>-125201.82008999999</v>
      </c>
      <c r="L382" s="5"/>
    </row>
    <row r="383" spans="4:24" x14ac:dyDescent="0.3">
      <c r="F383" s="16" t="s">
        <v>343</v>
      </c>
      <c r="G383" s="38"/>
      <c r="H383" s="5">
        <f>-X366</f>
        <v>-393358.07</v>
      </c>
      <c r="L383" s="5"/>
    </row>
    <row r="384" spans="4:24" x14ac:dyDescent="0.3">
      <c r="L384" s="5"/>
    </row>
    <row r="385" spans="6:12" x14ac:dyDescent="0.3">
      <c r="F385" s="16" t="s">
        <v>347</v>
      </c>
      <c r="H385" s="5">
        <f>SUM(H381:H384)</f>
        <v>3698813.1398919998</v>
      </c>
      <c r="L385" s="5"/>
    </row>
    <row r="386" spans="6:12" x14ac:dyDescent="0.3">
      <c r="F386" s="16" t="s">
        <v>356</v>
      </c>
      <c r="H386" s="5">
        <f>H373</f>
        <v>1283407.21</v>
      </c>
      <c r="L386" s="5"/>
    </row>
    <row r="387" spans="6:12" ht="15" thickBot="1" x14ac:dyDescent="0.35">
      <c r="G387" s="44"/>
      <c r="H387" s="45">
        <f>SUM(H385:H386)</f>
        <v>4982220.3498919997</v>
      </c>
    </row>
    <row r="389" spans="6:12" x14ac:dyDescent="0.3">
      <c r="F389" s="57" t="s">
        <v>360</v>
      </c>
      <c r="H389" s="5">
        <f>L370</f>
        <v>9599627.6300000008</v>
      </c>
    </row>
    <row r="390" spans="6:12" x14ac:dyDescent="0.3">
      <c r="F390" s="57" t="s">
        <v>361</v>
      </c>
      <c r="H390" s="5">
        <f>-X359</f>
        <v>-9724829.4500900004</v>
      </c>
    </row>
    <row r="391" spans="6:12" ht="15" thickBot="1" x14ac:dyDescent="0.35">
      <c r="F391" s="57" t="s">
        <v>396</v>
      </c>
      <c r="H391" s="45">
        <f>SUM(H387:H390)</f>
        <v>4857018.5298020002</v>
      </c>
    </row>
    <row r="393" spans="6:12" x14ac:dyDescent="0.3">
      <c r="F393" s="16" t="s">
        <v>398</v>
      </c>
      <c r="H393" s="5">
        <f>H380</f>
        <v>1777965.8900180003</v>
      </c>
    </row>
    <row r="394" spans="6:12" x14ac:dyDescent="0.3">
      <c r="F394" s="57" t="s">
        <v>396</v>
      </c>
      <c r="H394" s="5">
        <f>H391</f>
        <v>4857018.5298020002</v>
      </c>
    </row>
    <row r="395" spans="6:12" ht="15" thickBot="1" x14ac:dyDescent="0.35">
      <c r="F395" s="16" t="s">
        <v>397</v>
      </c>
      <c r="H395" s="45">
        <f>SUM(H393:H394)</f>
        <v>6634984.4198200004</v>
      </c>
    </row>
  </sheetData>
  <sortState xmlns:xlrd2="http://schemas.microsoft.com/office/spreadsheetml/2017/richdata2" ref="U160:W176">
    <sortCondition ref="U160:U176"/>
  </sortState>
  <phoneticPr fontId="4" type="noConversion"/>
  <pageMargins left="0.7" right="0.7" top="0.75" bottom="0.75" header="0.1" footer="0.3"/>
  <pageSetup paperSize="3" scale="60" fitToHeight="0" orientation="landscape" r:id="rId1"/>
  <headerFooter>
    <oddHeader xml:space="preserve">&amp;L&amp;"Arial,Bold"&amp;8&amp;D&amp;C&amp;"Arial,Bold"&amp;12GENERAL FUND 
2025 PROPOSED BUDGET
</oddHeader>
    <oddFooter>&amp;R&amp;"Arial,Bold"&amp;8 Page &amp;P of &amp;N</oddFooter>
  </headerFooter>
  <rowBreaks count="3" manualBreakCount="3">
    <brk id="193" max="31" man="1"/>
    <brk id="290" max="16383" man="1"/>
    <brk id="355" max="16383" man="1"/>
  </rowBreaks>
  <drawing r:id="rId2"/>
  <legacyDrawing r:id="rId3"/>
  <controls>
    <mc:AlternateContent xmlns:mc="http://schemas.openxmlformats.org/markup-compatibility/2006">
      <mc:Choice Requires="x14">
        <control shapeId="1025" r:id="rId4" name="FILTER">
          <controlPr defaultSize="0" autoLine="0" autoPict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4</xdr:col>
                <xdr:colOff>114300</xdr:colOff>
                <xdr:row>1</xdr:row>
                <xdr:rowOff>22860</xdr:rowOff>
              </to>
            </anchor>
          </controlPr>
        </control>
      </mc:Choice>
      <mc:Fallback>
        <control shapeId="1025" r:id="rId4" name="FILTER"/>
      </mc:Fallback>
    </mc:AlternateContent>
    <mc:AlternateContent xmlns:mc="http://schemas.openxmlformats.org/markup-compatibility/2006">
      <mc:Choice Requires="x14">
        <control shapeId="1026" r:id="rId6" name="HEADER">
          <controlPr defaultSize="0" autoLine="0" autoPict="0" r:id="rId7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4</xdr:col>
                <xdr:colOff>114300</xdr:colOff>
                <xdr:row>1</xdr:row>
                <xdr:rowOff>22860</xdr:rowOff>
              </to>
            </anchor>
          </controlPr>
        </control>
      </mc:Choice>
      <mc:Fallback>
        <control shapeId="1026" r:id="rId6" name="HEADER"/>
      </mc:Fallback>
    </mc:AlternateContent>
  </control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EBCE25D011327459FD965D024390F56" ma:contentTypeVersion="15" ma:contentTypeDescription="Create a new document." ma:contentTypeScope="" ma:versionID="22e1d8bdac56f5152f84825d07dd689b">
  <xsd:schema xmlns:xsd="http://www.w3.org/2001/XMLSchema" xmlns:xs="http://www.w3.org/2001/XMLSchema" xmlns:p="http://schemas.microsoft.com/office/2006/metadata/properties" xmlns:ns2="af1a3165-e6e0-42d4-bddb-ba203468c5e3" xmlns:ns3="c41cf4a1-2979-4b19-ba59-0a0b6b0c0d63" targetNamespace="http://schemas.microsoft.com/office/2006/metadata/properties" ma:root="true" ma:fieldsID="7c8805f64186a792086a2c387cf02510" ns2:_="" ns3:_="">
    <xsd:import namespace="af1a3165-e6e0-42d4-bddb-ba203468c5e3"/>
    <xsd:import namespace="c41cf4a1-2979-4b19-ba59-0a0b6b0c0d63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2:MediaServiceOCR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1a3165-e6e0-42d4-bddb-ba203468c5e3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Image Tags" ma:readOnly="false" ma:fieldId="{5cf76f15-5ced-4ddc-b409-7134ff3c332f}" ma:taxonomyMulti="true" ma:sspId="7a985c99-e50b-44d7-8f83-c56180bf4d8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1cf4a1-2979-4b19-ba59-0a0b6b0c0d63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6dfbd23f-22bb-455a-b843-bc7e17406b76}" ma:internalName="TaxCatchAll" ma:showField="CatchAllData" ma:web="c41cf4a1-2979-4b19-ba59-0a0b6b0c0d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f1a3165-e6e0-42d4-bddb-ba203468c5e3">
      <Terms xmlns="http://schemas.microsoft.com/office/infopath/2007/PartnerControls"/>
    </lcf76f155ced4ddcb4097134ff3c332f>
    <TaxCatchAll xmlns="c41cf4a1-2979-4b19-ba59-0a0b6b0c0d6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88BD3AF-9BE8-4002-93A7-BB960C728EB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f1a3165-e6e0-42d4-bddb-ba203468c5e3"/>
    <ds:schemaRef ds:uri="c41cf4a1-2979-4b19-ba59-0a0b6b0c0d6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48DF3DB-2B79-46F9-AFDF-5982F70472A4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http://purl.org/dc/dcmitype/"/>
    <ds:schemaRef ds:uri="c41cf4a1-2979-4b19-ba59-0a0b6b0c0d63"/>
    <ds:schemaRef ds:uri="http://purl.org/dc/terms/"/>
    <ds:schemaRef ds:uri="af1a3165-e6e0-42d4-bddb-ba203468c5e3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736F17E8-68CD-409E-9C67-249A6FF385C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Chart1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Jerrod Belvin</dc:creator>
  <cp:lastModifiedBy>Paola Razzaq</cp:lastModifiedBy>
  <cp:lastPrinted>2024-10-21T15:34:21Z</cp:lastPrinted>
  <dcterms:created xsi:type="dcterms:W3CDTF">2024-07-29T19:17:14Z</dcterms:created>
  <dcterms:modified xsi:type="dcterms:W3CDTF">2024-11-22T13:48:16Z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0x0101006EBCE25D011327459FD965D024390F56</vt:lpwstr>
  </property>
  <property fmtid="{D5CDD505-2E9C-101B-9397-08002B2CF9AE}" pid="3" name="MediaServiceImageTags">
    <vt:lpwstr/>
  </property>
</Properties>
</file>