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1ec3556c5a1cae6/Documents/IHA/OCULUS John M/"/>
    </mc:Choice>
  </mc:AlternateContent>
  <xr:revisionPtr revIDLastSave="0" documentId="8_{31BCA728-152C-4EA1-9404-384DFCE19FE6}" xr6:coauthVersionLast="47" xr6:coauthVersionMax="47" xr10:uidLastSave="{00000000-0000-0000-0000-000000000000}"/>
  <bookViews>
    <workbookView xWindow="-28920" yWindow="-2175" windowWidth="29040" windowHeight="17520" xr2:uid="{3549F049-C456-431C-BEE7-9DA65FAE61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12" i="1"/>
  <c r="D26" i="1"/>
  <c r="D32" i="1"/>
  <c r="H13" i="1"/>
  <c r="G15" i="1"/>
  <c r="H15" i="1" s="1"/>
  <c r="H16" i="1"/>
  <c r="H11" i="1"/>
  <c r="H10" i="1"/>
  <c r="H12" i="1"/>
  <c r="D37" i="1"/>
  <c r="D36" i="1"/>
  <c r="D35" i="1"/>
  <c r="D34" i="1"/>
  <c r="D33" i="1"/>
  <c r="D22" i="1"/>
  <c r="G22" i="1" s="1"/>
  <c r="H22" i="1" s="1"/>
  <c r="E22" i="1" l="1"/>
  <c r="G21" i="1" l="1"/>
  <c r="H21" i="1" s="1"/>
  <c r="E21" i="1"/>
  <c r="G20" i="1"/>
  <c r="H20" i="1" s="1"/>
  <c r="H8" i="1"/>
  <c r="H9" i="1"/>
  <c r="E20" i="1"/>
  <c r="H7" i="1"/>
  <c r="D19" i="1"/>
  <c r="E33" i="1"/>
  <c r="E34" i="1"/>
  <c r="G19" i="1" l="1"/>
  <c r="G23" i="1" s="1"/>
  <c r="D23" i="1"/>
  <c r="E19" i="1"/>
  <c r="E23" i="1" s="1"/>
  <c r="E35" i="1"/>
  <c r="E37" i="1"/>
  <c r="E36" i="1"/>
  <c r="H19" i="1" l="1"/>
  <c r="H23" i="1" s="1"/>
  <c r="D29" i="1" l="1"/>
  <c r="D38" i="1" s="1"/>
  <c r="D41" i="1" s="1"/>
  <c r="E32" i="1" l="1"/>
  <c r="E38" i="1" s="1"/>
</calcChain>
</file>

<file path=xl/sharedStrings.xml><?xml version="1.0" encoding="utf-8"?>
<sst xmlns="http://schemas.openxmlformats.org/spreadsheetml/2006/main" count="66" uniqueCount="63">
  <si>
    <t>annual</t>
  </si>
  <si>
    <t>HOA</t>
  </si>
  <si>
    <t>Taxes</t>
  </si>
  <si>
    <t>Insurance</t>
  </si>
  <si>
    <t>Maintenance</t>
  </si>
  <si>
    <t>Total monthly</t>
  </si>
  <si>
    <t>Utilities (Water/ Sewer)</t>
  </si>
  <si>
    <t>Annual</t>
  </si>
  <si>
    <t>Monthly</t>
  </si>
  <si>
    <t>PMT (annual)</t>
  </si>
  <si>
    <t>per unit</t>
  </si>
  <si>
    <t>New Mortgage</t>
  </si>
  <si>
    <t>Rate</t>
  </si>
  <si>
    <t>Amort</t>
  </si>
  <si>
    <t>Oakwood Family Homes</t>
  </si>
  <si>
    <t>Lease-Purchase Exit Strategy</t>
  </si>
  <si>
    <t>Mortgage PMT</t>
  </si>
  <si>
    <t>(2nd) CDA</t>
  </si>
  <si>
    <t>(3rd) ACDS</t>
  </si>
  <si>
    <t>Unit upgrades</t>
  </si>
  <si>
    <t>Retrofit Club house</t>
  </si>
  <si>
    <t>Per Unit</t>
  </si>
  <si>
    <t xml:space="preserve">Current </t>
  </si>
  <si>
    <t>Balance</t>
  </si>
  <si>
    <t>(1st) Pac Life / Berkadia(?)</t>
  </si>
  <si>
    <t>LP Exit Taxes, Other (BOA)</t>
  </si>
  <si>
    <t>Maturity</t>
  </si>
  <si>
    <t>Nori</t>
  </si>
  <si>
    <t>asset managemet</t>
  </si>
  <si>
    <t>Lender</t>
  </si>
  <si>
    <t>Joseph Pulver - dir of asset management</t>
  </si>
  <si>
    <t>Joey / Joe</t>
  </si>
  <si>
    <t>Indvidual Mortgage Closing Costs</t>
  </si>
  <si>
    <t>General Closing Costs GP</t>
  </si>
  <si>
    <t>what income does this translate to</t>
  </si>
  <si>
    <t>60% AMI</t>
  </si>
  <si>
    <t>3-person</t>
  </si>
  <si>
    <t>4-person</t>
  </si>
  <si>
    <t>50% AMI</t>
  </si>
  <si>
    <t>Anne-Arundel County</t>
  </si>
  <si>
    <t>Soft Second</t>
  </si>
  <si>
    <t>Appraised Value</t>
  </si>
  <si>
    <t>40% AMI</t>
  </si>
  <si>
    <t>need amend the mortgage to allow spinning off of units</t>
  </si>
  <si>
    <t>need to calculate this based on the value of the home / tax exemption?</t>
  </si>
  <si>
    <t>First time Homebuyer assistance</t>
  </si>
  <si>
    <t>need date of end of Compliance Period</t>
  </si>
  <si>
    <t>Interfaith</t>
  </si>
  <si>
    <t>source:</t>
  </si>
  <si>
    <t>Reserve - $300K?</t>
  </si>
  <si>
    <t>Application of Property Level Reserves</t>
  </si>
  <si>
    <t>ACDS Accrued Interest @ 2/26</t>
  </si>
  <si>
    <t>CDA Accrued Interest @ 2/26</t>
  </si>
  <si>
    <t>Development Fees Payable</t>
  </si>
  <si>
    <t>OPTIONAL: Closing Cost Assistance</t>
  </si>
  <si>
    <t>OPTIONAL: HOA Reserve Fund</t>
  </si>
  <si>
    <t>Accrued Partnership Management Fee</t>
  </si>
  <si>
    <t xml:space="preserve">Accrued Special Limited Partner Distribution </t>
  </si>
  <si>
    <t>as of 12/31/2018; $5000 per year so likely higher</t>
  </si>
  <si>
    <t>need an estimate</t>
  </si>
  <si>
    <t>From MDHCD RHPP Regulatory Agreement</t>
  </si>
  <si>
    <t>ACDS HOME Covenant</t>
  </si>
  <si>
    <t>per Lease-Purchase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</si>
</sst>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0" applyNumberFormat="1"/>
    <xf numFmtId="0" fontId="3" fillId="0" borderId="0" xfId="0" applyFont="1"/>
    <xf numFmtId="164" fontId="0" fillId="0" borderId="1" xfId="0" applyNumberFormat="1" applyBorder="1"/>
    <xf numFmtId="0" fontId="0" fillId="0" borderId="0" xfId="0" applyAlignment="1">
      <alignment horizontal="center"/>
    </xf>
    <xf numFmtId="164" fontId="0" fillId="0" borderId="0" xfId="1" applyNumberFormat="1" applyFont="1"/>
    <xf numFmtId="164" fontId="3" fillId="0" borderId="0" xfId="1" applyNumberFormat="1" applyFont="1"/>
    <xf numFmtId="10" fontId="3" fillId="0" borderId="0" xfId="2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2" fillId="0" borderId="0" xfId="0" applyNumberFormat="1" applyFont="1"/>
    <xf numFmtId="164" fontId="0" fillId="0" borderId="0" xfId="0" applyNumberFormat="1"/>
    <xf numFmtId="44" fontId="3" fillId="0" borderId="0" xfId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left" indent="2"/>
    </xf>
    <xf numFmtId="164" fontId="2" fillId="2" borderId="1" xfId="0" applyNumberFormat="1" applyFont="1" applyFill="1" applyBorder="1"/>
    <xf numFmtId="165" fontId="3" fillId="0" borderId="0" xfId="0" applyNumberFormat="1" applyFont="1"/>
    <xf numFmtId="44" fontId="0" fillId="0" borderId="0" xfId="0" applyNumberFormat="1" applyAlignment="1">
      <alignment horizontal="center"/>
    </xf>
    <xf numFmtId="0" fontId="6" fillId="0" borderId="0" xfId="0" applyFont="1" applyAlignment="1">
      <alignment horizontal="left" indent="2"/>
    </xf>
    <xf numFmtId="164" fontId="0" fillId="3" borderId="0" xfId="1" applyNumberFormat="1" applyFont="1" applyFill="1"/>
    <xf numFmtId="164" fontId="2" fillId="0" borderId="1" xfId="0" applyNumberFormat="1" applyFont="1" applyBorder="1"/>
    <xf numFmtId="164" fontId="0" fillId="0" borderId="0" xfId="1" applyNumberFormat="1" applyFont="1" applyFill="1"/>
    <xf numFmtId="0" fontId="0" fillId="4" borderId="0" xfId="0" applyFill="1"/>
    <xf numFmtId="0" fontId="0" fillId="4" borderId="0" xfId="0" applyFill="1" applyAlignment="1">
      <alignment horizontal="left" indent="2"/>
    </xf>
    <xf numFmtId="164" fontId="0" fillId="4" borderId="0" xfId="1" applyNumberFormat="1" applyFont="1" applyFill="1"/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4" fontId="8" fillId="5" borderId="0" xfId="1" applyFont="1" applyFill="1"/>
    <xf numFmtId="164" fontId="8" fillId="5" borderId="0" xfId="1" applyNumberFormat="1" applyFont="1" applyFill="1"/>
    <xf numFmtId="164" fontId="8" fillId="5" borderId="1" xfId="0" applyNumberFormat="1" applyFont="1" applyFill="1" applyBorder="1"/>
    <xf numFmtId="0" fontId="4" fillId="4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23</xdr:row>
      <xdr:rowOff>0</xdr:rowOff>
    </xdr:from>
    <xdr:to>
      <xdr:col>18</xdr:col>
      <xdr:colOff>275784</xdr:colOff>
      <xdr:row>28</xdr:row>
      <xdr:rowOff>143028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61504E-63D5-415A-F99B-7219D2A19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8929" y="4429125"/>
          <a:ext cx="6582694" cy="109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19</xdr:col>
      <xdr:colOff>332941</xdr:colOff>
      <xdr:row>44</xdr:row>
      <xdr:rowOff>47765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41A3E8-0D36-9808-FB1F-253F05979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7477125"/>
          <a:ext cx="6639852" cy="100026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19</xdr:col>
      <xdr:colOff>218625</xdr:colOff>
      <xdr:row>70</xdr:row>
      <xdr:rowOff>95928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09CBB6-7917-C003-0390-89CEEC381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01250" y="8620125"/>
          <a:ext cx="6525536" cy="485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71</xdr:row>
      <xdr:rowOff>0</xdr:rowOff>
    </xdr:from>
    <xdr:to>
      <xdr:col>18</xdr:col>
      <xdr:colOff>354630</xdr:colOff>
      <xdr:row>74</xdr:row>
      <xdr:rowOff>162027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4CB7D6-B28A-7322-A3AF-2B20B5277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0" y="13573125"/>
          <a:ext cx="6049219" cy="733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1B5D-C7A8-4494-BAD7-2EE3FEA1962D}">
  <dimension ref="A1:S46"/>
  <sheetViews>
    <sheetView tabSelected="1" zoomScale="110" zoomScaleNormal="110" workbookViewId="0">
      <selection activeCell="Q37" sqref="Q37"/>
    </sheetView>
  </sheetViews>
  <sheetFormatPr defaultRowHeight="15" x14ac:dyDescent="0.25"/>
  <cols>
    <col min="1" max="1" width="11.85546875" customWidth="1"/>
    <col min="2" max="2" width="36.42578125" customWidth="1"/>
    <col min="3" max="3" width="4" customWidth="1"/>
    <col min="4" max="4" width="14.28515625" bestFit="1" customWidth="1"/>
    <col min="5" max="5" width="15.28515625" customWidth="1"/>
    <col min="6" max="6" width="4.42578125" customWidth="1"/>
    <col min="7" max="7" width="15.140625" customWidth="1"/>
    <col min="8" max="8" width="15" customWidth="1"/>
    <col min="9" max="9" width="15.28515625" bestFit="1" customWidth="1"/>
    <col min="14" max="14" width="30.28515625" bestFit="1" customWidth="1"/>
  </cols>
  <sheetData>
    <row r="1" spans="1:19" ht="18.75" x14ac:dyDescent="0.3">
      <c r="A1" s="16" t="s">
        <v>14</v>
      </c>
    </row>
    <row r="2" spans="1:19" x14ac:dyDescent="0.25">
      <c r="A2" s="14" t="s">
        <v>15</v>
      </c>
    </row>
    <row r="3" spans="1:19" x14ac:dyDescent="0.25">
      <c r="A3" s="14" t="s">
        <v>47</v>
      </c>
      <c r="R3" t="s">
        <v>27</v>
      </c>
    </row>
    <row r="4" spans="1:19" x14ac:dyDescent="0.25">
      <c r="D4" s="28"/>
      <c r="E4" s="29">
        <v>23</v>
      </c>
    </row>
    <row r="5" spans="1:19" x14ac:dyDescent="0.25">
      <c r="D5" s="30">
        <v>2029</v>
      </c>
      <c r="E5" s="29" t="s">
        <v>21</v>
      </c>
      <c r="G5" s="13">
        <v>2026</v>
      </c>
      <c r="J5" s="4" t="s">
        <v>12</v>
      </c>
      <c r="K5" s="4" t="s">
        <v>26</v>
      </c>
      <c r="L5" s="4"/>
    </row>
    <row r="6" spans="1:19" x14ac:dyDescent="0.25">
      <c r="B6" s="21" t="s">
        <v>29</v>
      </c>
      <c r="D6" s="31" t="s">
        <v>23</v>
      </c>
      <c r="E6" s="31" t="s">
        <v>10</v>
      </c>
      <c r="G6" s="8" t="s">
        <v>22</v>
      </c>
      <c r="H6" s="8" t="s">
        <v>10</v>
      </c>
    </row>
    <row r="7" spans="1:19" x14ac:dyDescent="0.25">
      <c r="B7" s="15" t="s">
        <v>24</v>
      </c>
      <c r="C7" s="15"/>
      <c r="D7" s="32">
        <v>0</v>
      </c>
      <c r="E7" s="32">
        <v>0</v>
      </c>
      <c r="G7" s="22">
        <v>856820</v>
      </c>
      <c r="H7" s="5">
        <f>G7/$E$4</f>
        <v>37253.043478260872</v>
      </c>
      <c r="I7" s="14" t="s">
        <v>43</v>
      </c>
      <c r="N7" t="s">
        <v>45</v>
      </c>
      <c r="R7" t="s">
        <v>28</v>
      </c>
    </row>
    <row r="8" spans="1:19" x14ac:dyDescent="0.25">
      <c r="B8" s="15" t="s">
        <v>17</v>
      </c>
      <c r="C8" s="15"/>
      <c r="D8" s="32">
        <v>0</v>
      </c>
      <c r="E8" s="32">
        <v>0</v>
      </c>
      <c r="G8" s="5">
        <v>940000</v>
      </c>
      <c r="H8" s="5">
        <f>G8/$E$4</f>
        <v>40869.565217391304</v>
      </c>
      <c r="N8" t="s">
        <v>46</v>
      </c>
      <c r="S8" t="s">
        <v>30</v>
      </c>
    </row>
    <row r="9" spans="1:19" x14ac:dyDescent="0.25">
      <c r="B9" s="15" t="s">
        <v>18</v>
      </c>
      <c r="C9" s="15"/>
      <c r="D9" s="32">
        <v>0</v>
      </c>
      <c r="E9" s="32">
        <v>0</v>
      </c>
      <c r="G9" s="5">
        <v>650000</v>
      </c>
      <c r="H9" s="5">
        <f>G9/$E$4</f>
        <v>28260.869565217392</v>
      </c>
      <c r="S9" t="s">
        <v>31</v>
      </c>
    </row>
    <row r="10" spans="1:19" s="25" customFormat="1" x14ac:dyDescent="0.25">
      <c r="B10" s="26" t="s">
        <v>52</v>
      </c>
      <c r="C10" s="26"/>
      <c r="D10" s="32"/>
      <c r="E10" s="32"/>
      <c r="G10" s="27">
        <v>136150</v>
      </c>
      <c r="H10" s="27">
        <f t="shared" ref="H10:H16" si="0">G10/$E$4</f>
        <v>5919.565217391304</v>
      </c>
    </row>
    <row r="11" spans="1:19" s="25" customFormat="1" x14ac:dyDescent="0.25">
      <c r="B11" s="26" t="s">
        <v>51</v>
      </c>
      <c r="C11" s="26"/>
      <c r="D11" s="32"/>
      <c r="E11" s="32"/>
      <c r="G11" s="27">
        <v>119566</v>
      </c>
      <c r="H11" s="27">
        <f t="shared" si="0"/>
        <v>5198.521739130435</v>
      </c>
    </row>
    <row r="12" spans="1:19" s="25" customFormat="1" x14ac:dyDescent="0.25">
      <c r="B12" s="26" t="s">
        <v>53</v>
      </c>
      <c r="C12" s="26"/>
      <c r="D12" s="32"/>
      <c r="E12" s="32"/>
      <c r="G12" s="27">
        <f>147026+310537</f>
        <v>457563</v>
      </c>
      <c r="H12" s="27">
        <f t="shared" si="0"/>
        <v>19894.043478260868</v>
      </c>
    </row>
    <row r="13" spans="1:19" s="25" customFormat="1" x14ac:dyDescent="0.25">
      <c r="B13" s="26" t="s">
        <v>56</v>
      </c>
      <c r="C13" s="26"/>
      <c r="D13" s="32"/>
      <c r="E13" s="32"/>
      <c r="G13" s="27">
        <v>25000</v>
      </c>
      <c r="H13" s="27">
        <f t="shared" si="0"/>
        <v>1086.9565217391305</v>
      </c>
      <c r="I13" s="25" t="s">
        <v>58</v>
      </c>
    </row>
    <row r="14" spans="1:19" s="25" customFormat="1" x14ac:dyDescent="0.25">
      <c r="B14" s="26" t="s">
        <v>57</v>
      </c>
      <c r="C14" s="26"/>
      <c r="D14" s="32"/>
      <c r="E14" s="32"/>
      <c r="G14" s="27"/>
      <c r="H14" s="27"/>
    </row>
    <row r="15" spans="1:19" s="25" customFormat="1" x14ac:dyDescent="0.25">
      <c r="B15" s="26" t="s">
        <v>54</v>
      </c>
      <c r="C15" s="26"/>
      <c r="D15" s="32"/>
      <c r="E15" s="32"/>
      <c r="G15" s="27">
        <f>E4*8000</f>
        <v>184000</v>
      </c>
      <c r="H15" s="27">
        <f t="shared" si="0"/>
        <v>8000</v>
      </c>
      <c r="I15" s="25" t="s">
        <v>62</v>
      </c>
    </row>
    <row r="16" spans="1:19" s="25" customFormat="1" x14ac:dyDescent="0.25">
      <c r="B16" s="26" t="s">
        <v>55</v>
      </c>
      <c r="C16" s="26"/>
      <c r="D16" s="32"/>
      <c r="E16" s="32"/>
      <c r="G16" s="27">
        <v>50025</v>
      </c>
      <c r="H16" s="27">
        <f t="shared" si="0"/>
        <v>2175</v>
      </c>
      <c r="I16" s="25" t="s">
        <v>62</v>
      </c>
    </row>
    <row r="17" spans="1:14" x14ac:dyDescent="0.25">
      <c r="B17" s="15" t="s">
        <v>25</v>
      </c>
      <c r="C17" s="15"/>
      <c r="D17" s="32">
        <v>0</v>
      </c>
      <c r="E17" s="32">
        <v>0</v>
      </c>
      <c r="G17" s="27">
        <v>0</v>
      </c>
      <c r="H17" s="24">
        <v>0</v>
      </c>
      <c r="I17" s="25" t="s">
        <v>59</v>
      </c>
    </row>
    <row r="18" spans="1:14" x14ac:dyDescent="0.25">
      <c r="B18" s="15" t="s">
        <v>50</v>
      </c>
      <c r="C18" s="15"/>
      <c r="D18" s="32">
        <v>0</v>
      </c>
      <c r="E18" s="32">
        <v>0</v>
      </c>
      <c r="G18" s="24">
        <v>0</v>
      </c>
      <c r="H18" s="24">
        <v>0</v>
      </c>
    </row>
    <row r="19" spans="1:14" x14ac:dyDescent="0.25">
      <c r="A19" s="6">
        <v>20000</v>
      </c>
      <c r="B19" s="15" t="s">
        <v>19</v>
      </c>
      <c r="C19" s="15"/>
      <c r="D19" s="33">
        <f>A19*22</f>
        <v>440000</v>
      </c>
      <c r="E19" s="33">
        <f>D19/$E$4</f>
        <v>19130.434782608696</v>
      </c>
      <c r="G19" s="11">
        <f>D19</f>
        <v>440000</v>
      </c>
      <c r="H19" s="5">
        <f>G19/$E$4</f>
        <v>19130.434782608696</v>
      </c>
    </row>
    <row r="20" spans="1:14" x14ac:dyDescent="0.25">
      <c r="A20" s="6"/>
      <c r="B20" s="15" t="s">
        <v>20</v>
      </c>
      <c r="C20" s="15"/>
      <c r="D20" s="33">
        <v>200000</v>
      </c>
      <c r="E20" s="33">
        <f>D20/$E$4</f>
        <v>8695.652173913044</v>
      </c>
      <c r="G20" s="11">
        <f>D20</f>
        <v>200000</v>
      </c>
      <c r="H20" s="5">
        <f>G20/$E$4</f>
        <v>8695.652173913044</v>
      </c>
      <c r="N20" t="s">
        <v>48</v>
      </c>
    </row>
    <row r="21" spans="1:14" x14ac:dyDescent="0.25">
      <c r="A21" s="6"/>
      <c r="B21" s="15" t="s">
        <v>33</v>
      </c>
      <c r="C21" s="15"/>
      <c r="D21" s="33">
        <v>100000</v>
      </c>
      <c r="E21" s="33">
        <f>D21/$E$4</f>
        <v>4347.826086956522</v>
      </c>
      <c r="G21" s="11">
        <f>D21</f>
        <v>100000</v>
      </c>
      <c r="H21" s="5">
        <f>G21/$E$4</f>
        <v>4347.826086956522</v>
      </c>
      <c r="N21" t="s">
        <v>49</v>
      </c>
    </row>
    <row r="22" spans="1:14" x14ac:dyDescent="0.25">
      <c r="A22" s="6">
        <v>10000</v>
      </c>
      <c r="B22" s="15" t="s">
        <v>32</v>
      </c>
      <c r="C22" s="15"/>
      <c r="D22" s="33">
        <f>A22*E4</f>
        <v>230000</v>
      </c>
      <c r="E22" s="33">
        <f>D22/$E$4</f>
        <v>10000</v>
      </c>
      <c r="G22" s="11">
        <f>D22</f>
        <v>230000</v>
      </c>
      <c r="H22" s="5">
        <f>G22/$E$4</f>
        <v>10000</v>
      </c>
    </row>
    <row r="23" spans="1:14" x14ac:dyDescent="0.25">
      <c r="D23" s="34">
        <f>SUM(D7:D22)</f>
        <v>970000</v>
      </c>
      <c r="E23" s="34">
        <f>SUM(E7:E22)</f>
        <v>42173.913043478264</v>
      </c>
      <c r="G23" s="3">
        <f>SUM(G7:G22)</f>
        <v>4389124</v>
      </c>
      <c r="H23" s="23">
        <f>SUM(H7:H22)</f>
        <v>190831.47826086957</v>
      </c>
      <c r="K23" s="35" t="s">
        <v>60</v>
      </c>
      <c r="L23" s="25"/>
      <c r="M23" s="25"/>
      <c r="N23" s="25"/>
    </row>
    <row r="24" spans="1:14" x14ac:dyDescent="0.25">
      <c r="D24" s="10"/>
      <c r="E24" s="4"/>
      <c r="F24" s="11"/>
      <c r="H24" s="1"/>
      <c r="K24" s="25"/>
      <c r="L24" s="25"/>
      <c r="M24" s="25"/>
      <c r="N24" s="25"/>
    </row>
    <row r="25" spans="1:14" x14ac:dyDescent="0.25">
      <c r="D25" s="4" t="s">
        <v>11</v>
      </c>
      <c r="E25" s="4"/>
      <c r="F25" s="11"/>
      <c r="G25" s="20" t="s">
        <v>40</v>
      </c>
      <c r="H25" s="4" t="s">
        <v>41</v>
      </c>
      <c r="K25" s="25"/>
      <c r="L25" s="25"/>
      <c r="M25" s="25"/>
      <c r="N25" s="25"/>
    </row>
    <row r="26" spans="1:14" x14ac:dyDescent="0.25">
      <c r="C26" s="15"/>
      <c r="D26" s="10">
        <f>H23</f>
        <v>190831.47826086957</v>
      </c>
      <c r="G26" s="11">
        <f>H26-D26</f>
        <v>209168.52173913043</v>
      </c>
      <c r="H26" s="6">
        <v>400000</v>
      </c>
      <c r="K26" s="25"/>
      <c r="L26" s="25"/>
      <c r="M26" s="25"/>
      <c r="N26" s="25"/>
    </row>
    <row r="27" spans="1:14" x14ac:dyDescent="0.25">
      <c r="B27" s="15" t="s">
        <v>12</v>
      </c>
      <c r="C27" s="15"/>
      <c r="D27" s="7">
        <v>6.5000000000000002E-2</v>
      </c>
      <c r="K27" s="25"/>
      <c r="L27" s="25"/>
      <c r="M27" s="25"/>
      <c r="N27" s="25"/>
    </row>
    <row r="28" spans="1:14" x14ac:dyDescent="0.25">
      <c r="B28" s="15" t="s">
        <v>13</v>
      </c>
      <c r="C28" s="15"/>
      <c r="D28" s="2">
        <v>30</v>
      </c>
      <c r="K28" s="25"/>
      <c r="L28" s="25"/>
      <c r="M28" s="25"/>
      <c r="N28" s="25"/>
    </row>
    <row r="29" spans="1:14" x14ac:dyDescent="0.25">
      <c r="B29" s="15" t="s">
        <v>9</v>
      </c>
      <c r="C29" s="15"/>
      <c r="D29" s="5">
        <f>-PMT(D27/12,D28*12,H23)*12</f>
        <v>14474.217034150599</v>
      </c>
      <c r="E29" t="s">
        <v>0</v>
      </c>
      <c r="K29" s="25"/>
      <c r="L29" s="25"/>
      <c r="M29" s="25"/>
      <c r="N29" s="25"/>
    </row>
    <row r="30" spans="1:14" x14ac:dyDescent="0.25">
      <c r="B30" s="15"/>
      <c r="C30" s="15"/>
      <c r="D30" s="5"/>
      <c r="K30" s="25"/>
      <c r="L30" s="25"/>
      <c r="M30" s="25"/>
      <c r="N30" s="25"/>
    </row>
    <row r="31" spans="1:14" x14ac:dyDescent="0.25">
      <c r="B31" s="15"/>
      <c r="C31" s="15"/>
      <c r="D31" s="8" t="s">
        <v>8</v>
      </c>
      <c r="E31" s="8" t="s">
        <v>7</v>
      </c>
      <c r="K31" s="25"/>
      <c r="L31" s="25"/>
      <c r="M31" s="25"/>
      <c r="N31" s="25"/>
    </row>
    <row r="32" spans="1:14" x14ac:dyDescent="0.25">
      <c r="B32" s="15" t="s">
        <v>16</v>
      </c>
      <c r="C32" s="15"/>
      <c r="D32" s="1">
        <f>D29/12</f>
        <v>1206.1847528458832</v>
      </c>
      <c r="E32" s="11">
        <f>D32*12</f>
        <v>14474.217034150599</v>
      </c>
      <c r="K32" s="25"/>
      <c r="L32" s="25"/>
      <c r="M32" s="25"/>
      <c r="N32" s="25"/>
    </row>
    <row r="33" spans="1:14" x14ac:dyDescent="0.25">
      <c r="B33" s="15" t="s">
        <v>2</v>
      </c>
      <c r="C33" s="15"/>
      <c r="D33" s="12">
        <f>45000/23/12</f>
        <v>163.04347826086956</v>
      </c>
      <c r="E33" s="11">
        <f t="shared" ref="E33:E37" si="1">D33*12</f>
        <v>1956.5217391304348</v>
      </c>
      <c r="G33" t="s">
        <v>44</v>
      </c>
      <c r="K33" s="25"/>
      <c r="L33" s="25"/>
      <c r="M33" s="25"/>
      <c r="N33" s="25"/>
    </row>
    <row r="34" spans="1:14" x14ac:dyDescent="0.25">
      <c r="B34" s="15" t="s">
        <v>3</v>
      </c>
      <c r="C34" s="15"/>
      <c r="D34" s="12">
        <f>34000/23/12</f>
        <v>123.18840579710145</v>
      </c>
      <c r="E34" s="11">
        <f t="shared" si="1"/>
        <v>1478.2608695652175</v>
      </c>
      <c r="K34" s="25"/>
      <c r="L34" s="25"/>
      <c r="M34" s="25"/>
      <c r="N34" s="25"/>
    </row>
    <row r="35" spans="1:14" x14ac:dyDescent="0.25">
      <c r="B35" s="15" t="s">
        <v>6</v>
      </c>
      <c r="C35" s="15"/>
      <c r="D35" s="12">
        <f>20651/23/12</f>
        <v>74.822463768115938</v>
      </c>
      <c r="E35" s="11">
        <f t="shared" si="1"/>
        <v>897.86956521739125</v>
      </c>
      <c r="K35" s="25"/>
      <c r="L35" s="25"/>
      <c r="M35" s="25"/>
      <c r="N35" s="25"/>
    </row>
    <row r="36" spans="1:14" x14ac:dyDescent="0.25">
      <c r="A36" s="19">
        <v>1</v>
      </c>
      <c r="B36" s="15" t="s">
        <v>4</v>
      </c>
      <c r="C36" s="15"/>
      <c r="D36" s="12">
        <f>(5000/12)*A36</f>
        <v>416.66666666666669</v>
      </c>
      <c r="E36" s="11">
        <f t="shared" si="1"/>
        <v>5000</v>
      </c>
      <c r="K36" s="25"/>
      <c r="L36" s="25"/>
      <c r="M36" s="25"/>
      <c r="N36" s="25"/>
    </row>
    <row r="37" spans="1:14" x14ac:dyDescent="0.25">
      <c r="A37" s="19">
        <v>1</v>
      </c>
      <c r="B37" s="15" t="s">
        <v>1</v>
      </c>
      <c r="C37" s="15"/>
      <c r="D37" s="12">
        <f>(1000/12)*A37</f>
        <v>83.333333333333329</v>
      </c>
      <c r="E37" s="11">
        <f t="shared" si="1"/>
        <v>1000</v>
      </c>
      <c r="K37" s="25"/>
      <c r="L37" s="25"/>
      <c r="M37" s="25"/>
      <c r="N37" s="25"/>
    </row>
    <row r="38" spans="1:14" x14ac:dyDescent="0.25">
      <c r="B38" s="17" t="s">
        <v>5</v>
      </c>
      <c r="C38" s="17"/>
      <c r="D38" s="18">
        <f>SUM(D32:D37)</f>
        <v>2067.2391006719704</v>
      </c>
      <c r="E38" s="3">
        <f>SUM(E32:E37)</f>
        <v>24806.869208063643</v>
      </c>
      <c r="K38" s="35" t="s">
        <v>61</v>
      </c>
      <c r="L38" s="25"/>
      <c r="M38" s="25"/>
      <c r="N38" s="25"/>
    </row>
    <row r="39" spans="1:14" x14ac:dyDescent="0.25">
      <c r="B39" s="15"/>
      <c r="C39" s="15"/>
      <c r="K39" s="25"/>
      <c r="L39" s="25"/>
      <c r="M39" s="25"/>
      <c r="N39" s="25"/>
    </row>
    <row r="40" spans="1:14" x14ac:dyDescent="0.25">
      <c r="D40" t="s">
        <v>34</v>
      </c>
      <c r="K40" s="25"/>
      <c r="L40" s="25"/>
      <c r="M40" s="25"/>
      <c r="N40" s="25"/>
    </row>
    <row r="41" spans="1:14" x14ac:dyDescent="0.25">
      <c r="D41" s="11">
        <f>(D38/0.3)*12</f>
        <v>82689.564026878812</v>
      </c>
      <c r="K41" s="25"/>
      <c r="L41" s="25"/>
      <c r="M41" s="25"/>
      <c r="N41" s="25"/>
    </row>
    <row r="42" spans="1:14" x14ac:dyDescent="0.25">
      <c r="D42" s="11"/>
      <c r="K42" s="25"/>
      <c r="L42" s="25"/>
      <c r="M42" s="25"/>
      <c r="N42" s="25"/>
    </row>
    <row r="43" spans="1:14" x14ac:dyDescent="0.25">
      <c r="B43" s="9" t="s">
        <v>39</v>
      </c>
      <c r="D43" s="8" t="s">
        <v>37</v>
      </c>
      <c r="E43" s="8" t="s">
        <v>36</v>
      </c>
      <c r="K43" s="25"/>
      <c r="L43" s="25"/>
      <c r="M43" s="25"/>
      <c r="N43" s="25"/>
    </row>
    <row r="44" spans="1:14" x14ac:dyDescent="0.25">
      <c r="B44" s="9" t="s">
        <v>35</v>
      </c>
      <c r="D44" s="5">
        <v>78180</v>
      </c>
      <c r="E44" s="5">
        <v>70380</v>
      </c>
      <c r="K44" s="25"/>
      <c r="L44" s="25"/>
      <c r="M44" s="25"/>
      <c r="N44" s="25"/>
    </row>
    <row r="45" spans="1:14" x14ac:dyDescent="0.25">
      <c r="B45" s="9" t="s">
        <v>38</v>
      </c>
      <c r="D45" s="5">
        <v>65150</v>
      </c>
      <c r="E45" s="5"/>
    </row>
    <row r="46" spans="1:14" x14ac:dyDescent="0.25">
      <c r="B46" s="9" t="s">
        <v>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Uram</dc:creator>
  <cp:lastModifiedBy>Christopher Hesen</cp:lastModifiedBy>
  <dcterms:created xsi:type="dcterms:W3CDTF">2025-09-29T18:12:14Z</dcterms:created>
  <dcterms:modified xsi:type="dcterms:W3CDTF">2026-04-21T20:29:56Z</dcterms:modified>
</cp:coreProperties>
</file>