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naRini\Downloads\"/>
    </mc:Choice>
  </mc:AlternateContent>
  <xr:revisionPtr revIDLastSave="0" documentId="13_ncr:1_{37ED5C66-A135-44BB-9ACD-B81FF28039DB}" xr6:coauthVersionLast="47" xr6:coauthVersionMax="47" xr10:uidLastSave="{00000000-0000-0000-0000-000000000000}"/>
  <bookViews>
    <workbookView xWindow="-108" yWindow="-108" windowWidth="23256" windowHeight="12456" tabRatio="798" firstSheet="1" activeTab="1" xr2:uid="{3A780001-FBA6-436E-AFEA-A9FF25B05F76}"/>
  </bookViews>
  <sheets>
    <sheet name="forecast JKL" sheetId="8" state="hidden" r:id="rId1"/>
    <sheet name="forecast JKL 2 yr" sheetId="13" r:id="rId2"/>
    <sheet name="Salary" sheetId="2" r:id="rId3"/>
    <sheet name="Grant&amp;Donations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3" l="1"/>
  <c r="U26" i="13"/>
  <c r="C8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Z18" i="13"/>
  <c r="Z24" i="13" s="1"/>
  <c r="Z5" i="13"/>
  <c r="Z14" i="13" s="1"/>
  <c r="Z6" i="13"/>
  <c r="Z9" i="13"/>
  <c r="B5" i="13"/>
  <c r="B6" i="13"/>
  <c r="B7" i="13"/>
  <c r="B9" i="13"/>
  <c r="B11" i="13"/>
  <c r="B18" i="13"/>
  <c r="B24" i="13"/>
  <c r="B29" i="13"/>
  <c r="Z25" i="13" l="1"/>
  <c r="B14" i="13"/>
  <c r="B25" i="13" s="1"/>
  <c r="B26" i="13" s="1"/>
  <c r="B31" i="13" s="1"/>
  <c r="H9" i="2" l="1"/>
  <c r="E23" i="13"/>
  <c r="Z33" i="3"/>
  <c r="V33" i="3"/>
  <c r="Z50" i="3"/>
  <c r="Y50" i="3"/>
  <c r="X50" i="3"/>
  <c r="M34" i="3"/>
  <c r="N34" i="3"/>
  <c r="O34" i="3"/>
  <c r="P34" i="3"/>
  <c r="Q34" i="3"/>
  <c r="R34" i="3"/>
  <c r="S34" i="3"/>
  <c r="T34" i="3"/>
  <c r="U34" i="3"/>
  <c r="L34" i="3"/>
  <c r="V40" i="3"/>
  <c r="P40" i="3"/>
  <c r="K15" i="3"/>
  <c r="I15" i="3"/>
  <c r="Z14" i="3"/>
  <c r="V14" i="3"/>
  <c r="P14" i="3"/>
  <c r="J14" i="3"/>
  <c r="C52" i="3"/>
  <c r="D52" i="3"/>
  <c r="E52" i="3"/>
  <c r="F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B52" i="3"/>
  <c r="D23" i="13"/>
  <c r="C23" i="13"/>
  <c r="H11" i="2"/>
  <c r="H13" i="2"/>
  <c r="H19" i="2"/>
  <c r="H53" i="2"/>
  <c r="H42" i="2"/>
  <c r="H43" i="2" s="1"/>
  <c r="W58" i="3"/>
  <c r="W5" i="13" s="1"/>
  <c r="X58" i="3"/>
  <c r="X5" i="13" s="1"/>
  <c r="Y58" i="3"/>
  <c r="Y5" i="13" s="1"/>
  <c r="Z58" i="3"/>
  <c r="L58" i="3"/>
  <c r="L5" i="13" s="1"/>
  <c r="M58" i="3"/>
  <c r="M5" i="13" s="1"/>
  <c r="N58" i="3"/>
  <c r="N5" i="13" s="1"/>
  <c r="T58" i="3"/>
  <c r="T5" i="13" s="1"/>
  <c r="U58" i="3"/>
  <c r="U5" i="13" s="1"/>
  <c r="V58" i="3"/>
  <c r="V5" i="13" s="1"/>
  <c r="O55" i="3"/>
  <c r="O58" i="3" s="1"/>
  <c r="O5" i="13" s="1"/>
  <c r="P56" i="3"/>
  <c r="P58" i="3" s="1"/>
  <c r="P5" i="13" s="1"/>
  <c r="Q56" i="3"/>
  <c r="Q58" i="3" s="1"/>
  <c r="Q5" i="13" s="1"/>
  <c r="R56" i="3"/>
  <c r="R58" i="3" s="1"/>
  <c r="R5" i="13" s="1"/>
  <c r="S56" i="3"/>
  <c r="S58" i="3" s="1"/>
  <c r="S5" i="13" s="1"/>
  <c r="G10" i="3"/>
  <c r="G52" i="3" s="1"/>
  <c r="R6" i="13"/>
  <c r="S6" i="13"/>
  <c r="T6" i="13"/>
  <c r="U6" i="13"/>
  <c r="V6" i="13"/>
  <c r="W6" i="13"/>
  <c r="X6" i="13"/>
  <c r="Y6" i="13"/>
  <c r="N6" i="13"/>
  <c r="O6" i="13"/>
  <c r="P6" i="13"/>
  <c r="Q6" i="13"/>
  <c r="M11" i="13"/>
  <c r="L11" i="13"/>
  <c r="K11" i="13"/>
  <c r="J11" i="13"/>
  <c r="I11" i="13"/>
  <c r="H11" i="13"/>
  <c r="G11" i="13"/>
  <c r="F11" i="13"/>
  <c r="E11" i="13"/>
  <c r="D11" i="13"/>
  <c r="C11" i="13"/>
  <c r="H58" i="3"/>
  <c r="H5" i="13" s="1"/>
  <c r="I58" i="3"/>
  <c r="I5" i="13" s="1"/>
  <c r="J58" i="3"/>
  <c r="J5" i="13" s="1"/>
  <c r="B58" i="3"/>
  <c r="C55" i="3"/>
  <c r="C58" i="3" s="1"/>
  <c r="C5" i="13" s="1"/>
  <c r="D6" i="13"/>
  <c r="E6" i="13"/>
  <c r="G6" i="13"/>
  <c r="L6" i="13"/>
  <c r="M6" i="13"/>
  <c r="K55" i="3"/>
  <c r="K58" i="3" s="1"/>
  <c r="K5" i="13" s="1"/>
  <c r="I11" i="8"/>
  <c r="J11" i="8"/>
  <c r="K11" i="8"/>
  <c r="L11" i="8"/>
  <c r="M11" i="8"/>
  <c r="F17" i="2"/>
  <c r="G13" i="2"/>
  <c r="F13" i="2"/>
  <c r="G18" i="2"/>
  <c r="G17" i="2"/>
  <c r="H17" i="2" s="1"/>
  <c r="G16" i="2"/>
  <c r="G10" i="2"/>
  <c r="H10" i="2" s="1"/>
  <c r="F5" i="2"/>
  <c r="G5" i="2" s="1"/>
  <c r="F18" i="2"/>
  <c r="F16" i="2"/>
  <c r="F10" i="2"/>
  <c r="F6" i="2"/>
  <c r="G6" i="2" s="1"/>
  <c r="H6" i="2" s="1"/>
  <c r="G7" i="2"/>
  <c r="H7" i="2" s="1"/>
  <c r="Z22" i="8"/>
  <c r="H11" i="8"/>
  <c r="G11" i="8"/>
  <c r="F11" i="8"/>
  <c r="E11" i="8"/>
  <c r="D11" i="8"/>
  <c r="C11" i="8"/>
  <c r="G9" i="2"/>
  <c r="G4" i="2"/>
  <c r="G19" i="2"/>
  <c r="F9" i="2"/>
  <c r="F7" i="2"/>
  <c r="F4" i="2"/>
  <c r="F19" i="2"/>
  <c r="Z29" i="8"/>
  <c r="M29" i="8"/>
  <c r="L29" i="8"/>
  <c r="K29" i="8"/>
  <c r="J29" i="8"/>
  <c r="I29" i="8"/>
  <c r="H29" i="8"/>
  <c r="G29" i="8"/>
  <c r="F29" i="8"/>
  <c r="E29" i="8"/>
  <c r="D29" i="8"/>
  <c r="C29" i="8"/>
  <c r="B29" i="8"/>
  <c r="M23" i="8"/>
  <c r="L23" i="8"/>
  <c r="K23" i="8"/>
  <c r="J23" i="8"/>
  <c r="I23" i="8"/>
  <c r="H23" i="8"/>
  <c r="G23" i="8"/>
  <c r="F23" i="8"/>
  <c r="E23" i="8"/>
  <c r="D23" i="8"/>
  <c r="C23" i="8"/>
  <c r="Z21" i="8"/>
  <c r="Z20" i="8"/>
  <c r="M19" i="8"/>
  <c r="L19" i="8"/>
  <c r="K19" i="8"/>
  <c r="J19" i="8"/>
  <c r="I19" i="8"/>
  <c r="H19" i="8"/>
  <c r="G19" i="8"/>
  <c r="F19" i="8"/>
  <c r="E19" i="8"/>
  <c r="D19" i="8"/>
  <c r="C19" i="8"/>
  <c r="B19" i="8"/>
  <c r="Z13" i="8"/>
  <c r="B11" i="8"/>
  <c r="Z10" i="8"/>
  <c r="C8" i="8"/>
  <c r="B7" i="8"/>
  <c r="Z7" i="8" s="1"/>
  <c r="H51" i="2" l="1"/>
  <c r="H52" i="2" s="1"/>
  <c r="AA52" i="3"/>
  <c r="F20" i="2"/>
  <c r="G20" i="2"/>
  <c r="G22" i="2" s="1"/>
  <c r="J6" i="8"/>
  <c r="J6" i="13"/>
  <c r="I6" i="13"/>
  <c r="I6" i="8"/>
  <c r="H6" i="8"/>
  <c r="H6" i="13"/>
  <c r="F6" i="13"/>
  <c r="F6" i="8"/>
  <c r="C6" i="13"/>
  <c r="C5" i="8"/>
  <c r="E56" i="3"/>
  <c r="D58" i="3"/>
  <c r="D5" i="13" s="1"/>
  <c r="B5" i="8"/>
  <c r="M5" i="8"/>
  <c r="L5" i="8"/>
  <c r="K5" i="8"/>
  <c r="J5" i="8"/>
  <c r="I5" i="8"/>
  <c r="H5" i="8"/>
  <c r="Z19" i="8"/>
  <c r="Z23" i="8"/>
  <c r="Z11" i="8"/>
  <c r="F22" i="2"/>
  <c r="Z12" i="8"/>
  <c r="C14" i="13" l="1"/>
  <c r="K6" i="13"/>
  <c r="D5" i="8"/>
  <c r="F56" i="3"/>
  <c r="E58" i="3"/>
  <c r="E5" i="13" s="1"/>
  <c r="F31" i="2"/>
  <c r="F33" i="2" s="1"/>
  <c r="G31" i="2"/>
  <c r="G33" i="2" s="1"/>
  <c r="E5" i="8" l="1"/>
  <c r="G56" i="3"/>
  <c r="G58" i="3" s="1"/>
  <c r="G5" i="13" s="1"/>
  <c r="F58" i="3"/>
  <c r="D14" i="13"/>
  <c r="D6" i="8"/>
  <c r="D14" i="8" s="1"/>
  <c r="N7" i="2"/>
  <c r="O7" i="2" s="1"/>
  <c r="N8" i="2"/>
  <c r="N9" i="2"/>
  <c r="N10" i="2"/>
  <c r="O10" i="2" s="1"/>
  <c r="N11" i="2"/>
  <c r="N12" i="2"/>
  <c r="N13" i="2"/>
  <c r="N14" i="2"/>
  <c r="N16" i="2"/>
  <c r="N17" i="2"/>
  <c r="O17" i="2" s="1"/>
  <c r="N18" i="2"/>
  <c r="O18" i="2" s="1"/>
  <c r="N19" i="2"/>
  <c r="N6" i="2"/>
  <c r="O6" i="2" s="1"/>
  <c r="N5" i="2"/>
  <c r="O5" i="2" s="1"/>
  <c r="J22" i="2"/>
  <c r="E13" i="2"/>
  <c r="H46" i="2" l="1"/>
  <c r="H45" i="2"/>
  <c r="O9" i="13" s="1"/>
  <c r="O14" i="13" s="1"/>
  <c r="AA58" i="3"/>
  <c r="F5" i="13"/>
  <c r="F5" i="8"/>
  <c r="G5" i="8"/>
  <c r="K6" i="8"/>
  <c r="G6" i="8"/>
  <c r="L6" i="8"/>
  <c r="E6" i="8"/>
  <c r="M6" i="8"/>
  <c r="C6" i="8"/>
  <c r="C14" i="8" s="1"/>
  <c r="B6" i="8"/>
  <c r="O8" i="2"/>
  <c r="O9" i="2"/>
  <c r="O11" i="2"/>
  <c r="O12" i="2"/>
  <c r="O13" i="2"/>
  <c r="O14" i="2"/>
  <c r="O16" i="2"/>
  <c r="O19" i="2"/>
  <c r="N4" i="2"/>
  <c r="N3" i="2"/>
  <c r="E19" i="2"/>
  <c r="E20" i="2" s="1"/>
  <c r="K22" i="2"/>
  <c r="K33" i="2" s="1"/>
  <c r="L22" i="2"/>
  <c r="L33" i="2" s="1"/>
  <c r="M22" i="2"/>
  <c r="M33" i="2" s="1"/>
  <c r="K24" i="2"/>
  <c r="L24" i="2" s="1"/>
  <c r="K26" i="2"/>
  <c r="L26" i="2" s="1"/>
  <c r="H48" i="2" l="1"/>
  <c r="Q9" i="13"/>
  <c r="Q14" i="13" s="1"/>
  <c r="P9" i="13"/>
  <c r="P14" i="13" s="1"/>
  <c r="E9" i="8"/>
  <c r="M9" i="8"/>
  <c r="M14" i="8" s="1"/>
  <c r="L9" i="8"/>
  <c r="L14" i="8" s="1"/>
  <c r="K9" i="8"/>
  <c r="J9" i="8"/>
  <c r="J14" i="8" s="1"/>
  <c r="I9" i="8"/>
  <c r="I14" i="8" s="1"/>
  <c r="F9" i="8"/>
  <c r="F14" i="8" s="1"/>
  <c r="G9" i="8"/>
  <c r="G14" i="8" s="1"/>
  <c r="X9" i="13"/>
  <c r="X14" i="13" s="1"/>
  <c r="N9" i="13"/>
  <c r="N14" i="13" s="1"/>
  <c r="H9" i="8"/>
  <c r="H14" i="8" s="1"/>
  <c r="H9" i="13"/>
  <c r="H14" i="13" s="1"/>
  <c r="Y9" i="13"/>
  <c r="Y14" i="13" s="1"/>
  <c r="K9" i="13"/>
  <c r="K14" i="13" s="1"/>
  <c r="W9" i="13"/>
  <c r="W14" i="13" s="1"/>
  <c r="J9" i="13"/>
  <c r="J14" i="13" s="1"/>
  <c r="V9" i="13"/>
  <c r="V14" i="13" s="1"/>
  <c r="I9" i="13"/>
  <c r="I14" i="13" s="1"/>
  <c r="K14" i="8"/>
  <c r="U9" i="13"/>
  <c r="U14" i="13" s="1"/>
  <c r="G9" i="13"/>
  <c r="G14" i="13" s="1"/>
  <c r="S9" i="13"/>
  <c r="S14" i="13" s="1"/>
  <c r="F9" i="13"/>
  <c r="O4" i="2"/>
  <c r="O22" i="2" s="1"/>
  <c r="H44" i="2"/>
  <c r="H49" i="2"/>
  <c r="E9" i="13"/>
  <c r="M9" i="13"/>
  <c r="M14" i="13" s="1"/>
  <c r="L9" i="13"/>
  <c r="L14" i="13" s="1"/>
  <c r="R9" i="13"/>
  <c r="R14" i="13" s="1"/>
  <c r="T9" i="13"/>
  <c r="T14" i="13" s="1"/>
  <c r="N33" i="2"/>
  <c r="H20" i="2"/>
  <c r="H22" i="2" s="1"/>
  <c r="Z5" i="8"/>
  <c r="F14" i="13"/>
  <c r="Z6" i="8"/>
  <c r="B14" i="8"/>
  <c r="K25" i="2"/>
  <c r="L25" i="2" s="1"/>
  <c r="L29" i="2" s="1"/>
  <c r="E22" i="2"/>
  <c r="Z9" i="8" l="1"/>
  <c r="E31" i="2"/>
  <c r="E33" i="2" s="1"/>
  <c r="E35" i="2" s="1"/>
  <c r="E14" i="13"/>
  <c r="E14" i="8"/>
  <c r="Z14" i="8" s="1"/>
  <c r="H31" i="2"/>
  <c r="H33" i="2" s="1"/>
  <c r="H35" i="2" s="1"/>
  <c r="H37" i="2" s="1"/>
  <c r="G35" i="2"/>
  <c r="D18" i="13" s="1"/>
  <c r="D24" i="13" s="1"/>
  <c r="D25" i="13" s="1"/>
  <c r="F35" i="2"/>
  <c r="C18" i="13" s="1"/>
  <c r="O33" i="2"/>
  <c r="C24" i="13" l="1"/>
  <c r="C25" i="13" s="1"/>
  <c r="E18" i="13"/>
  <c r="T18" i="13"/>
  <c r="T24" i="13" s="1"/>
  <c r="T25" i="13" s="1"/>
  <c r="E24" i="13"/>
  <c r="E25" i="13" s="1"/>
  <c r="M18" i="13"/>
  <c r="M24" i="13" s="1"/>
  <c r="M25" i="13" s="1"/>
  <c r="L18" i="13"/>
  <c r="L24" i="13" s="1"/>
  <c r="L25" i="13" s="1"/>
  <c r="K18" i="13"/>
  <c r="K24" i="13" s="1"/>
  <c r="K25" i="13" s="1"/>
  <c r="J18" i="13"/>
  <c r="J24" i="13" s="1"/>
  <c r="J25" i="13" s="1"/>
  <c r="I18" i="13"/>
  <c r="I24" i="13" s="1"/>
  <c r="I25" i="13" s="1"/>
  <c r="H18" i="13"/>
  <c r="H24" i="13" s="1"/>
  <c r="H25" i="13" s="1"/>
  <c r="G18" i="13"/>
  <c r="G24" i="13" s="1"/>
  <c r="G25" i="13" s="1"/>
  <c r="F18" i="13"/>
  <c r="F24" i="13" s="1"/>
  <c r="F25" i="13" s="1"/>
  <c r="G37" i="2"/>
  <c r="D18" i="8"/>
  <c r="D24" i="8" s="1"/>
  <c r="D25" i="8" s="1"/>
  <c r="G18" i="8"/>
  <c r="G24" i="8" s="1"/>
  <c r="G25" i="8" s="1"/>
  <c r="I18" i="8"/>
  <c r="I24" i="8" s="1"/>
  <c r="I25" i="8" s="1"/>
  <c r="J18" i="8"/>
  <c r="J24" i="8" s="1"/>
  <c r="J25" i="8" s="1"/>
  <c r="K18" i="8"/>
  <c r="K24" i="8" s="1"/>
  <c r="K25" i="8" s="1"/>
  <c r="L18" i="8"/>
  <c r="L24" i="8" s="1"/>
  <c r="L25" i="8" s="1"/>
  <c r="F18" i="8"/>
  <c r="F24" i="8" s="1"/>
  <c r="F25" i="8" s="1"/>
  <c r="E18" i="8"/>
  <c r="E24" i="8" s="1"/>
  <c r="E25" i="8" s="1"/>
  <c r="H18" i="8"/>
  <c r="H24" i="8" s="1"/>
  <c r="H25" i="8" s="1"/>
  <c r="M18" i="8"/>
  <c r="M24" i="8" s="1"/>
  <c r="M25" i="8" s="1"/>
  <c r="C18" i="8"/>
  <c r="C24" i="8" s="1"/>
  <c r="C25" i="8" s="1"/>
  <c r="F37" i="2"/>
  <c r="B18" i="8"/>
  <c r="E37" i="2"/>
  <c r="C31" i="13" l="1"/>
  <c r="D29" i="13" s="1"/>
  <c r="D31" i="13" s="1"/>
  <c r="E29" i="13" s="1"/>
  <c r="E31" i="13" s="1"/>
  <c r="F29" i="13" s="1"/>
  <c r="F31" i="13" s="1"/>
  <c r="G29" i="13" s="1"/>
  <c r="G31" i="13" s="1"/>
  <c r="H29" i="13" s="1"/>
  <c r="H31" i="13" s="1"/>
  <c r="I29" i="13" s="1"/>
  <c r="I31" i="13" s="1"/>
  <c r="J29" i="13" s="1"/>
  <c r="J31" i="13" s="1"/>
  <c r="K29" i="13" s="1"/>
  <c r="K31" i="13" s="1"/>
  <c r="L29" i="13" s="1"/>
  <c r="L31" i="13" s="1"/>
  <c r="M29" i="13" s="1"/>
  <c r="M31" i="13" s="1"/>
  <c r="N29" i="13" s="1"/>
  <c r="C26" i="13"/>
  <c r="D26" i="13" s="1"/>
  <c r="E26" i="13" s="1"/>
  <c r="F26" i="13" s="1"/>
  <c r="G26" i="13" s="1"/>
  <c r="H26" i="13" s="1"/>
  <c r="I26" i="13" s="1"/>
  <c r="J26" i="13" s="1"/>
  <c r="K26" i="13" s="1"/>
  <c r="L26" i="13" s="1"/>
  <c r="M26" i="13" s="1"/>
  <c r="V18" i="13"/>
  <c r="V24" i="13" s="1"/>
  <c r="V25" i="13" s="1"/>
  <c r="W18" i="13"/>
  <c r="W24" i="13" s="1"/>
  <c r="W25" i="13" s="1"/>
  <c r="X18" i="13"/>
  <c r="X24" i="13" s="1"/>
  <c r="X25" i="13" s="1"/>
  <c r="Y18" i="13"/>
  <c r="Y24" i="13" s="1"/>
  <c r="Y25" i="13" s="1"/>
  <c r="U18" i="13"/>
  <c r="U24" i="13" s="1"/>
  <c r="P18" i="13"/>
  <c r="P24" i="13" s="1"/>
  <c r="P25" i="13" s="1"/>
  <c r="Q18" i="13"/>
  <c r="Q24" i="13" s="1"/>
  <c r="Q25" i="13" s="1"/>
  <c r="R18" i="13"/>
  <c r="R24" i="13" s="1"/>
  <c r="R25" i="13" s="1"/>
  <c r="S18" i="13"/>
  <c r="S24" i="13" s="1"/>
  <c r="S25" i="13" s="1"/>
  <c r="O18" i="13"/>
  <c r="O24" i="13" s="1"/>
  <c r="O25" i="13" s="1"/>
  <c r="N18" i="13"/>
  <c r="Z18" i="8"/>
  <c r="Z24" i="8" s="1"/>
  <c r="Z25" i="8" s="1"/>
  <c r="B24" i="8"/>
  <c r="B25" i="8" s="1"/>
  <c r="B26" i="8" s="1"/>
  <c r="N24" i="13" l="1"/>
  <c r="N25" i="13" s="1"/>
  <c r="N26" i="13" s="1"/>
  <c r="O26" i="13" s="1"/>
  <c r="P26" i="13" s="1"/>
  <c r="Q26" i="13" s="1"/>
  <c r="R26" i="13" s="1"/>
  <c r="S26" i="13" s="1"/>
  <c r="T26" i="13" s="1"/>
  <c r="V26" i="13" s="1"/>
  <c r="W26" i="13" s="1"/>
  <c r="X26" i="13" s="1"/>
  <c r="Y26" i="13" s="1"/>
  <c r="Z26" i="13" s="1"/>
  <c r="C26" i="8"/>
  <c r="B31" i="8"/>
  <c r="N31" i="13" l="1"/>
  <c r="O29" i="13" s="1"/>
  <c r="O31" i="13" s="1"/>
  <c r="P29" i="13" s="1"/>
  <c r="P31" i="13" s="1"/>
  <c r="Q29" i="13" s="1"/>
  <c r="Q31" i="13" s="1"/>
  <c r="R29" i="13" s="1"/>
  <c r="R31" i="13" s="1"/>
  <c r="S29" i="13" s="1"/>
  <c r="S31" i="13" s="1"/>
  <c r="T29" i="13" s="1"/>
  <c r="T31" i="13" s="1"/>
  <c r="U29" i="13" s="1"/>
  <c r="U31" i="13" s="1"/>
  <c r="V29" i="13" s="1"/>
  <c r="V31" i="13" s="1"/>
  <c r="W29" i="13" s="1"/>
  <c r="W31" i="13" s="1"/>
  <c r="X29" i="13" s="1"/>
  <c r="X31" i="13" s="1"/>
  <c r="Y29" i="13" s="1"/>
  <c r="Y31" i="13" s="1"/>
  <c r="Z29" i="13" s="1"/>
  <c r="Z31" i="13" s="1"/>
  <c r="D26" i="8"/>
  <c r="C31" i="8"/>
  <c r="E26" i="8" l="1"/>
  <c r="D31" i="8"/>
  <c r="E31" i="8" l="1"/>
  <c r="F26" i="8"/>
  <c r="F31" i="8" l="1"/>
  <c r="G26" i="8"/>
  <c r="H26" i="8" l="1"/>
  <c r="G31" i="8"/>
  <c r="I26" i="8" l="1"/>
  <c r="H31" i="8"/>
  <c r="I31" i="8" l="1"/>
  <c r="J26" i="8"/>
  <c r="K26" i="8" l="1"/>
  <c r="J31" i="8"/>
  <c r="L26" i="8" l="1"/>
  <c r="K31" i="8"/>
  <c r="L31" i="8" l="1"/>
  <c r="M26" i="8"/>
  <c r="Z26" i="8" l="1"/>
  <c r="Z31" i="8" s="1"/>
  <c r="M3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tc={B55D57CC-339B-4DAF-AB0D-63A8DB3D7C0B}</author>
  </authors>
  <commentList>
    <comment ref="B7" authorId="0" shapeId="0" xr:uid="{B55D57CC-339B-4DAF-AB0D-63A8DB3D7C0B}">
      <text>
        <t>[Threaded comment]
Your version of Excel allows you to read this threaded comment; however, any edits to it will get removed if the file is opened in a newer version of Excel. Learn more: https://go.microsoft.com/fwlink/?linkid=870924
Comment:
    WSTH Sale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tc={CF343CF4-8EDA-40E6-B87B-50DDCCE047F8}</author>
  </authors>
  <commentList>
    <comment ref="B7" authorId="0" shapeId="0" xr:uid="{CF343CF4-8EDA-40E6-B87B-50DDCCE047F8}">
      <text>
        <t>[Threaded comment]
Your version of Excel allows you to read this threaded comment; however, any edits to it will get removed if the file is opened in a newer version of Excel. Learn more: https://go.microsoft.com/fwlink/?linkid=870924
Comment:
    WSTH Sale</t>
      </text>
    </comment>
  </commentList>
</comments>
</file>

<file path=xl/sharedStrings.xml><?xml version="1.0" encoding="utf-8"?>
<sst xmlns="http://schemas.openxmlformats.org/spreadsheetml/2006/main" count="255" uniqueCount="160">
  <si>
    <t>IHA Cash Forecast FY26</t>
  </si>
  <si>
    <t>6 MO</t>
  </si>
  <si>
    <t>Total</t>
  </si>
  <si>
    <t>Cash Flow Forecast:</t>
  </si>
  <si>
    <t>Donations</t>
  </si>
  <si>
    <t>Grants</t>
  </si>
  <si>
    <t>Developer Fee</t>
  </si>
  <si>
    <t>Tax refund -RRSQ</t>
  </si>
  <si>
    <t>InterCo</t>
  </si>
  <si>
    <t>Property Mgmt Fees</t>
  </si>
  <si>
    <t>Supportive Services</t>
  </si>
  <si>
    <t>Technical Assistance Payment (FAHI)</t>
  </si>
  <si>
    <t>Purchase Repair</t>
  </si>
  <si>
    <t>Total Cash-In</t>
  </si>
  <si>
    <t>*Payroll &amp; Benefits</t>
  </si>
  <si>
    <t>LOC Interest</t>
  </si>
  <si>
    <t xml:space="preserve">Loan payment </t>
  </si>
  <si>
    <t>Audit &amp; Tax Prep</t>
  </si>
  <si>
    <t>Credit Card</t>
  </si>
  <si>
    <t>Other expense</t>
  </si>
  <si>
    <t>Total Cash-Out</t>
  </si>
  <si>
    <t>Net Cash (Deficit) Surplus</t>
  </si>
  <si>
    <t>YTD Cash (Deficit) Surplus</t>
  </si>
  <si>
    <t>Available Cash:</t>
  </si>
  <si>
    <t>M&amp;T Operating Account*</t>
  </si>
  <si>
    <t>Available Cash - End of Month</t>
  </si>
  <si>
    <t>+Started FY17-18 with $119,588 of unrestricted, operating cash and reforecasting to end FY17-18 with no unrestricted, operating cash and the operating reserve depleted by $111,479</t>
  </si>
  <si>
    <t>* 3 RIFs in January 26</t>
  </si>
  <si>
    <t xml:space="preserve">IHA FY 2026 Salary </t>
  </si>
  <si>
    <t>E</t>
  </si>
  <si>
    <t>J</t>
  </si>
  <si>
    <t>K</t>
  </si>
  <si>
    <t>L</t>
  </si>
  <si>
    <t>Name</t>
  </si>
  <si>
    <t>Employee ID</t>
  </si>
  <si>
    <t>Job Title</t>
  </si>
  <si>
    <t>Status</t>
  </si>
  <si>
    <t>Annual</t>
  </si>
  <si>
    <t xml:space="preserve">Phased in Reductions </t>
  </si>
  <si>
    <t>No reduction in remaining employees</t>
  </si>
  <si>
    <t>Utlity Stipen</t>
  </si>
  <si>
    <t>Insurance ER portion</t>
  </si>
  <si>
    <t>Retirement</t>
  </si>
  <si>
    <t>HSA</t>
  </si>
  <si>
    <t>6Mo totals</t>
  </si>
  <si>
    <t>CROSS, SANDRA</t>
  </si>
  <si>
    <t>29</t>
  </si>
  <si>
    <t/>
  </si>
  <si>
    <t>Active</t>
  </si>
  <si>
    <t>DIGGS, NYANSO</t>
  </si>
  <si>
    <t>19</t>
  </si>
  <si>
    <t>GARDNER, RACHEL M</t>
  </si>
  <si>
    <t>GAR01</t>
  </si>
  <si>
    <t>Director</t>
  </si>
  <si>
    <t>GENEMANS, BRENDA</t>
  </si>
  <si>
    <t>GEN01</t>
  </si>
  <si>
    <t>MILLS, VICKIE J.</t>
  </si>
  <si>
    <t>14</t>
  </si>
  <si>
    <t>Interim Supervisor</t>
  </si>
  <si>
    <t>RAINES, ROBERTA M</t>
  </si>
  <si>
    <t>25</t>
  </si>
  <si>
    <t>RINI, ANNA</t>
  </si>
  <si>
    <t>18</t>
  </si>
  <si>
    <t>THOMAS, CRYSTAL L</t>
  </si>
  <si>
    <t>THO01</t>
  </si>
  <si>
    <t>Property Management Supervisor</t>
  </si>
  <si>
    <t>VAZQUEZ, CRISTHIAN</t>
  </si>
  <si>
    <t>20</t>
  </si>
  <si>
    <t>Richard Darney</t>
  </si>
  <si>
    <t>Debra Pierre-Louis</t>
  </si>
  <si>
    <t>OSTOICH, JODIE</t>
  </si>
  <si>
    <t>OST01</t>
  </si>
  <si>
    <t>CEO/Executive Director</t>
  </si>
  <si>
    <t>ALLEN, LACY</t>
  </si>
  <si>
    <t>AME01</t>
  </si>
  <si>
    <t>Thomas Hoyer</t>
  </si>
  <si>
    <t>PR Tax</t>
  </si>
  <si>
    <t>Fringe Benefits</t>
  </si>
  <si>
    <t>Total per pay</t>
  </si>
  <si>
    <t>Monthly pay</t>
  </si>
  <si>
    <t>Grant</t>
  </si>
  <si>
    <t>Fred Co CPG</t>
  </si>
  <si>
    <t>awarded, payment sent quarterly in equal portions $25k</t>
  </si>
  <si>
    <t>Morgan Stanley</t>
  </si>
  <si>
    <t>awarded, payment received</t>
  </si>
  <si>
    <t>TAG</t>
  </si>
  <si>
    <t>awarded, last payment of $6k earmarked for Ron's fee to rehab last two Weinberg units</t>
  </si>
  <si>
    <t>Delaplaine</t>
  </si>
  <si>
    <t>still pending, timing worst case scenario as payment has arrived between December and January across last 6 years</t>
  </si>
  <si>
    <t>UW</t>
  </si>
  <si>
    <t>application accepted, conservative reduction from previous years ($4.5k-$11k to $4k)</t>
  </si>
  <si>
    <t>Community Foundation - $30k</t>
  </si>
  <si>
    <t>declined</t>
  </si>
  <si>
    <t>Truist</t>
  </si>
  <si>
    <t>Awarded</t>
  </si>
  <si>
    <t>MHCF - $30K</t>
  </si>
  <si>
    <t>only incluede in scenarios F &amp; G</t>
  </si>
  <si>
    <t>Rotary Club of Caroll Creek - $2.5K</t>
  </si>
  <si>
    <t>awarded, payment likely to be presented at December rotary meeting, requested $2.5k, received $1.5k</t>
  </si>
  <si>
    <t>Ausherman</t>
  </si>
  <si>
    <t>awarded, payment sent in spring once match achieved</t>
  </si>
  <si>
    <t>CITC Additional Allocation CY24-25</t>
  </si>
  <si>
    <t>awarded November 2025</t>
  </si>
  <si>
    <t>CITC CY26-27</t>
  </si>
  <si>
    <t>Applied for $40k in tax credits, conservative reduction to $25k disbursed across 4 installments over 2-year period</t>
  </si>
  <si>
    <t>MAHT FY26 - Weinberg rehab</t>
  </si>
  <si>
    <t>Applied for $55,676, conservative reduction to $40k, timing is based on receipt of FY25 grant payments</t>
  </si>
  <si>
    <t>CF Impact - RRSQ SS</t>
  </si>
  <si>
    <t>Secure Initiative</t>
  </si>
  <si>
    <t>HEART Grant Program</t>
  </si>
  <si>
    <t>PNC Foundation</t>
  </si>
  <si>
    <t>State Farm</t>
  </si>
  <si>
    <t>MCC 2025 = WILD CARD</t>
  </si>
  <si>
    <t>Fred Co CPG FY27</t>
  </si>
  <si>
    <t>conservative reduction from $25k to $20k</t>
  </si>
  <si>
    <t>COF CPG FY27</t>
  </si>
  <si>
    <t>amount same as previous years $7.5k, timing worst case scenario as payment has arrived between August and September across last 4 years</t>
  </si>
  <si>
    <t>Morgan Stanley FY27</t>
  </si>
  <si>
    <t>amount same as previous years $125k, timing is worst case scenario as payment has arrived between September and November across last 5 years</t>
  </si>
  <si>
    <t>Delaplaine FY27</t>
  </si>
  <si>
    <t>amount same as previous years $20k</t>
  </si>
  <si>
    <t>Unity Campaign FY27</t>
  </si>
  <si>
    <t xml:space="preserve"> conservative reduction from previous years ($4.5k-$11 to $4k) </t>
  </si>
  <si>
    <t>Truist FY27</t>
  </si>
  <si>
    <t>conservative reduction from LY $10k to $5k</t>
  </si>
  <si>
    <t>MHCF FY27</t>
  </si>
  <si>
    <t>conservative reduction from $30k to $25k</t>
  </si>
  <si>
    <t>RCCC FY27</t>
  </si>
  <si>
    <t>conservative reduction from previous years ($1.3-2.5k to $1k)</t>
  </si>
  <si>
    <t>Ausherman FY27</t>
  </si>
  <si>
    <t>amount same as previous years $30k</t>
  </si>
  <si>
    <t>Kahlert FY27</t>
  </si>
  <si>
    <t>amount same as previous years $25k but there has been a 3-year hiatus</t>
  </si>
  <si>
    <t>TAG FY27</t>
  </si>
  <si>
    <t>worst case scenario on timing based on previous grant, if funded - $20k divided into 2 reimbursement, as before</t>
  </si>
  <si>
    <t>CDBG FY27</t>
  </si>
  <si>
    <t>reimbursement grant, assuming $20k minimimum ask divided over 10 repayments</t>
  </si>
  <si>
    <t>Serini FY27</t>
  </si>
  <si>
    <t>PNC Foundation FY27</t>
  </si>
  <si>
    <t>MD DHCD Legacy FY27 - FAHI</t>
  </si>
  <si>
    <t>planned application for $35k, conservative reduction to $25k, timing pretty conservative based on previous state grant timeframes we've seen</t>
  </si>
  <si>
    <t>RMC FY27</t>
  </si>
  <si>
    <t>BofA FY27</t>
  </si>
  <si>
    <t>very conservative from previous years we have been funded $25k to $10k - not funded in 3 years, though</t>
  </si>
  <si>
    <t>Plumbing Poverty 2-year grant FY27-28</t>
  </si>
  <si>
    <t>discussed application for $150k, conservative reduction to $75k split over two years and four payments</t>
  </si>
  <si>
    <t>Wells Fargo</t>
  </si>
  <si>
    <t>NAR</t>
  </si>
  <si>
    <t>Lowe's Hometown</t>
  </si>
  <si>
    <t>Frederick Mutual Insurance</t>
  </si>
  <si>
    <t>Fred Co CPG FY28</t>
  </si>
  <si>
    <t>Morgan Stanley FY28</t>
  </si>
  <si>
    <t>amount same as previous years $125k, timing is an average scenario as payment has arrived between September and November across last 5 years</t>
  </si>
  <si>
    <t>Truist FY28</t>
  </si>
  <si>
    <t>COF CPG FY28</t>
  </si>
  <si>
    <t>CDBG FY28</t>
  </si>
  <si>
    <t xml:space="preserve">Corporate </t>
  </si>
  <si>
    <t xml:space="preserve">Church </t>
  </si>
  <si>
    <t>Individual</t>
  </si>
  <si>
    <t>M&amp;T Oper Acct at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</si>
</sst>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Calibri"/>
      <family val="2"/>
    </font>
    <font>
      <b/>
      <sz val="10"/>
      <color theme="1"/>
      <name val="Arial"/>
      <family val="2"/>
    </font>
    <font>
      <sz val="11"/>
      <color theme="5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000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90">
    <xf numFmtId="0" fontId="0" fillId="0" borderId="0" xfId="0"/>
    <xf numFmtId="43" fontId="0" fillId="0" borderId="0" xfId="1" applyFont="1"/>
    <xf numFmtId="17" fontId="0" fillId="0" borderId="0" xfId="0" applyNumberFormat="1"/>
    <xf numFmtId="43" fontId="0" fillId="0" borderId="1" xfId="1" applyFont="1" applyBorder="1"/>
    <xf numFmtId="0" fontId="2" fillId="0" borderId="0" xfId="0" applyFont="1"/>
    <xf numFmtId="0" fontId="2" fillId="0" borderId="2" xfId="0" applyFont="1" applyBorder="1"/>
    <xf numFmtId="43" fontId="0" fillId="0" borderId="2" xfId="1" applyFont="1" applyBorder="1"/>
    <xf numFmtId="0" fontId="3" fillId="0" borderId="3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indent="2"/>
    </xf>
    <xf numFmtId="0" fontId="6" fillId="0" borderId="0" xfId="2" applyFont="1"/>
    <xf numFmtId="43" fontId="6" fillId="0" borderId="0" xfId="2" applyNumberFormat="1" applyFont="1"/>
    <xf numFmtId="43" fontId="7" fillId="0" borderId="0" xfId="3" applyFont="1"/>
    <xf numFmtId="0" fontId="7" fillId="0" borderId="0" xfId="2" applyFont="1"/>
    <xf numFmtId="43" fontId="7" fillId="0" borderId="0" xfId="3" applyFont="1" applyBorder="1"/>
    <xf numFmtId="43" fontId="7" fillId="0" borderId="4" xfId="3" applyFont="1" applyBorder="1"/>
    <xf numFmtId="4" fontId="6" fillId="0" borderId="3" xfId="2" applyNumberFormat="1" applyFont="1" applyBorder="1"/>
    <xf numFmtId="43" fontId="7" fillId="0" borderId="5" xfId="3" applyFont="1" applyBorder="1"/>
    <xf numFmtId="43" fontId="6" fillId="0" borderId="4" xfId="3" applyFont="1" applyBorder="1"/>
    <xf numFmtId="43" fontId="8" fillId="0" borderId="6" xfId="3" applyFont="1" applyBorder="1"/>
    <xf numFmtId="0" fontId="9" fillId="0" borderId="4" xfId="2" applyFont="1" applyBorder="1" applyAlignment="1">
      <alignment horizontal="left" vertical="top" wrapText="1" readingOrder="1"/>
    </xf>
    <xf numFmtId="0" fontId="9" fillId="0" borderId="4" xfId="2" applyFont="1" applyBorder="1" applyAlignment="1">
      <alignment vertical="top" wrapText="1" readingOrder="1"/>
    </xf>
    <xf numFmtId="0" fontId="9" fillId="0" borderId="4" xfId="2" applyFont="1" applyBorder="1" applyAlignment="1">
      <alignment horizontal="right" vertical="top" wrapText="1" readingOrder="1"/>
    </xf>
    <xf numFmtId="4" fontId="9" fillId="0" borderId="4" xfId="2" applyNumberFormat="1" applyFont="1" applyBorder="1" applyAlignment="1">
      <alignment horizontal="right" vertical="center" wrapText="1" readingOrder="1"/>
    </xf>
    <xf numFmtId="0" fontId="7" fillId="0" borderId="4" xfId="2" applyFont="1" applyBorder="1"/>
    <xf numFmtId="0" fontId="10" fillId="2" borderId="4" xfId="2" applyFont="1" applyFill="1" applyBorder="1" applyAlignment="1">
      <alignment vertical="top" wrapText="1" readingOrder="1"/>
    </xf>
    <xf numFmtId="0" fontId="10" fillId="2" borderId="4" xfId="2" applyFont="1" applyFill="1" applyBorder="1" applyAlignment="1">
      <alignment horizontal="left" vertical="top" wrapText="1" readingOrder="1"/>
    </xf>
    <xf numFmtId="0" fontId="10" fillId="2" borderId="4" xfId="2" applyFont="1" applyFill="1" applyBorder="1" applyAlignment="1">
      <alignment horizontal="right" vertical="top" wrapText="1" readingOrder="1"/>
    </xf>
    <xf numFmtId="0" fontId="8" fillId="0" borderId="0" xfId="2" applyFont="1"/>
    <xf numFmtId="0" fontId="11" fillId="3" borderId="7" xfId="0" applyFont="1" applyFill="1" applyBorder="1" applyAlignment="1">
      <alignment horizontal="left" wrapText="1"/>
    </xf>
    <xf numFmtId="4" fontId="6" fillId="0" borderId="0" xfId="2" applyNumberFormat="1" applyFont="1"/>
    <xf numFmtId="0" fontId="2" fillId="4" borderId="0" xfId="0" applyFont="1" applyFill="1"/>
    <xf numFmtId="43" fontId="0" fillId="0" borderId="5" xfId="1" applyFont="1" applyBorder="1"/>
    <xf numFmtId="43" fontId="6" fillId="0" borderId="0" xfId="1" applyFont="1"/>
    <xf numFmtId="43" fontId="8" fillId="0" borderId="0" xfId="3" applyFont="1"/>
    <xf numFmtId="43" fontId="7" fillId="0" borderId="4" xfId="3" applyFont="1" applyFill="1" applyBorder="1"/>
    <xf numFmtId="43" fontId="7" fillId="0" borderId="0" xfId="3" applyFont="1" applyFill="1"/>
    <xf numFmtId="43" fontId="7" fillId="5" borderId="4" xfId="3" applyFont="1" applyFill="1" applyBorder="1"/>
    <xf numFmtId="43" fontId="0" fillId="0" borderId="0" xfId="1" applyFont="1" applyFill="1"/>
    <xf numFmtId="40" fontId="2" fillId="0" borderId="0" xfId="1" applyNumberFormat="1" applyFont="1"/>
    <xf numFmtId="43" fontId="0" fillId="0" borderId="0" xfId="0" applyNumberFormat="1"/>
    <xf numFmtId="43" fontId="0" fillId="6" borderId="0" xfId="1" applyFont="1" applyFill="1"/>
    <xf numFmtId="40" fontId="0" fillId="0" borderId="0" xfId="1" applyNumberFormat="1" applyFont="1"/>
    <xf numFmtId="0" fontId="0" fillId="0" borderId="0" xfId="0" applyAlignment="1">
      <alignment horizontal="center"/>
    </xf>
    <xf numFmtId="0" fontId="3" fillId="7" borderId="0" xfId="0" applyFont="1" applyFill="1" applyAlignment="1">
      <alignment horizontal="left" indent="2"/>
    </xf>
    <xf numFmtId="43" fontId="0" fillId="7" borderId="0" xfId="1" applyFont="1" applyFill="1"/>
    <xf numFmtId="43" fontId="8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/>
    <xf numFmtId="43" fontId="2" fillId="0" borderId="0" xfId="1" applyFont="1"/>
    <xf numFmtId="4" fontId="9" fillId="8" borderId="4" xfId="2" applyNumberFormat="1" applyFont="1" applyFill="1" applyBorder="1" applyAlignment="1">
      <alignment horizontal="right" vertical="center" wrapText="1" readingOrder="1"/>
    </xf>
    <xf numFmtId="0" fontId="12" fillId="9" borderId="4" xfId="2" applyFont="1" applyFill="1" applyBorder="1" applyAlignment="1">
      <alignment vertical="top" wrapText="1" readingOrder="1"/>
    </xf>
    <xf numFmtId="43" fontId="0" fillId="8" borderId="0" xfId="1" applyFont="1" applyFill="1"/>
    <xf numFmtId="43" fontId="7" fillId="8" borderId="4" xfId="3" applyFont="1" applyFill="1" applyBorder="1"/>
    <xf numFmtId="43" fontId="0" fillId="10" borderId="0" xfId="1" applyFont="1" applyFill="1"/>
    <xf numFmtId="0" fontId="5" fillId="0" borderId="0" xfId="0" applyFont="1"/>
    <xf numFmtId="43" fontId="0" fillId="11" borderId="0" xfId="1" applyFont="1" applyFill="1"/>
    <xf numFmtId="43" fontId="0" fillId="12" borderId="0" xfId="1" applyFont="1" applyFill="1"/>
    <xf numFmtId="0" fontId="6" fillId="0" borderId="0" xfId="0" applyFont="1"/>
    <xf numFmtId="4" fontId="6" fillId="0" borderId="0" xfId="0" applyNumberFormat="1" applyFont="1"/>
    <xf numFmtId="0" fontId="13" fillId="0" borderId="0" xfId="0" applyFont="1"/>
    <xf numFmtId="43" fontId="13" fillId="0" borderId="0" xfId="1" applyFont="1"/>
    <xf numFmtId="43" fontId="13" fillId="6" borderId="0" xfId="1" applyFont="1" applyFill="1"/>
    <xf numFmtId="43" fontId="13" fillId="8" borderId="0" xfId="1" applyFont="1" applyFill="1"/>
    <xf numFmtId="43" fontId="13" fillId="0" borderId="0" xfId="1" applyFont="1" applyFill="1"/>
    <xf numFmtId="0" fontId="14" fillId="0" borderId="0" xfId="0" applyFont="1"/>
    <xf numFmtId="43" fontId="14" fillId="0" borderId="0" xfId="1" applyFont="1"/>
    <xf numFmtId="43" fontId="14" fillId="0" borderId="0" xfId="1" applyFont="1" applyFill="1"/>
    <xf numFmtId="43" fontId="14" fillId="12" borderId="0" xfId="1" applyFont="1" applyFill="1"/>
    <xf numFmtId="0" fontId="15" fillId="0" borderId="0" xfId="0" applyFont="1"/>
    <xf numFmtId="43" fontId="15" fillId="0" borderId="0" xfId="1" applyFont="1"/>
    <xf numFmtId="43" fontId="15" fillId="12" borderId="0" xfId="1" applyFont="1" applyFill="1"/>
    <xf numFmtId="0" fontId="2" fillId="7" borderId="0" xfId="0" applyFont="1" applyFill="1" applyAlignment="1">
      <alignment horizontal="center"/>
    </xf>
    <xf numFmtId="4" fontId="9" fillId="0" borderId="4" xfId="2" applyNumberFormat="1" applyFont="1" applyFill="1" applyBorder="1" applyAlignment="1">
      <alignment horizontal="right" vertical="center" wrapText="1" readingOrder="1"/>
    </xf>
    <xf numFmtId="164" fontId="7" fillId="0" borderId="0" xfId="3" applyNumberFormat="1" applyFont="1"/>
    <xf numFmtId="0" fontId="0" fillId="0" borderId="0" xfId="0" applyFill="1"/>
    <xf numFmtId="17" fontId="0" fillId="0" borderId="0" xfId="0" applyNumberFormat="1" applyFill="1"/>
    <xf numFmtId="43" fontId="0" fillId="0" borderId="0" xfId="0" applyNumberFormat="1" applyFill="1"/>
    <xf numFmtId="43" fontId="0" fillId="0" borderId="2" xfId="1" applyFont="1" applyFill="1" applyBorder="1"/>
    <xf numFmtId="43" fontId="0" fillId="0" borderId="1" xfId="1" applyFont="1" applyFill="1" applyBorder="1"/>
    <xf numFmtId="17" fontId="2" fillId="4" borderId="0" xfId="0" applyNumberFormat="1" applyFont="1" applyFill="1"/>
    <xf numFmtId="43" fontId="0" fillId="4" borderId="0" xfId="1" applyFont="1" applyFill="1"/>
    <xf numFmtId="43" fontId="14" fillId="4" borderId="0" xfId="1" applyFont="1" applyFill="1"/>
    <xf numFmtId="43" fontId="15" fillId="4" borderId="0" xfId="1" applyFont="1" applyFill="1"/>
    <xf numFmtId="43" fontId="13" fillId="4" borderId="0" xfId="1" applyFont="1" applyFill="1"/>
    <xf numFmtId="43" fontId="0" fillId="4" borderId="5" xfId="1" applyFont="1" applyFill="1" applyBorder="1"/>
    <xf numFmtId="0" fontId="0" fillId="4" borderId="0" xfId="0" applyFill="1"/>
    <xf numFmtId="0" fontId="3" fillId="0" borderId="0" xfId="0" applyFont="1" applyAlignment="1"/>
    <xf numFmtId="40" fontId="0" fillId="0" borderId="0" xfId="1" applyNumberFormat="1" applyFont="1" applyFill="1"/>
  </cellXfs>
  <cellStyles count="4">
    <cellStyle name="Comma" xfId="1" builtinId="3"/>
    <cellStyle name="Comma 2" xfId="3" xr:uid="{9189D989-68DB-4A8F-A4E0-25B0F563F9A3}"/>
    <cellStyle name="Normal" xfId="0" builtinId="0"/>
    <cellStyle name="Normal 2" xfId="2" xr:uid="{719DF477-11C2-4448-B14B-3503E19C8550}"/>
  </cellStyles>
  <dxfs count="0"/>
  <tableStyles count="0" defaultTableStyle="TableStyleMedium2" defaultPivotStyle="PivotStyleLight16"/>
  <colors>
    <mruColors>
      <color rgb="FFEFF5D1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uest User" id="{D3AC5112-C331-4326-BB41-EB50D8FB2F3D}" userId="S::urn:spo:tenantanon#5880765e-5f41-461b-8de6-2fb1be574fff::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5-10-03T17:30:30.27" personId="{D3AC5112-C331-4326-BB41-EB50D8FB2F3D}" id="{B55D57CC-339B-4DAF-AB0D-63A8DB3D7C0B}">
    <text>WSTH Sale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" dT="2025-10-03T17:30:30.27" personId="{D3AC5112-C331-4326-BB41-EB50D8FB2F3D}" id="{CF343CF4-8EDA-40E6-B87B-50DDCCE047F8}">
    <text>WSTH Sale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71E0-6229-48E0-B5DA-4116475432DD}">
  <sheetPr>
    <tabColor rgb="FF9966FF"/>
  </sheetPr>
  <dimension ref="A1:Z48"/>
  <sheetViews>
    <sheetView workbookViewId="0">
      <pane xSplit="1" ySplit="3" topLeftCell="B14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RowHeight="14.4" x14ac:dyDescent="0.3"/>
  <cols>
    <col min="1" max="1" width="33" customWidth="1"/>
    <col min="2" max="2" width="12.6640625" bestFit="1" customWidth="1"/>
    <col min="3" max="6" width="11.6640625" bestFit="1" customWidth="1"/>
    <col min="7" max="13" width="13.44140625" bestFit="1" customWidth="1"/>
    <col min="14" max="25" width="13.44140625" customWidth="1"/>
    <col min="26" max="26" width="13.44140625" bestFit="1" customWidth="1"/>
  </cols>
  <sheetData>
    <row r="1" spans="1:26" x14ac:dyDescent="0.3">
      <c r="A1" s="4" t="s">
        <v>0</v>
      </c>
    </row>
    <row r="2" spans="1:26" x14ac:dyDescent="0.3">
      <c r="B2" s="73" t="s">
        <v>1</v>
      </c>
      <c r="C2" s="73"/>
      <c r="D2" s="73"/>
      <c r="E2" s="73"/>
      <c r="F2" s="73"/>
      <c r="G2" s="73"/>
      <c r="H2" s="73"/>
    </row>
    <row r="3" spans="1:26" x14ac:dyDescent="0.3">
      <c r="B3" s="2">
        <v>45931</v>
      </c>
      <c r="C3" s="2">
        <v>45962</v>
      </c>
      <c r="D3" s="2">
        <v>45992</v>
      </c>
      <c r="E3" s="2">
        <v>46023</v>
      </c>
      <c r="F3" s="2">
        <v>46054</v>
      </c>
      <c r="G3" s="2">
        <v>46082</v>
      </c>
      <c r="H3" s="2">
        <v>46113</v>
      </c>
      <c r="I3" s="2">
        <v>46143</v>
      </c>
      <c r="J3" s="2">
        <v>46174</v>
      </c>
      <c r="K3" s="2">
        <v>46204</v>
      </c>
      <c r="L3" s="2">
        <v>46235</v>
      </c>
      <c r="M3" s="2">
        <v>46266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44" t="s">
        <v>2</v>
      </c>
    </row>
    <row r="4" spans="1:26" x14ac:dyDescent="0.3">
      <c r="A4" s="32" t="s">
        <v>3</v>
      </c>
    </row>
    <row r="5" spans="1:26" x14ac:dyDescent="0.3">
      <c r="A5" s="56" t="s">
        <v>4</v>
      </c>
      <c r="B5" s="41">
        <f>'Grant&amp;Donations'!B58</f>
        <v>0</v>
      </c>
      <c r="C5" s="39">
        <f>'Grant&amp;Donations'!C58</f>
        <v>8000</v>
      </c>
      <c r="D5" s="39">
        <f>'Grant&amp;Donations'!D58</f>
        <v>25000</v>
      </c>
      <c r="E5" s="39">
        <f>'Grant&amp;Donations'!E58</f>
        <v>5000</v>
      </c>
      <c r="F5" s="39">
        <f>'Grant&amp;Donations'!F58</f>
        <v>5000</v>
      </c>
      <c r="G5" s="39">
        <f>'Grant&amp;Donations'!G58</f>
        <v>0</v>
      </c>
      <c r="H5" s="39">
        <f>'Grant&amp;Donations'!H58</f>
        <v>0</v>
      </c>
      <c r="I5" s="39">
        <f>'Grant&amp;Donations'!I58</f>
        <v>0</v>
      </c>
      <c r="J5" s="39">
        <f>'Grant&amp;Donations'!J58</f>
        <v>0</v>
      </c>
      <c r="K5" s="39">
        <f>'Grant&amp;Donations'!K58</f>
        <v>15000</v>
      </c>
      <c r="L5" s="39">
        <f>'Grant&amp;Donations'!L58</f>
        <v>0</v>
      </c>
      <c r="M5" s="39">
        <f>'Grant&amp;Donations'!M58</f>
        <v>0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1">
        <f>SUM(B5:M5)</f>
        <v>58000</v>
      </c>
    </row>
    <row r="6" spans="1:26" x14ac:dyDescent="0.3">
      <c r="A6" t="s">
        <v>5</v>
      </c>
      <c r="B6" s="1">
        <f>'Grant&amp;Donations'!B52</f>
        <v>157750</v>
      </c>
      <c r="C6" s="1">
        <f>'Grant&amp;Donations'!C52</f>
        <v>0</v>
      </c>
      <c r="D6" s="1">
        <f>'Grant&amp;Donations'!D52</f>
        <v>86500</v>
      </c>
      <c r="E6" s="58">
        <f>'Grant&amp;Donations'!E52</f>
        <v>53957.17</v>
      </c>
      <c r="F6" s="57">
        <f>'Grant&amp;Donations'!F52</f>
        <v>2719.06</v>
      </c>
      <c r="G6" s="1">
        <f>'Grant&amp;Donations'!G52</f>
        <v>37292.83</v>
      </c>
      <c r="H6" s="57">
        <f>'Grant&amp;Donations'!H52</f>
        <v>6250</v>
      </c>
      <c r="I6" s="57">
        <f>'Grant&amp;Donations'!I52</f>
        <v>29500</v>
      </c>
      <c r="J6" s="57">
        <f>'Grant&amp;Donations'!J52</f>
        <v>14500</v>
      </c>
      <c r="K6" s="1">
        <f>'Grant&amp;Donations'!K52</f>
        <v>35000</v>
      </c>
      <c r="L6" s="1">
        <f>'Grant&amp;Donations'!L52</f>
        <v>2000</v>
      </c>
      <c r="M6" s="1">
        <f>'Grant&amp;Donations'!M52</f>
        <v>9500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>
        <f>SUM(B6:M6)</f>
        <v>434969.06</v>
      </c>
    </row>
    <row r="7" spans="1:26" x14ac:dyDescent="0.3">
      <c r="A7" t="s">
        <v>6</v>
      </c>
      <c r="B7" s="1">
        <f>11148+15000</f>
        <v>26148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>SUM(B7:M7)</f>
        <v>26148</v>
      </c>
    </row>
    <row r="8" spans="1:26" x14ac:dyDescent="0.3">
      <c r="A8" t="s">
        <v>7</v>
      </c>
      <c r="B8" s="1"/>
      <c r="C8" s="1">
        <f>6100+2400</f>
        <v>8500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">
      <c r="A9" t="s">
        <v>8</v>
      </c>
      <c r="B9" s="1">
        <v>46155.49</v>
      </c>
      <c r="C9" s="1">
        <v>40600.629999999997</v>
      </c>
      <c r="D9" s="1">
        <v>40600.629999999997</v>
      </c>
      <c r="E9" s="1">
        <f>40600.63-Salary!$H$45</f>
        <v>34892.225384615384</v>
      </c>
      <c r="F9" s="1">
        <f>40600.63-Salary!$H$45</f>
        <v>34892.225384615384</v>
      </c>
      <c r="G9" s="1">
        <f>40600.63-Salary!$H$45</f>
        <v>34892.225384615384</v>
      </c>
      <c r="H9" s="1">
        <f>49027-Salary!H46</f>
        <v>41010.903076923074</v>
      </c>
      <c r="I9" s="1">
        <f>40600.63-Salary!$H$45</f>
        <v>34892.225384615384</v>
      </c>
      <c r="J9" s="1">
        <f>40600.63-Salary!$H$45</f>
        <v>34892.225384615384</v>
      </c>
      <c r="K9" s="1">
        <f>40600.63-Salary!$H$45</f>
        <v>34892.225384615384</v>
      </c>
      <c r="L9" s="1">
        <f>40600.63-Salary!$H$45</f>
        <v>34892.225384615384</v>
      </c>
      <c r="M9" s="1">
        <f>40600.63-Salary!$H$45</f>
        <v>34892.225384615384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ref="Z9:Z14" si="0">SUM(B9:M9)</f>
        <v>447505.45615384605</v>
      </c>
    </row>
    <row r="10" spans="1:26" x14ac:dyDescent="0.3">
      <c r="A10" t="s">
        <v>9</v>
      </c>
      <c r="B10" s="1">
        <v>18105.669999999998</v>
      </c>
      <c r="C10" s="1">
        <v>14945.56</v>
      </c>
      <c r="D10" s="1">
        <v>14945.56</v>
      </c>
      <c r="E10" s="1">
        <v>14945.56</v>
      </c>
      <c r="F10" s="1">
        <v>14945.56</v>
      </c>
      <c r="G10" s="1">
        <v>14945.56</v>
      </c>
      <c r="H10" s="1">
        <v>14945.56</v>
      </c>
      <c r="I10" s="1">
        <v>14945.56</v>
      </c>
      <c r="J10" s="1">
        <v>14945.56</v>
      </c>
      <c r="K10" s="1">
        <v>14945.56</v>
      </c>
      <c r="L10" s="1">
        <v>14945.56</v>
      </c>
      <c r="M10" s="1">
        <v>14945.56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182506.83</v>
      </c>
    </row>
    <row r="11" spans="1:26" x14ac:dyDescent="0.3">
      <c r="A11" t="s">
        <v>10</v>
      </c>
      <c r="B11" s="1">
        <f>685.8+762</f>
        <v>1447.8</v>
      </c>
      <c r="C11" s="1">
        <f t="shared" ref="C11:M11" si="1">685.8+762</f>
        <v>1447.8</v>
      </c>
      <c r="D11" s="1">
        <f t="shared" si="1"/>
        <v>1447.8</v>
      </c>
      <c r="E11" s="1">
        <f t="shared" si="1"/>
        <v>1447.8</v>
      </c>
      <c r="F11" s="1">
        <f t="shared" si="1"/>
        <v>1447.8</v>
      </c>
      <c r="G11" s="1">
        <f t="shared" si="1"/>
        <v>1447.8</v>
      </c>
      <c r="H11" s="1">
        <f t="shared" si="1"/>
        <v>1447.8</v>
      </c>
      <c r="I11" s="1">
        <f t="shared" si="1"/>
        <v>1447.8</v>
      </c>
      <c r="J11" s="1">
        <f t="shared" si="1"/>
        <v>1447.8</v>
      </c>
      <c r="K11" s="1">
        <f t="shared" si="1"/>
        <v>1447.8</v>
      </c>
      <c r="L11" s="1">
        <f t="shared" si="1"/>
        <v>1447.8</v>
      </c>
      <c r="M11" s="1">
        <f t="shared" si="1"/>
        <v>1447.8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17373.599999999995</v>
      </c>
    </row>
    <row r="12" spans="1:26" s="39" customFormat="1" x14ac:dyDescent="0.3">
      <c r="A12" t="s">
        <v>11</v>
      </c>
      <c r="B12" s="39">
        <v>13099.22</v>
      </c>
      <c r="E12" s="39">
        <v>11247.78</v>
      </c>
      <c r="H12" s="39">
        <v>11247.78</v>
      </c>
      <c r="K12" s="39">
        <v>11247.78</v>
      </c>
      <c r="Z12" s="39">
        <f t="shared" si="0"/>
        <v>46842.559999999998</v>
      </c>
    </row>
    <row r="13" spans="1:26" x14ac:dyDescent="0.3">
      <c r="A13" t="s">
        <v>12</v>
      </c>
      <c r="B13" s="1">
        <v>7455.02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1">
        <f t="shared" si="0"/>
        <v>7455.02</v>
      </c>
    </row>
    <row r="14" spans="1:26" x14ac:dyDescent="0.3">
      <c r="A14" s="5" t="s">
        <v>13</v>
      </c>
      <c r="B14" s="6">
        <f>SUM(B5:B13)</f>
        <v>270161.19999999995</v>
      </c>
      <c r="C14" s="6">
        <f>SUM(C5:C13)</f>
        <v>73493.990000000005</v>
      </c>
      <c r="D14" s="6">
        <f t="shared" ref="D14:L14" si="2">SUM(D5:D13)</f>
        <v>168493.99</v>
      </c>
      <c r="E14" s="6">
        <f t="shared" si="2"/>
        <v>121490.53538461537</v>
      </c>
      <c r="F14" s="6">
        <f t="shared" si="2"/>
        <v>59004.645384615382</v>
      </c>
      <c r="G14" s="6">
        <f t="shared" si="2"/>
        <v>88578.415384615379</v>
      </c>
      <c r="H14" s="6">
        <f t="shared" si="2"/>
        <v>74902.043076923073</v>
      </c>
      <c r="I14" s="6">
        <f t="shared" si="2"/>
        <v>80785.585384615391</v>
      </c>
      <c r="J14" s="6">
        <f t="shared" si="2"/>
        <v>65785.585384615377</v>
      </c>
      <c r="K14" s="6">
        <f t="shared" si="2"/>
        <v>112533.36538461539</v>
      </c>
      <c r="L14" s="6">
        <f t="shared" si="2"/>
        <v>53285.585384615384</v>
      </c>
      <c r="M14" s="6">
        <f>SUM(M5:M13)</f>
        <v>60785.585384615384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>
        <f t="shared" si="0"/>
        <v>1229300.5261538464</v>
      </c>
    </row>
    <row r="15" spans="1:2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A18" t="s">
        <v>14</v>
      </c>
      <c r="B18" s="1">
        <f>(Salary!$E$35)*2</f>
        <v>99368.000568307703</v>
      </c>
      <c r="C18" s="1">
        <f>(Salary!$F$35)*2</f>
        <v>99368.000835076935</v>
      </c>
      <c r="D18" s="1">
        <f>(Salary!$G$35)*2</f>
        <v>99368.000835076935</v>
      </c>
      <c r="E18" s="1">
        <f>(Salary!$H$35)*2</f>
        <v>79048.217844307685</v>
      </c>
      <c r="F18" s="1">
        <f>(Salary!$H$35)*2</f>
        <v>79048.217844307685</v>
      </c>
      <c r="G18" s="1">
        <f>(Salary!$H$35)*2</f>
        <v>79048.217844307685</v>
      </c>
      <c r="H18" s="1">
        <f>(Salary!$H$35)*3</f>
        <v>118572.32676646153</v>
      </c>
      <c r="I18" s="1">
        <f>(Salary!$H$35)*2</f>
        <v>79048.217844307685</v>
      </c>
      <c r="J18" s="1">
        <f>(Salary!$H$35)*2</f>
        <v>79048.217844307685</v>
      </c>
      <c r="K18" s="1">
        <f>(Salary!$H$35)*2</f>
        <v>79048.217844307685</v>
      </c>
      <c r="L18" s="1">
        <f>(Salary!$H$35)*2</f>
        <v>79048.217844307685</v>
      </c>
      <c r="M18" s="1">
        <f>(Salary!$H$35)*2</f>
        <v>79048.217844307685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ref="Z18:Z23" si="3">SUM(B18:M18)</f>
        <v>1049062.0717593844</v>
      </c>
    </row>
    <row r="19" spans="1:26" x14ac:dyDescent="0.3">
      <c r="A19" t="s">
        <v>15</v>
      </c>
      <c r="B19" s="1">
        <f>400</f>
        <v>400</v>
      </c>
      <c r="C19" s="1">
        <f>400</f>
        <v>400</v>
      </c>
      <c r="D19" s="1">
        <f>400</f>
        <v>400</v>
      </c>
      <c r="E19" s="1">
        <f>400</f>
        <v>400</v>
      </c>
      <c r="F19" s="1">
        <f>400</f>
        <v>400</v>
      </c>
      <c r="G19" s="1">
        <f>400</f>
        <v>400</v>
      </c>
      <c r="H19" s="1">
        <f>400</f>
        <v>400</v>
      </c>
      <c r="I19" s="1">
        <f>400</f>
        <v>400</v>
      </c>
      <c r="J19" s="1">
        <f>400</f>
        <v>400</v>
      </c>
      <c r="K19" s="1">
        <f>400</f>
        <v>400</v>
      </c>
      <c r="L19" s="1">
        <f>400</f>
        <v>400</v>
      </c>
      <c r="M19" s="1">
        <f>400</f>
        <v>400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3"/>
        <v>4800</v>
      </c>
    </row>
    <row r="20" spans="1:26" x14ac:dyDescent="0.3">
      <c r="A20" t="s">
        <v>16</v>
      </c>
      <c r="B20" s="1">
        <v>2572.37</v>
      </c>
      <c r="C20" s="1">
        <v>2573.37</v>
      </c>
      <c r="D20" s="1">
        <v>2574.37</v>
      </c>
      <c r="E20" s="1">
        <v>2575.37</v>
      </c>
      <c r="F20" s="1">
        <v>2576.37</v>
      </c>
      <c r="G20" s="1">
        <v>2577.37</v>
      </c>
      <c r="H20" s="1">
        <v>2578.37</v>
      </c>
      <c r="I20" s="1">
        <v>2579.37</v>
      </c>
      <c r="J20" s="1">
        <v>2580.37</v>
      </c>
      <c r="K20" s="1">
        <v>2581.37</v>
      </c>
      <c r="L20" s="1">
        <v>2582.37</v>
      </c>
      <c r="M20" s="1">
        <v>2583.37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3"/>
        <v>30934.439999999991</v>
      </c>
    </row>
    <row r="21" spans="1:26" x14ac:dyDescent="0.3">
      <c r="A21" t="s">
        <v>17</v>
      </c>
      <c r="B21" s="1">
        <v>9000</v>
      </c>
      <c r="C21" s="1"/>
      <c r="D21" s="1">
        <v>8500</v>
      </c>
      <c r="E21" s="1">
        <v>25575</v>
      </c>
      <c r="F21" s="1">
        <v>5250</v>
      </c>
      <c r="G21" s="1"/>
      <c r="H21" s="1"/>
      <c r="I21" s="1">
        <v>4875</v>
      </c>
      <c r="J21" s="1">
        <v>3975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3"/>
        <v>57175</v>
      </c>
    </row>
    <row r="22" spans="1:26" x14ac:dyDescent="0.3">
      <c r="A22" t="s">
        <v>18</v>
      </c>
      <c r="B22" s="1">
        <v>7588.72</v>
      </c>
      <c r="C22" s="1">
        <v>5275.75</v>
      </c>
      <c r="D22" s="1">
        <v>5275.75</v>
      </c>
      <c r="E22" s="1">
        <v>5275.75</v>
      </c>
      <c r="F22" s="1">
        <v>5275.75</v>
      </c>
      <c r="G22" s="1">
        <v>5275.75</v>
      </c>
      <c r="H22" s="1">
        <v>5275.75</v>
      </c>
      <c r="I22" s="1">
        <v>5275.75</v>
      </c>
      <c r="J22" s="1">
        <v>5275.75</v>
      </c>
      <c r="K22" s="1">
        <v>5275.75</v>
      </c>
      <c r="L22" s="1">
        <v>5275.75</v>
      </c>
      <c r="M22" s="1">
        <v>5275.75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3"/>
        <v>65621.97</v>
      </c>
    </row>
    <row r="23" spans="1:26" x14ac:dyDescent="0.3">
      <c r="A23" t="s">
        <v>19</v>
      </c>
      <c r="B23" s="1">
        <v>5409.61</v>
      </c>
      <c r="C23" s="1">
        <f>2748.27+B23</f>
        <v>8157.8799999999992</v>
      </c>
      <c r="D23" s="1">
        <f>4148+B23</f>
        <v>9557.61</v>
      </c>
      <c r="E23" s="1">
        <f>B23</f>
        <v>5409.61</v>
      </c>
      <c r="F23" s="1">
        <f>2748.27+B23</f>
        <v>8157.8799999999992</v>
      </c>
      <c r="G23" s="1">
        <f>4218+B23</f>
        <v>9627.61</v>
      </c>
      <c r="H23" s="1">
        <f>B23</f>
        <v>5409.61</v>
      </c>
      <c r="I23" s="1">
        <f>2748+B23</f>
        <v>8157.61</v>
      </c>
      <c r="J23" s="1">
        <f>4134+B23</f>
        <v>9543.61</v>
      </c>
      <c r="K23" s="1">
        <f>B23</f>
        <v>5409.61</v>
      </c>
      <c r="L23" s="1">
        <f>B23</f>
        <v>5409.61</v>
      </c>
      <c r="M23" s="1">
        <f>3049+B23</f>
        <v>8458.61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3"/>
        <v>88708.86</v>
      </c>
    </row>
    <row r="24" spans="1:26" x14ac:dyDescent="0.3">
      <c r="A24" s="5" t="s">
        <v>20</v>
      </c>
      <c r="B24" s="6">
        <f>SUM(B18:B23)</f>
        <v>124338.7005683077</v>
      </c>
      <c r="C24" s="6">
        <f t="shared" ref="C24:Z24" si="4">SUM(C18:C23)</f>
        <v>115775.00083507693</v>
      </c>
      <c r="D24" s="6">
        <f t="shared" si="4"/>
        <v>125675.73083507693</v>
      </c>
      <c r="E24" s="6">
        <f t="shared" si="4"/>
        <v>118283.94784430768</v>
      </c>
      <c r="F24" s="6">
        <f t="shared" si="4"/>
        <v>100708.21784430768</v>
      </c>
      <c r="G24" s="6">
        <f t="shared" si="4"/>
        <v>96928.94784430768</v>
      </c>
      <c r="H24" s="6">
        <f t="shared" si="4"/>
        <v>132236.05676646152</v>
      </c>
      <c r="I24" s="6">
        <f t="shared" si="4"/>
        <v>100335.94784430768</v>
      </c>
      <c r="J24" s="6">
        <f t="shared" si="4"/>
        <v>100822.94784430768</v>
      </c>
      <c r="K24" s="6">
        <f t="shared" si="4"/>
        <v>92714.94784430768</v>
      </c>
      <c r="L24" s="6">
        <f t="shared" si="4"/>
        <v>92715.94784430768</v>
      </c>
      <c r="M24" s="6">
        <f t="shared" si="4"/>
        <v>95765.94784430768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f t="shared" si="4"/>
        <v>1296302.3417593844</v>
      </c>
    </row>
    <row r="25" spans="1:26" ht="15" thickBot="1" x14ac:dyDescent="0.35">
      <c r="A25" s="7" t="s">
        <v>21</v>
      </c>
      <c r="B25" s="3">
        <f t="shared" ref="B25:M25" si="5">B14-B24</f>
        <v>145822.49943169224</v>
      </c>
      <c r="C25" s="3">
        <f t="shared" si="5"/>
        <v>-42281.01083507693</v>
      </c>
      <c r="D25" s="3">
        <f t="shared" si="5"/>
        <v>42818.25916492306</v>
      </c>
      <c r="E25" s="3">
        <f t="shared" si="5"/>
        <v>3206.5875403076934</v>
      </c>
      <c r="F25" s="3">
        <f t="shared" si="5"/>
        <v>-41703.572459692303</v>
      </c>
      <c r="G25" s="3">
        <f t="shared" si="5"/>
        <v>-8350.5324596923019</v>
      </c>
      <c r="H25" s="3">
        <f>H14-H24</f>
        <v>-57334.013689538449</v>
      </c>
      <c r="I25" s="3">
        <f t="shared" si="5"/>
        <v>-19550.362459692289</v>
      </c>
      <c r="J25" s="3">
        <f t="shared" si="5"/>
        <v>-35037.362459692304</v>
      </c>
      <c r="K25" s="3">
        <f t="shared" si="5"/>
        <v>19818.41754030771</v>
      </c>
      <c r="L25" s="3">
        <f t="shared" si="5"/>
        <v>-39430.362459692296</v>
      </c>
      <c r="M25" s="3">
        <f t="shared" si="5"/>
        <v>-34980.362459692296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>
        <f>Z14-Z24</f>
        <v>-67001.815605537966</v>
      </c>
    </row>
    <row r="26" spans="1:26" x14ac:dyDescent="0.3">
      <c r="A26" s="8" t="s">
        <v>22</v>
      </c>
      <c r="B26" s="1">
        <f>B25</f>
        <v>145822.49943169224</v>
      </c>
      <c r="C26" s="1">
        <f>+B26+C25</f>
        <v>103541.48859661531</v>
      </c>
      <c r="D26" s="1">
        <f t="shared" ref="D26:M26" si="6">+C26+D25</f>
        <v>146359.74776153837</v>
      </c>
      <c r="E26" s="1">
        <f t="shared" si="6"/>
        <v>149566.33530184606</v>
      </c>
      <c r="F26" s="1">
        <f t="shared" si="6"/>
        <v>107862.76284215375</v>
      </c>
      <c r="G26" s="1">
        <f t="shared" si="6"/>
        <v>99512.23038246145</v>
      </c>
      <c r="H26" s="1">
        <f t="shared" si="6"/>
        <v>42178.216692923001</v>
      </c>
      <c r="I26" s="1">
        <f t="shared" si="6"/>
        <v>22627.854233230712</v>
      </c>
      <c r="J26" s="1">
        <f t="shared" si="6"/>
        <v>-12409.508226461592</v>
      </c>
      <c r="K26" s="1">
        <f t="shared" si="6"/>
        <v>7408.9093138461176</v>
      </c>
      <c r="L26" s="1">
        <f>+K26+L25</f>
        <v>-32021.453145846179</v>
      </c>
      <c r="M26" s="1">
        <f t="shared" si="6"/>
        <v>-67001.815605538475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>+M26+Z25</f>
        <v>-134003.63121107646</v>
      </c>
    </row>
    <row r="27" spans="1:26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9" t="s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10" t="s">
        <v>24</v>
      </c>
      <c r="B29" s="1">
        <f>1325.11</f>
        <v>1325.11</v>
      </c>
      <c r="C29" s="1">
        <f t="shared" ref="C29:Z29" si="7">1325.11</f>
        <v>1325.11</v>
      </c>
      <c r="D29" s="1">
        <f t="shared" si="7"/>
        <v>1325.11</v>
      </c>
      <c r="E29" s="1">
        <f t="shared" si="7"/>
        <v>1325.11</v>
      </c>
      <c r="F29" s="1">
        <f t="shared" si="7"/>
        <v>1325.11</v>
      </c>
      <c r="G29" s="1">
        <f t="shared" si="7"/>
        <v>1325.11</v>
      </c>
      <c r="H29" s="1">
        <f t="shared" si="7"/>
        <v>1325.11</v>
      </c>
      <c r="I29" s="1">
        <f t="shared" si="7"/>
        <v>1325.11</v>
      </c>
      <c r="J29" s="1">
        <f t="shared" si="7"/>
        <v>1325.11</v>
      </c>
      <c r="K29" s="1">
        <f t="shared" si="7"/>
        <v>1325.11</v>
      </c>
      <c r="L29" s="1">
        <f t="shared" si="7"/>
        <v>1325.11</v>
      </c>
      <c r="M29" s="1">
        <f t="shared" si="7"/>
        <v>1325.11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7"/>
        <v>1325.11</v>
      </c>
    </row>
    <row r="30" spans="1:26" ht="15" thickBot="1" x14ac:dyDescent="0.3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thickBot="1" x14ac:dyDescent="0.35">
      <c r="A31" s="30" t="s">
        <v>25</v>
      </c>
      <c r="B31" s="40">
        <f>B26+B29</f>
        <v>147147.60943169222</v>
      </c>
      <c r="C31" s="40">
        <f>C26+C29</f>
        <v>104866.59859661531</v>
      </c>
      <c r="D31" s="40">
        <f t="shared" ref="D31:M31" si="8">D26+D29</f>
        <v>147684.85776153835</v>
      </c>
      <c r="E31" s="40">
        <f t="shared" si="8"/>
        <v>150891.44530184605</v>
      </c>
      <c r="F31" s="40">
        <f t="shared" si="8"/>
        <v>109187.87284215375</v>
      </c>
      <c r="G31" s="40">
        <f t="shared" si="8"/>
        <v>100837.34038246145</v>
      </c>
      <c r="H31" s="40">
        <f t="shared" si="8"/>
        <v>43503.326692923001</v>
      </c>
      <c r="I31" s="40">
        <f t="shared" si="8"/>
        <v>23952.964233230712</v>
      </c>
      <c r="J31" s="40">
        <f t="shared" si="8"/>
        <v>-11084.398226461592</v>
      </c>
      <c r="K31" s="40">
        <f t="shared" si="8"/>
        <v>8734.0193138461182</v>
      </c>
      <c r="L31" s="40">
        <f t="shared" si="8"/>
        <v>-30696.343145846178</v>
      </c>
      <c r="M31" s="40">
        <f t="shared" si="8"/>
        <v>-65676.705605538475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>
        <f>Z26+Z29</f>
        <v>-132678.52121107647</v>
      </c>
    </row>
    <row r="32" spans="1:26" x14ac:dyDescent="0.3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">
      <c r="A33" s="45" t="s">
        <v>27</v>
      </c>
      <c r="B33" s="46"/>
      <c r="C33" s="46"/>
      <c r="D33" s="46"/>
      <c r="E33" s="46"/>
      <c r="F33" s="46"/>
      <c r="G33" s="46"/>
      <c r="H33" s="4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48" spans="1:26" x14ac:dyDescent="0.3">
      <c r="A48" t="s">
        <v>26</v>
      </c>
    </row>
  </sheetData>
  <mergeCells count="1">
    <mergeCell ref="B2:H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553A-98A2-4129-B612-3F631B4E65F9}">
  <sheetPr>
    <tabColor rgb="FF9966FF"/>
  </sheetPr>
  <dimension ref="A1:Z47"/>
  <sheetViews>
    <sheetView tabSelected="1" workbookViewId="0">
      <pane xSplit="1" ySplit="3" topLeftCell="C11" activePane="bottomRight" state="frozen"/>
      <selection pane="topRight" activeCell="B1" sqref="B1"/>
      <selection pane="bottomLeft" activeCell="A2" sqref="A2"/>
      <selection pane="bottomRight" activeCell="P24" sqref="P24"/>
    </sheetView>
  </sheetViews>
  <sheetFormatPr defaultRowHeight="14.4" x14ac:dyDescent="0.3"/>
  <cols>
    <col min="1" max="1" width="33" customWidth="1"/>
    <col min="2" max="2" width="12.6640625" hidden="1" customWidth="1"/>
    <col min="3" max="6" width="12.21875" bestFit="1" customWidth="1"/>
    <col min="7" max="13" width="13.5546875" bestFit="1" customWidth="1"/>
    <col min="14" max="14" width="13.44140625" style="76" customWidth="1"/>
    <col min="15" max="26" width="13.44140625" customWidth="1"/>
  </cols>
  <sheetData>
    <row r="1" spans="1:26" x14ac:dyDescent="0.3">
      <c r="A1" s="4" t="s">
        <v>0</v>
      </c>
    </row>
    <row r="2" spans="1:26" x14ac:dyDescent="0.3">
      <c r="B2" s="73" t="s">
        <v>1</v>
      </c>
      <c r="C2" s="73"/>
      <c r="D2" s="73"/>
      <c r="E2" s="73"/>
      <c r="F2" s="73"/>
      <c r="G2" s="73"/>
      <c r="H2" s="73"/>
    </row>
    <row r="3" spans="1:26" x14ac:dyDescent="0.3">
      <c r="B3" s="2">
        <v>45931</v>
      </c>
      <c r="C3" s="2">
        <v>45962</v>
      </c>
      <c r="D3" s="2">
        <v>45992</v>
      </c>
      <c r="E3" s="2">
        <v>46023</v>
      </c>
      <c r="F3" s="2">
        <v>46054</v>
      </c>
      <c r="G3" s="2">
        <v>46082</v>
      </c>
      <c r="H3" s="2">
        <v>46113</v>
      </c>
      <c r="I3" s="2">
        <v>46143</v>
      </c>
      <c r="J3" s="2">
        <v>46174</v>
      </c>
      <c r="K3" s="2">
        <v>46204</v>
      </c>
      <c r="L3" s="2">
        <v>46235</v>
      </c>
      <c r="M3" s="2">
        <v>46266</v>
      </c>
      <c r="N3" s="77">
        <v>46296</v>
      </c>
      <c r="O3" s="2">
        <v>46327</v>
      </c>
      <c r="P3" s="2">
        <v>46357</v>
      </c>
      <c r="Q3" s="2">
        <v>46388</v>
      </c>
      <c r="R3" s="2">
        <v>46419</v>
      </c>
      <c r="S3" s="2">
        <v>46447</v>
      </c>
      <c r="T3" s="2">
        <v>46478</v>
      </c>
      <c r="U3" s="2">
        <v>46508</v>
      </c>
      <c r="V3" s="2">
        <v>46539</v>
      </c>
      <c r="W3" s="2">
        <v>46569</v>
      </c>
      <c r="X3" s="2">
        <v>46600</v>
      </c>
      <c r="Y3" s="2">
        <v>46631</v>
      </c>
      <c r="Z3" s="2">
        <v>46661</v>
      </c>
    </row>
    <row r="4" spans="1:26" x14ac:dyDescent="0.3">
      <c r="A4" s="32" t="s">
        <v>3</v>
      </c>
    </row>
    <row r="5" spans="1:26" x14ac:dyDescent="0.3">
      <c r="A5" s="56" t="s">
        <v>4</v>
      </c>
      <c r="B5" s="41">
        <f>'Grant&amp;Donations'!B58</f>
        <v>0</v>
      </c>
      <c r="C5" s="41">
        <f>'Grant&amp;Donations'!C58</f>
        <v>8000</v>
      </c>
      <c r="D5" s="41">
        <f>'Grant&amp;Donations'!D58</f>
        <v>25000</v>
      </c>
      <c r="E5" s="41">
        <f>'Grant&amp;Donations'!E58</f>
        <v>5000</v>
      </c>
      <c r="F5" s="41">
        <f>'Grant&amp;Donations'!F58</f>
        <v>5000</v>
      </c>
      <c r="G5" s="41">
        <f>'Grant&amp;Donations'!G58</f>
        <v>0</v>
      </c>
      <c r="H5" s="41">
        <f>'Grant&amp;Donations'!H58</f>
        <v>0</v>
      </c>
      <c r="I5" s="41">
        <f>'Grant&amp;Donations'!I58</f>
        <v>0</v>
      </c>
      <c r="J5" s="41">
        <f>'Grant&amp;Donations'!J58</f>
        <v>0</v>
      </c>
      <c r="K5" s="41">
        <f>'Grant&amp;Donations'!K58</f>
        <v>15000</v>
      </c>
      <c r="L5" s="41">
        <f>'Grant&amp;Donations'!L58</f>
        <v>0</v>
      </c>
      <c r="M5" s="41">
        <f>'Grant&amp;Donations'!M58</f>
        <v>0</v>
      </c>
      <c r="N5" s="78">
        <f>'Grant&amp;Donations'!N58</f>
        <v>0</v>
      </c>
      <c r="O5" s="41">
        <f>'Grant&amp;Donations'!O58</f>
        <v>8000</v>
      </c>
      <c r="P5" s="41">
        <f>'Grant&amp;Donations'!P58</f>
        <v>5662.5</v>
      </c>
      <c r="Q5" s="41">
        <f>'Grant&amp;Donations'!Q58</f>
        <v>5662.5</v>
      </c>
      <c r="R5" s="41">
        <f>'Grant&amp;Donations'!R58</f>
        <v>5662.5</v>
      </c>
      <c r="S5" s="41">
        <f>'Grant&amp;Donations'!S58</f>
        <v>662.5</v>
      </c>
      <c r="T5" s="41">
        <f>'Grant&amp;Donations'!T58</f>
        <v>0</v>
      </c>
      <c r="U5" s="41">
        <f>'Grant&amp;Donations'!U58</f>
        <v>0</v>
      </c>
      <c r="V5" s="41">
        <f>'Grant&amp;Donations'!V58</f>
        <v>0</v>
      </c>
      <c r="W5" s="41">
        <f>'Grant&amp;Donations'!W58</f>
        <v>0</v>
      </c>
      <c r="X5" s="41">
        <f>'Grant&amp;Donations'!X58</f>
        <v>0</v>
      </c>
      <c r="Y5" s="41">
        <f>'Grant&amp;Donations'!Y58</f>
        <v>0</v>
      </c>
      <c r="Z5" s="41">
        <f>'Grant&amp;Donations'!Z58</f>
        <v>0</v>
      </c>
    </row>
    <row r="6" spans="1:26" x14ac:dyDescent="0.3">
      <c r="A6" t="s">
        <v>5</v>
      </c>
      <c r="B6" s="1">
        <f>'Grant&amp;Donations'!B52</f>
        <v>157750</v>
      </c>
      <c r="C6" s="1">
        <f>'Grant&amp;Donations'!C52</f>
        <v>0</v>
      </c>
      <c r="D6" s="1">
        <f>'Grant&amp;Donations'!D52</f>
        <v>86500</v>
      </c>
      <c r="E6" s="1">
        <f>'Grant&amp;Donations'!E52</f>
        <v>53957.17</v>
      </c>
      <c r="F6" s="39">
        <f>'Grant&amp;Donations'!F52</f>
        <v>2719.06</v>
      </c>
      <c r="G6" s="39">
        <f>'Grant&amp;Donations'!G52</f>
        <v>37292.83</v>
      </c>
      <c r="H6" s="39">
        <f>'Grant&amp;Donations'!H52</f>
        <v>6250</v>
      </c>
      <c r="I6" s="39">
        <f>'Grant&amp;Donations'!I52</f>
        <v>29500</v>
      </c>
      <c r="J6" s="39">
        <f>'Grant&amp;Donations'!J52</f>
        <v>14500</v>
      </c>
      <c r="K6" s="39">
        <f>'Grant&amp;Donations'!K52</f>
        <v>35000</v>
      </c>
      <c r="L6" s="39">
        <f>'Grant&amp;Donations'!L52</f>
        <v>2000</v>
      </c>
      <c r="M6" s="39">
        <f>'Grant&amp;Donations'!M52</f>
        <v>9500</v>
      </c>
      <c r="N6" s="39">
        <f>'Grant&amp;Donations'!N52</f>
        <v>12000</v>
      </c>
      <c r="O6" s="1">
        <f>'Grant&amp;Donations'!O52</f>
        <v>142000</v>
      </c>
      <c r="P6" s="1">
        <f>'Grant&amp;Donations'!P52</f>
        <v>48000</v>
      </c>
      <c r="Q6" s="39">
        <f>'Grant&amp;Donations'!Q52</f>
        <v>72000</v>
      </c>
      <c r="R6" s="39">
        <f>'Grant&amp;Donations'!R52</f>
        <v>2000</v>
      </c>
      <c r="S6" s="39">
        <f>'Grant&amp;Donations'!S52</f>
        <v>62000</v>
      </c>
      <c r="T6" s="39">
        <f>'Grant&amp;Donations'!T52</f>
        <v>7000</v>
      </c>
      <c r="U6" s="39">
        <f>'Grant&amp;Donations'!U52</f>
        <v>2000</v>
      </c>
      <c r="V6" s="39">
        <f>'Grant&amp;Donations'!V52</f>
        <v>34000</v>
      </c>
      <c r="W6" s="39">
        <f>'Grant&amp;Donations'!W52</f>
        <v>5000</v>
      </c>
      <c r="X6" s="1">
        <f>'Grant&amp;Donations'!X52</f>
        <v>2000</v>
      </c>
      <c r="Y6" s="1">
        <f>'Grant&amp;Donations'!Y52</f>
        <v>9500</v>
      </c>
      <c r="Z6" s="1">
        <f>'Grant&amp;Donations'!Z52</f>
        <v>158250</v>
      </c>
    </row>
    <row r="7" spans="1:26" x14ac:dyDescent="0.3">
      <c r="A7" t="s">
        <v>6</v>
      </c>
      <c r="B7" s="1">
        <f>11148+15000</f>
        <v>26148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A8" t="s">
        <v>7</v>
      </c>
      <c r="B8" s="1"/>
      <c r="C8" s="1">
        <f>2400</f>
        <v>2400</v>
      </c>
      <c r="D8" s="1"/>
      <c r="E8" s="1"/>
      <c r="F8" s="1"/>
      <c r="G8" s="1"/>
      <c r="H8" s="1"/>
      <c r="I8" s="1"/>
      <c r="J8" s="1"/>
      <c r="K8" s="1"/>
      <c r="L8" s="1"/>
      <c r="M8" s="1"/>
      <c r="N8" s="3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">
      <c r="A9" t="s">
        <v>8</v>
      </c>
      <c r="B9" s="1">
        <f>46155.49</f>
        <v>46155.49</v>
      </c>
      <c r="C9" s="1">
        <v>40600.629999999997</v>
      </c>
      <c r="D9" s="1">
        <v>40600.629999999997</v>
      </c>
      <c r="E9" s="39">
        <f>40600.63-Salary!$H$45</f>
        <v>34892.225384615384</v>
      </c>
      <c r="F9" s="39">
        <f>40600.63-Salary!$H$45</f>
        <v>34892.225384615384</v>
      </c>
      <c r="G9" s="39">
        <f>40600.63-Salary!$H$45</f>
        <v>34892.225384615384</v>
      </c>
      <c r="H9" s="39">
        <f>54736.15-Salary!$H$46</f>
        <v>46720.053076923083</v>
      </c>
      <c r="I9" s="39">
        <f>40600.63-Salary!$H$45</f>
        <v>34892.225384615384</v>
      </c>
      <c r="J9" s="39">
        <f>40600.63-Salary!$H$45</f>
        <v>34892.225384615384</v>
      </c>
      <c r="K9" s="39">
        <f>40600.63-Salary!$H$45</f>
        <v>34892.225384615384</v>
      </c>
      <c r="L9" s="39">
        <f>40600.63-Salary!$H$45</f>
        <v>34892.225384615384</v>
      </c>
      <c r="M9" s="39">
        <f>40600.63-Salary!$H$45</f>
        <v>34892.225384615384</v>
      </c>
      <c r="N9" s="39">
        <f>40600.63-Salary!$H$45</f>
        <v>34892.225384615384</v>
      </c>
      <c r="O9" s="39">
        <f>40600.63-Salary!$H$45</f>
        <v>34892.225384615384</v>
      </c>
      <c r="P9" s="39">
        <f>40600.63-Salary!$H$45</f>
        <v>34892.225384615384</v>
      </c>
      <c r="Q9" s="39">
        <f>40600.63-Salary!$H$45</f>
        <v>34892.225384615384</v>
      </c>
      <c r="R9" s="39">
        <f>40600.63-Salary!$H$45</f>
        <v>34892.225384615384</v>
      </c>
      <c r="S9" s="39">
        <f>40600.63-Salary!$H$45</f>
        <v>34892.225384615384</v>
      </c>
      <c r="T9" s="39">
        <f>54736-Salary!$H$45</f>
        <v>49027.595384615386</v>
      </c>
      <c r="U9" s="39">
        <f>40600.63-Salary!$H$45</f>
        <v>34892.225384615384</v>
      </c>
      <c r="V9" s="39">
        <f>40600.63-Salary!$H$45</f>
        <v>34892.225384615384</v>
      </c>
      <c r="W9" s="39">
        <f>40600.63-Salary!$H$45</f>
        <v>34892.225384615384</v>
      </c>
      <c r="X9" s="39">
        <f>40600.63-Salary!$H$45</f>
        <v>34892.225384615384</v>
      </c>
      <c r="Y9" s="39">
        <f>40600.63-Salary!$H$45</f>
        <v>34892.225384615384</v>
      </c>
      <c r="Z9" s="39">
        <f>40600.63-Salary!$H$45</f>
        <v>34892.225384615384</v>
      </c>
    </row>
    <row r="10" spans="1:26" x14ac:dyDescent="0.3">
      <c r="A10" t="s">
        <v>9</v>
      </c>
      <c r="B10" s="1">
        <v>18105.669999999998</v>
      </c>
      <c r="C10" s="1">
        <v>15372.4</v>
      </c>
      <c r="D10" s="1">
        <v>15372.4</v>
      </c>
      <c r="E10" s="1">
        <v>15372.4</v>
      </c>
      <c r="F10" s="1">
        <v>15372.4</v>
      </c>
      <c r="G10" s="1">
        <v>15372.4</v>
      </c>
      <c r="H10" s="1">
        <v>15372.4</v>
      </c>
      <c r="I10" s="1">
        <v>15372.4</v>
      </c>
      <c r="J10" s="1">
        <v>15372.4</v>
      </c>
      <c r="K10" s="1">
        <v>15372.4</v>
      </c>
      <c r="L10" s="1">
        <v>15372.4</v>
      </c>
      <c r="M10" s="1">
        <v>15372.4</v>
      </c>
      <c r="N10" s="39">
        <v>15372.4</v>
      </c>
      <c r="O10" s="39">
        <v>15372.4</v>
      </c>
      <c r="P10" s="39">
        <v>15372.4</v>
      </c>
      <c r="Q10" s="39">
        <v>15372.4</v>
      </c>
      <c r="R10" s="39">
        <v>15372.4</v>
      </c>
      <c r="S10" s="39">
        <v>15372.4</v>
      </c>
      <c r="T10" s="39">
        <v>15372.4</v>
      </c>
      <c r="U10" s="39">
        <v>15372.4</v>
      </c>
      <c r="V10" s="39">
        <v>15372.4</v>
      </c>
      <c r="W10" s="39">
        <v>15372.4</v>
      </c>
      <c r="X10" s="39">
        <v>15372.4</v>
      </c>
      <c r="Y10" s="39">
        <v>15372.4</v>
      </c>
      <c r="Z10" s="39">
        <v>15372.4</v>
      </c>
    </row>
    <row r="11" spans="1:26" x14ac:dyDescent="0.3">
      <c r="A11" t="s">
        <v>10</v>
      </c>
      <c r="B11" s="1">
        <f>685.8+762</f>
        <v>1447.8</v>
      </c>
      <c r="C11" s="1">
        <f t="shared" ref="C11:M11" si="0">685.8+762</f>
        <v>1447.8</v>
      </c>
      <c r="D11" s="1">
        <f t="shared" si="0"/>
        <v>1447.8</v>
      </c>
      <c r="E11" s="1">
        <f t="shared" si="0"/>
        <v>1447.8</v>
      </c>
      <c r="F11" s="1">
        <f t="shared" si="0"/>
        <v>1447.8</v>
      </c>
      <c r="G11" s="1">
        <f t="shared" si="0"/>
        <v>1447.8</v>
      </c>
      <c r="H11" s="1">
        <f t="shared" si="0"/>
        <v>1447.8</v>
      </c>
      <c r="I11" s="1">
        <f t="shared" si="0"/>
        <v>1447.8</v>
      </c>
      <c r="J11" s="1">
        <f t="shared" si="0"/>
        <v>1447.8</v>
      </c>
      <c r="K11" s="1">
        <f t="shared" si="0"/>
        <v>1447.8</v>
      </c>
      <c r="L11" s="1">
        <f t="shared" si="0"/>
        <v>1447.8</v>
      </c>
      <c r="M11" s="1">
        <f t="shared" si="0"/>
        <v>1447.8</v>
      </c>
      <c r="N11" s="39">
        <v>1447.8</v>
      </c>
      <c r="O11" s="39">
        <v>1447.8</v>
      </c>
      <c r="P11" s="39">
        <v>1447.8</v>
      </c>
      <c r="Q11" s="39">
        <v>1447.8</v>
      </c>
      <c r="R11" s="39">
        <v>1447.8</v>
      </c>
      <c r="S11" s="39">
        <v>1447.8</v>
      </c>
      <c r="T11" s="39">
        <v>1447.8</v>
      </c>
      <c r="U11" s="39">
        <v>1447.8</v>
      </c>
      <c r="V11" s="39">
        <v>1447.8</v>
      </c>
      <c r="W11" s="39">
        <v>1447.8</v>
      </c>
      <c r="X11" s="39">
        <v>1447.8</v>
      </c>
      <c r="Y11" s="39">
        <v>1447.8</v>
      </c>
      <c r="Z11" s="39">
        <v>1447.8</v>
      </c>
    </row>
    <row r="12" spans="1:26" s="39" customFormat="1" x14ac:dyDescent="0.3">
      <c r="A12" t="s">
        <v>11</v>
      </c>
      <c r="B12" s="39">
        <v>10182.219999999999</v>
      </c>
      <c r="C12" s="39">
        <v>10182.219999999999</v>
      </c>
      <c r="E12" s="39">
        <v>11247.78</v>
      </c>
      <c r="H12" s="39">
        <v>11247.78</v>
      </c>
      <c r="K12" s="39">
        <v>11247.78</v>
      </c>
      <c r="N12" s="39">
        <v>10000</v>
      </c>
      <c r="Q12" s="39">
        <v>11247.78</v>
      </c>
      <c r="T12" s="39">
        <v>11247.78</v>
      </c>
      <c r="W12" s="39">
        <v>11247.78</v>
      </c>
    </row>
    <row r="13" spans="1:26" x14ac:dyDescent="0.3">
      <c r="A13" t="s">
        <v>12</v>
      </c>
      <c r="B13" s="1">
        <v>7455.02</v>
      </c>
      <c r="C13" s="39">
        <v>1200</v>
      </c>
      <c r="D13" s="39">
        <v>7200</v>
      </c>
      <c r="E13" s="39">
        <v>1200</v>
      </c>
      <c r="F13" s="39">
        <v>1200</v>
      </c>
      <c r="G13" s="39">
        <v>1200</v>
      </c>
      <c r="H13" s="39">
        <v>1200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x14ac:dyDescent="0.3">
      <c r="A14" s="5" t="s">
        <v>13</v>
      </c>
      <c r="B14" s="6">
        <f>SUM(B5:B13)</f>
        <v>267244.19999999995</v>
      </c>
      <c r="C14" s="6">
        <f>SUM(C5:C13)</f>
        <v>79203.05</v>
      </c>
      <c r="D14" s="6">
        <f t="shared" ref="D14:L14" si="1">SUM(D5:D13)</f>
        <v>176120.83</v>
      </c>
      <c r="E14" s="6">
        <f t="shared" si="1"/>
        <v>123117.37538461537</v>
      </c>
      <c r="F14" s="6">
        <f t="shared" si="1"/>
        <v>60631.485384615386</v>
      </c>
      <c r="G14" s="6">
        <f t="shared" si="1"/>
        <v>90205.255384615375</v>
      </c>
      <c r="H14" s="6">
        <f>SUM(H5:H13)</f>
        <v>82238.033076923079</v>
      </c>
      <c r="I14" s="6">
        <f t="shared" si="1"/>
        <v>81212.425384615388</v>
      </c>
      <c r="J14" s="6">
        <f t="shared" si="1"/>
        <v>66212.425384615388</v>
      </c>
      <c r="K14" s="6">
        <f t="shared" si="1"/>
        <v>112960.20538461539</v>
      </c>
      <c r="L14" s="6">
        <f t="shared" si="1"/>
        <v>53712.425384615388</v>
      </c>
      <c r="M14" s="6">
        <f>SUM(M5:M13)</f>
        <v>61212.425384615388</v>
      </c>
      <c r="N14" s="79">
        <f>SUM(N5:N13)</f>
        <v>73712.425384615388</v>
      </c>
      <c r="O14" s="6">
        <f t="shared" ref="O14:Z14" si="2">SUM(O5:O13)</f>
        <v>201712.42538461537</v>
      </c>
      <c r="P14" s="6">
        <f t="shared" si="2"/>
        <v>105374.92538461539</v>
      </c>
      <c r="Q14" s="6">
        <f t="shared" si="2"/>
        <v>140622.7053846154</v>
      </c>
      <c r="R14" s="6">
        <f t="shared" si="2"/>
        <v>59374.925384615388</v>
      </c>
      <c r="S14" s="6">
        <f t="shared" si="2"/>
        <v>114374.92538461539</v>
      </c>
      <c r="T14" s="6">
        <f t="shared" si="2"/>
        <v>84095.575384615382</v>
      </c>
      <c r="U14" s="6">
        <f t="shared" si="2"/>
        <v>53712.425384615388</v>
      </c>
      <c r="V14" s="6">
        <f t="shared" si="2"/>
        <v>85712.425384615388</v>
      </c>
      <c r="W14" s="6">
        <f t="shared" si="2"/>
        <v>67960.205384615387</v>
      </c>
      <c r="X14" s="6">
        <f t="shared" si="2"/>
        <v>53712.425384615388</v>
      </c>
      <c r="Y14" s="6">
        <f t="shared" si="2"/>
        <v>61212.425384615388</v>
      </c>
      <c r="Z14" s="6">
        <f t="shared" si="2"/>
        <v>209962.42538461537</v>
      </c>
    </row>
    <row r="15" spans="1:2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A18" t="s">
        <v>14</v>
      </c>
      <c r="B18" s="1">
        <f>(Salary!$E$35)*2</f>
        <v>99368.000568307703</v>
      </c>
      <c r="C18" s="1">
        <f>(Salary!$F$35)*2</f>
        <v>99368.000835076935</v>
      </c>
      <c r="D18" s="1">
        <f>(Salary!$G$35)*2</f>
        <v>99368.000835076935</v>
      </c>
      <c r="E18" s="1">
        <f>(Salary!$H$35)*2+Salary!H43</f>
        <v>84039.762644307688</v>
      </c>
      <c r="F18" s="1">
        <f>(Salary!$H$35)*2</f>
        <v>79048.217844307685</v>
      </c>
      <c r="G18" s="1">
        <f>(Salary!$H$35)*2</f>
        <v>79048.217844307685</v>
      </c>
      <c r="H18" s="1">
        <f>(Salary!$H$35)*3</f>
        <v>118572.32676646153</v>
      </c>
      <c r="I18" s="1">
        <f>(Salary!$H$35)*2</f>
        <v>79048.217844307685</v>
      </c>
      <c r="J18" s="1">
        <f>(Salary!$H$35)*2</f>
        <v>79048.217844307685</v>
      </c>
      <c r="K18" s="1">
        <f>(Salary!$H$35)*2</f>
        <v>79048.217844307685</v>
      </c>
      <c r="L18" s="1">
        <f>(Salary!$H$35)*2</f>
        <v>79048.217844307685</v>
      </c>
      <c r="M18" s="1">
        <f>(Salary!$H$35)*2</f>
        <v>79048.217844307685</v>
      </c>
      <c r="N18" s="39">
        <f>Salary!$H$37</f>
        <v>79048.217844307685</v>
      </c>
      <c r="O18" s="39">
        <f>Salary!$H$37</f>
        <v>79048.217844307685</v>
      </c>
      <c r="P18" s="39">
        <f>Salary!$H$37</f>
        <v>79048.217844307685</v>
      </c>
      <c r="Q18" s="39">
        <f>Salary!$H$37</f>
        <v>79048.217844307685</v>
      </c>
      <c r="R18" s="39">
        <f>Salary!$H$37</f>
        <v>79048.217844307685</v>
      </c>
      <c r="S18" s="39">
        <f>Salary!$H$37</f>
        <v>79048.217844307685</v>
      </c>
      <c r="T18" s="1">
        <f>Salary!H35*3</f>
        <v>118572.32676646153</v>
      </c>
      <c r="U18" s="39">
        <f>Salary!$H$37</f>
        <v>79048.217844307685</v>
      </c>
      <c r="V18" s="39">
        <f>Salary!$H$37</f>
        <v>79048.217844307685</v>
      </c>
      <c r="W18" s="39">
        <f>Salary!$H$37</f>
        <v>79048.217844307685</v>
      </c>
      <c r="X18" s="39">
        <f>Salary!$H$37</f>
        <v>79048.217844307685</v>
      </c>
      <c r="Y18" s="39">
        <f>Salary!$H$37</f>
        <v>79048.217844307685</v>
      </c>
      <c r="Z18" s="39">
        <f>Salary!$H$37</f>
        <v>79048.217844307685</v>
      </c>
    </row>
    <row r="19" spans="1:26" x14ac:dyDescent="0.3">
      <c r="A19" t="s">
        <v>15</v>
      </c>
      <c r="B19" s="1">
        <v>369</v>
      </c>
      <c r="C19" s="1">
        <v>369</v>
      </c>
      <c r="D19" s="1">
        <v>369</v>
      </c>
      <c r="E19" s="1">
        <v>369</v>
      </c>
      <c r="F19" s="1">
        <v>369</v>
      </c>
      <c r="G19" s="1">
        <v>369</v>
      </c>
      <c r="H19" s="1">
        <v>369</v>
      </c>
      <c r="I19" s="1">
        <v>369</v>
      </c>
      <c r="J19" s="1">
        <v>369</v>
      </c>
      <c r="K19" s="1">
        <v>369</v>
      </c>
      <c r="L19" s="1">
        <v>369</v>
      </c>
      <c r="M19" s="1">
        <v>369</v>
      </c>
      <c r="N19" s="39">
        <v>369</v>
      </c>
      <c r="O19" s="1">
        <v>369</v>
      </c>
      <c r="P19" s="1">
        <v>369</v>
      </c>
      <c r="Q19" s="1">
        <v>369</v>
      </c>
      <c r="R19" s="1">
        <v>369</v>
      </c>
      <c r="S19" s="1">
        <v>369</v>
      </c>
      <c r="T19" s="1">
        <v>369</v>
      </c>
      <c r="U19" s="1">
        <v>369</v>
      </c>
      <c r="V19" s="1">
        <v>369</v>
      </c>
      <c r="W19" s="1">
        <v>369</v>
      </c>
      <c r="X19" s="1">
        <v>369</v>
      </c>
      <c r="Y19" s="1">
        <v>369</v>
      </c>
      <c r="Z19" s="1">
        <v>369</v>
      </c>
    </row>
    <row r="20" spans="1:26" x14ac:dyDescent="0.3">
      <c r="A20" t="s">
        <v>16</v>
      </c>
      <c r="B20" s="1">
        <v>2572.37</v>
      </c>
      <c r="C20" s="1">
        <v>2573.37</v>
      </c>
      <c r="D20" s="1">
        <v>2574.37</v>
      </c>
      <c r="E20" s="1">
        <v>2575.37</v>
      </c>
      <c r="F20" s="1">
        <v>2576.37</v>
      </c>
      <c r="G20" s="1">
        <v>2577.37</v>
      </c>
      <c r="H20" s="1">
        <v>2578.37</v>
      </c>
      <c r="I20" s="1">
        <v>2579.37</v>
      </c>
      <c r="J20" s="1">
        <v>2580.37</v>
      </c>
      <c r="K20" s="1">
        <v>2581.37</v>
      </c>
      <c r="L20" s="1">
        <v>2582.37</v>
      </c>
      <c r="M20" s="1">
        <v>2583.37</v>
      </c>
      <c r="N20" s="39">
        <v>2572.37</v>
      </c>
      <c r="O20" s="1">
        <v>2573.37</v>
      </c>
      <c r="P20" s="1">
        <v>2573.37</v>
      </c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t="s">
        <v>17</v>
      </c>
      <c r="B21" s="1">
        <v>9000</v>
      </c>
      <c r="C21" s="1"/>
      <c r="D21" s="1">
        <v>8500</v>
      </c>
      <c r="E21" s="1">
        <v>25575</v>
      </c>
      <c r="F21" s="1">
        <v>5250</v>
      </c>
      <c r="G21" s="1"/>
      <c r="H21" s="1"/>
      <c r="I21" s="1">
        <v>4875</v>
      </c>
      <c r="J21" s="1">
        <v>3975</v>
      </c>
      <c r="K21" s="1"/>
      <c r="L21" s="1"/>
      <c r="M21" s="1"/>
      <c r="N21" s="39">
        <v>9000</v>
      </c>
      <c r="O21" s="1"/>
      <c r="P21" s="1">
        <v>8500</v>
      </c>
      <c r="Q21" s="1">
        <v>25575</v>
      </c>
      <c r="R21" s="1">
        <v>5250</v>
      </c>
      <c r="S21" s="1"/>
      <c r="T21" s="1"/>
      <c r="U21" s="1">
        <v>4875</v>
      </c>
      <c r="V21" s="1">
        <v>3975</v>
      </c>
      <c r="W21" s="1"/>
      <c r="X21" s="1"/>
      <c r="Y21" s="1"/>
      <c r="Z21" s="1"/>
    </row>
    <row r="22" spans="1:26" x14ac:dyDescent="0.3">
      <c r="A22" t="s">
        <v>18</v>
      </c>
      <c r="B22" s="1">
        <v>7588.72</v>
      </c>
      <c r="C22" s="1">
        <v>5275.75</v>
      </c>
      <c r="D22" s="1">
        <v>5275.75</v>
      </c>
      <c r="E22" s="1">
        <v>5275.75</v>
      </c>
      <c r="F22" s="1">
        <v>5275.75</v>
      </c>
      <c r="G22" s="1">
        <v>5275.75</v>
      </c>
      <c r="H22" s="1">
        <v>5275.75</v>
      </c>
      <c r="I22" s="1">
        <v>5275.75</v>
      </c>
      <c r="J22" s="1">
        <v>5275.75</v>
      </c>
      <c r="K22" s="1">
        <v>5275.75</v>
      </c>
      <c r="L22" s="1">
        <v>5275.75</v>
      </c>
      <c r="M22" s="1">
        <v>5275.75</v>
      </c>
      <c r="N22" s="39">
        <v>7588.72</v>
      </c>
      <c r="O22" s="1">
        <v>5275.75</v>
      </c>
      <c r="P22" s="1">
        <v>5275.75</v>
      </c>
      <c r="Q22" s="1">
        <v>5275.75</v>
      </c>
      <c r="R22" s="1">
        <v>5275.75</v>
      </c>
      <c r="S22" s="1">
        <v>5275.75</v>
      </c>
      <c r="T22" s="1">
        <v>5275.75</v>
      </c>
      <c r="U22" s="1">
        <v>5275.75</v>
      </c>
      <c r="V22" s="1">
        <v>5275.75</v>
      </c>
      <c r="W22" s="1">
        <v>5275.75</v>
      </c>
      <c r="X22" s="1">
        <v>5275.75</v>
      </c>
      <c r="Y22" s="1">
        <v>5275.75</v>
      </c>
      <c r="Z22" s="1">
        <v>5275.75</v>
      </c>
    </row>
    <row r="23" spans="1:26" x14ac:dyDescent="0.3">
      <c r="A23" t="s">
        <v>19</v>
      </c>
      <c r="B23" s="1">
        <v>5409.61</v>
      </c>
      <c r="C23" s="1">
        <f>2748.27+B23</f>
        <v>8157.8799999999992</v>
      </c>
      <c r="D23" s="1">
        <f>4148+B23</f>
        <v>9557.61</v>
      </c>
      <c r="E23" s="1">
        <f>B23-700</f>
        <v>4709.6099999999997</v>
      </c>
      <c r="F23" s="1">
        <f>2748.27+E23-700</f>
        <v>6757.8799999999992</v>
      </c>
      <c r="G23" s="1">
        <f>4218+E23-700</f>
        <v>8227.61</v>
      </c>
      <c r="H23" s="1">
        <f>E23-700</f>
        <v>4009.6099999999997</v>
      </c>
      <c r="I23" s="1">
        <f>2748+E23-700</f>
        <v>6757.61</v>
      </c>
      <c r="J23" s="1">
        <f>4134+E23-700</f>
        <v>8143.6100000000006</v>
      </c>
      <c r="K23" s="1">
        <f>E23-700</f>
        <v>4009.6099999999997</v>
      </c>
      <c r="L23" s="1">
        <f>E23-700</f>
        <v>4009.6099999999997</v>
      </c>
      <c r="M23" s="1">
        <f>3049+E23-700</f>
        <v>7058.61</v>
      </c>
      <c r="N23" s="39">
        <f>5409.61-700</f>
        <v>4709.6099999999997</v>
      </c>
      <c r="O23" s="1">
        <f>8157.88-700</f>
        <v>7457.88</v>
      </c>
      <c r="P23" s="1">
        <f>9557.61-700</f>
        <v>8857.61</v>
      </c>
      <c r="Q23" s="1">
        <f>5409.61-700</f>
        <v>4709.6099999999997</v>
      </c>
      <c r="R23" s="1">
        <f>8157.88-700</f>
        <v>7457.88</v>
      </c>
      <c r="S23" s="1">
        <f>9627.61-700</f>
        <v>8927.61</v>
      </c>
      <c r="T23" s="1">
        <f>5409.61-700</f>
        <v>4709.6099999999997</v>
      </c>
      <c r="U23" s="1">
        <f>8157.61-700</f>
        <v>7457.61</v>
      </c>
      <c r="V23" s="1">
        <f>9543.61-700</f>
        <v>8843.61</v>
      </c>
      <c r="W23" s="1">
        <f>5409.61-700</f>
        <v>4709.6099999999997</v>
      </c>
      <c r="X23" s="1">
        <f>5409.61-700</f>
        <v>4709.6099999999997</v>
      </c>
      <c r="Y23" s="1">
        <f>8458.61-700</f>
        <v>7758.6100000000006</v>
      </c>
      <c r="Z23" s="1">
        <f>5409.61-700</f>
        <v>4709.6099999999997</v>
      </c>
    </row>
    <row r="24" spans="1:26" x14ac:dyDescent="0.3">
      <c r="A24" s="5" t="s">
        <v>20</v>
      </c>
      <c r="B24" s="6">
        <f>SUM(B18:B23)</f>
        <v>124307.7005683077</v>
      </c>
      <c r="C24" s="6">
        <f>SUM(C18:C23)</f>
        <v>115744.00083507693</v>
      </c>
      <c r="D24" s="6">
        <f t="shared" ref="D24:M24" si="3">SUM(D18:D23)</f>
        <v>125644.73083507693</v>
      </c>
      <c r="E24" s="6">
        <f t="shared" si="3"/>
        <v>122544.49264430768</v>
      </c>
      <c r="F24" s="6">
        <f t="shared" si="3"/>
        <v>99277.217844307685</v>
      </c>
      <c r="G24" s="6">
        <f t="shared" si="3"/>
        <v>95497.94784430768</v>
      </c>
      <c r="H24" s="6">
        <f t="shared" si="3"/>
        <v>130805.05676646152</v>
      </c>
      <c r="I24" s="6">
        <f t="shared" si="3"/>
        <v>98904.94784430768</v>
      </c>
      <c r="J24" s="6">
        <f t="shared" si="3"/>
        <v>99391.94784430768</v>
      </c>
      <c r="K24" s="6">
        <f t="shared" si="3"/>
        <v>91283.94784430768</v>
      </c>
      <c r="L24" s="6">
        <f t="shared" si="3"/>
        <v>91284.94784430768</v>
      </c>
      <c r="M24" s="6">
        <f t="shared" si="3"/>
        <v>94334.94784430768</v>
      </c>
      <c r="N24" s="79">
        <f t="shared" ref="N24:O24" si="4">SUM(N18:N23)</f>
        <v>103287.91784430768</v>
      </c>
      <c r="O24" s="6">
        <f t="shared" si="4"/>
        <v>94724.217844307685</v>
      </c>
      <c r="P24" s="6">
        <f t="shared" ref="P24:Y24" si="5">SUM(P18:P23)</f>
        <v>104623.94784430768</v>
      </c>
      <c r="Q24" s="6">
        <f t="shared" si="5"/>
        <v>114977.57784430769</v>
      </c>
      <c r="R24" s="6">
        <f t="shared" si="5"/>
        <v>97400.847844307689</v>
      </c>
      <c r="S24" s="6">
        <f t="shared" si="5"/>
        <v>93620.577844307685</v>
      </c>
      <c r="T24" s="6">
        <f t="shared" si="5"/>
        <v>128926.68676646153</v>
      </c>
      <c r="U24" s="6">
        <f t="shared" si="5"/>
        <v>97025.577844307685</v>
      </c>
      <c r="V24" s="6">
        <f t="shared" si="5"/>
        <v>97511.577844307685</v>
      </c>
      <c r="W24" s="6">
        <f t="shared" si="5"/>
        <v>89402.577844307685</v>
      </c>
      <c r="X24" s="6">
        <f t="shared" si="5"/>
        <v>89402.577844307685</v>
      </c>
      <c r="Y24" s="6">
        <f t="shared" si="5"/>
        <v>92451.577844307685</v>
      </c>
      <c r="Z24" s="6">
        <f t="shared" ref="Z24" si="6">SUM(Z18:Z23)</f>
        <v>89402.577844307685</v>
      </c>
    </row>
    <row r="25" spans="1:26" ht="15" thickBot="1" x14ac:dyDescent="0.35">
      <c r="A25" s="7" t="s">
        <v>21</v>
      </c>
      <c r="B25" s="3">
        <f t="shared" ref="B25:M25" si="7">B14-B24</f>
        <v>142936.49943169224</v>
      </c>
      <c r="C25" s="3">
        <f>C14-C24</f>
        <v>-36540.950835076932</v>
      </c>
      <c r="D25" s="3">
        <f t="shared" si="7"/>
        <v>50476.099164923056</v>
      </c>
      <c r="E25" s="3">
        <f t="shared" si="7"/>
        <v>572.88274030768662</v>
      </c>
      <c r="F25" s="3">
        <f t="shared" si="7"/>
        <v>-38645.732459692299</v>
      </c>
      <c r="G25" s="3">
        <f t="shared" si="7"/>
        <v>-5292.6924596923054</v>
      </c>
      <c r="H25" s="3">
        <f>H14-H24</f>
        <v>-48567.023689538444</v>
      </c>
      <c r="I25" s="3">
        <f t="shared" si="7"/>
        <v>-17692.522459692293</v>
      </c>
      <c r="J25" s="3">
        <f>J14-J24</f>
        <v>-33179.522459692293</v>
      </c>
      <c r="K25" s="3">
        <f t="shared" si="7"/>
        <v>21676.257540307706</v>
      </c>
      <c r="L25" s="3">
        <f t="shared" si="7"/>
        <v>-37572.522459692293</v>
      </c>
      <c r="M25" s="3">
        <f t="shared" si="7"/>
        <v>-33122.522459692293</v>
      </c>
      <c r="N25" s="80">
        <f t="shared" ref="N25:O25" si="8">N14-N24</f>
        <v>-29575.492459692294</v>
      </c>
      <c r="O25" s="3">
        <f t="shared" si="8"/>
        <v>106988.20754030769</v>
      </c>
      <c r="P25" s="3">
        <f t="shared" ref="P25:W25" si="9">P14-P24</f>
        <v>750.97754030770739</v>
      </c>
      <c r="Q25" s="3">
        <f t="shared" si="9"/>
        <v>25645.127540307716</v>
      </c>
      <c r="R25" s="3">
        <f t="shared" si="9"/>
        <v>-38025.922459692301</v>
      </c>
      <c r="S25" s="3">
        <f t="shared" si="9"/>
        <v>20754.347540307703</v>
      </c>
      <c r="T25" s="3">
        <f t="shared" si="9"/>
        <v>-44831.111381846145</v>
      </c>
      <c r="U25" s="3">
        <f>U14-U24</f>
        <v>-43313.152459692297</v>
      </c>
      <c r="V25" s="3">
        <f t="shared" si="9"/>
        <v>-11799.152459692297</v>
      </c>
      <c r="W25" s="3">
        <f t="shared" si="9"/>
        <v>-21442.372459692298</v>
      </c>
      <c r="X25" s="3">
        <f>X14-X24</f>
        <v>-35690.152459692297</v>
      </c>
      <c r="Y25" s="3">
        <f>Y14-Y24</f>
        <v>-31239.152459692297</v>
      </c>
      <c r="Z25" s="3">
        <f>Z14-Z24</f>
        <v>120559.84754030769</v>
      </c>
    </row>
    <row r="26" spans="1:26" x14ac:dyDescent="0.3">
      <c r="A26" s="8" t="s">
        <v>22</v>
      </c>
      <c r="B26" s="1">
        <f>B25</f>
        <v>142936.49943169224</v>
      </c>
      <c r="C26" s="43">
        <f>+B26+C25</f>
        <v>106395.54859661531</v>
      </c>
      <c r="D26" s="43">
        <f t="shared" ref="D26:M26" si="10">+C26+D25</f>
        <v>156871.64776153836</v>
      </c>
      <c r="E26" s="43">
        <f t="shared" si="10"/>
        <v>157444.53050184605</v>
      </c>
      <c r="F26" s="43">
        <f t="shared" si="10"/>
        <v>118798.79804215375</v>
      </c>
      <c r="G26" s="43">
        <f t="shared" si="10"/>
        <v>113506.10558246145</v>
      </c>
      <c r="H26" s="43">
        <f t="shared" si="10"/>
        <v>64939.081892923001</v>
      </c>
      <c r="I26" s="43">
        <f t="shared" si="10"/>
        <v>47246.559433230708</v>
      </c>
      <c r="J26" s="43">
        <f>+I26+J25</f>
        <v>14067.036973538416</v>
      </c>
      <c r="K26" s="43">
        <f t="shared" si="10"/>
        <v>35743.294513846122</v>
      </c>
      <c r="L26" s="43">
        <f>+K26+L25</f>
        <v>-1829.2279458461708</v>
      </c>
      <c r="M26" s="43">
        <f t="shared" si="10"/>
        <v>-34951.750405538463</v>
      </c>
      <c r="N26" s="89">
        <f t="shared" ref="N26" si="11">+M26+N25</f>
        <v>-64527.242865230757</v>
      </c>
      <c r="O26" s="43">
        <f t="shared" ref="O26" si="12">+N26+O25</f>
        <v>42460.964675076932</v>
      </c>
      <c r="P26" s="43">
        <f t="shared" ref="P26" si="13">+O26+P25</f>
        <v>43211.942215384639</v>
      </c>
      <c r="Q26" s="43">
        <f t="shared" ref="Q26" si="14">+P26+Q25</f>
        <v>68857.069755692355</v>
      </c>
      <c r="R26" s="43">
        <f t="shared" ref="R26" si="15">+Q26+R25</f>
        <v>30831.147296000054</v>
      </c>
      <c r="S26" s="43">
        <f t="shared" ref="S26" si="16">+R26+S25</f>
        <v>51585.494836307756</v>
      </c>
      <c r="T26" s="43">
        <f t="shared" ref="T26" si="17">+S26+T25</f>
        <v>6754.3834544616111</v>
      </c>
      <c r="U26" s="43">
        <f>+T26+U25</f>
        <v>-36558.769005230686</v>
      </c>
      <c r="V26" s="43">
        <f t="shared" ref="V26" si="18">+U26+V25</f>
        <v>-48357.921464922983</v>
      </c>
      <c r="W26" s="43">
        <f t="shared" ref="W26" si="19">+V26+W25</f>
        <v>-69800.293924615282</v>
      </c>
      <c r="X26" s="43">
        <f>+W26+X25</f>
        <v>-105490.44638430758</v>
      </c>
      <c r="Y26" s="43">
        <f>+X26+Y25</f>
        <v>-136729.59884399988</v>
      </c>
      <c r="Z26" s="43">
        <f>+Y26+Z25</f>
        <v>-16169.751303692188</v>
      </c>
    </row>
    <row r="27" spans="1:26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9" t="s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88" t="s">
        <v>159</v>
      </c>
      <c r="B29" s="1">
        <f>1325.11</f>
        <v>1325.11</v>
      </c>
      <c r="C29" s="1">
        <v>137646.35999999999</v>
      </c>
      <c r="D29" s="1">
        <f t="shared" ref="D29:H29" si="20">C31</f>
        <v>101105.40916492305</v>
      </c>
      <c r="E29" s="1">
        <f t="shared" si="20"/>
        <v>151581.50832984611</v>
      </c>
      <c r="F29" s="1">
        <f t="shared" si="20"/>
        <v>152154.3910701538</v>
      </c>
      <c r="G29" s="1">
        <f t="shared" si="20"/>
        <v>113508.6586104615</v>
      </c>
      <c r="H29" s="1">
        <f t="shared" si="20"/>
        <v>108215.96615076919</v>
      </c>
      <c r="I29" s="1">
        <f t="shared" ref="I29:Y29" si="21">H31</f>
        <v>59648.942461230748</v>
      </c>
      <c r="J29" s="1">
        <f t="shared" si="21"/>
        <v>41956.420001538456</v>
      </c>
      <c r="K29" s="1">
        <f t="shared" si="21"/>
        <v>8776.8975418461632</v>
      </c>
      <c r="L29" s="1">
        <f t="shared" si="21"/>
        <v>30453.155082153869</v>
      </c>
      <c r="M29" s="1">
        <f t="shared" si="21"/>
        <v>-7119.3673775384232</v>
      </c>
      <c r="N29" s="1">
        <f t="shared" si="21"/>
        <v>-40241.889837230716</v>
      </c>
      <c r="O29" s="1">
        <f t="shared" si="21"/>
        <v>-69817.38229692301</v>
      </c>
      <c r="P29" s="1">
        <f t="shared" si="21"/>
        <v>37170.825243384679</v>
      </c>
      <c r="Q29" s="1">
        <f t="shared" si="21"/>
        <v>37921.802783692387</v>
      </c>
      <c r="R29" s="1">
        <f t="shared" si="21"/>
        <v>63566.930324000103</v>
      </c>
      <c r="S29" s="1">
        <f t="shared" si="21"/>
        <v>25541.007864307801</v>
      </c>
      <c r="T29" s="1">
        <f t="shared" si="21"/>
        <v>46295.355404615504</v>
      </c>
      <c r="U29" s="1">
        <f t="shared" si="21"/>
        <v>1464.2440227693587</v>
      </c>
      <c r="V29" s="1">
        <f t="shared" si="21"/>
        <v>-41848.908436922939</v>
      </c>
      <c r="W29" s="1">
        <f t="shared" si="21"/>
        <v>-53648.060896615236</v>
      </c>
      <c r="X29" s="1">
        <f t="shared" si="21"/>
        <v>-75090.433356307534</v>
      </c>
      <c r="Y29" s="1">
        <f t="shared" si="21"/>
        <v>-110780.58581599983</v>
      </c>
      <c r="Z29" s="1">
        <f t="shared" ref="Z29" si="22">Y31</f>
        <v>-142019.73827569213</v>
      </c>
    </row>
    <row r="30" spans="1:26" ht="15" thickBot="1" x14ac:dyDescent="0.3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thickBot="1" x14ac:dyDescent="0.35">
      <c r="A31" s="30" t="s">
        <v>25</v>
      </c>
      <c r="B31" s="40">
        <f>B26+B29</f>
        <v>144261.60943169222</v>
      </c>
      <c r="C31" s="40">
        <f>C25+C29</f>
        <v>101105.40916492305</v>
      </c>
      <c r="D31" s="40">
        <f t="shared" ref="D31:H31" si="23">D25+D29</f>
        <v>151581.50832984611</v>
      </c>
      <c r="E31" s="40">
        <f t="shared" si="23"/>
        <v>152154.3910701538</v>
      </c>
      <c r="F31" s="40">
        <f t="shared" si="23"/>
        <v>113508.6586104615</v>
      </c>
      <c r="G31" s="40">
        <f t="shared" si="23"/>
        <v>108215.96615076919</v>
      </c>
      <c r="H31" s="40">
        <f t="shared" si="23"/>
        <v>59648.942461230748</v>
      </c>
      <c r="I31" s="40">
        <f t="shared" ref="I31:X31" si="24">I25+I29</f>
        <v>41956.420001538456</v>
      </c>
      <c r="J31" s="40">
        <f t="shared" si="24"/>
        <v>8776.8975418461632</v>
      </c>
      <c r="K31" s="40">
        <f t="shared" si="24"/>
        <v>30453.155082153869</v>
      </c>
      <c r="L31" s="40">
        <f t="shared" si="24"/>
        <v>-7119.3673775384232</v>
      </c>
      <c r="M31" s="40">
        <f t="shared" si="24"/>
        <v>-40241.889837230716</v>
      </c>
      <c r="N31" s="40">
        <f t="shared" si="24"/>
        <v>-69817.38229692301</v>
      </c>
      <c r="O31" s="40">
        <f t="shared" si="24"/>
        <v>37170.825243384679</v>
      </c>
      <c r="P31" s="40">
        <f t="shared" si="24"/>
        <v>37921.802783692387</v>
      </c>
      <c r="Q31" s="40">
        <f t="shared" si="24"/>
        <v>63566.930324000103</v>
      </c>
      <c r="R31" s="40">
        <f t="shared" si="24"/>
        <v>25541.007864307801</v>
      </c>
      <c r="S31" s="40">
        <f t="shared" si="24"/>
        <v>46295.355404615504</v>
      </c>
      <c r="T31" s="40">
        <f t="shared" si="24"/>
        <v>1464.2440227693587</v>
      </c>
      <c r="U31" s="40">
        <f t="shared" si="24"/>
        <v>-41848.908436922939</v>
      </c>
      <c r="V31" s="40">
        <f t="shared" si="24"/>
        <v>-53648.060896615236</v>
      </c>
      <c r="W31" s="40">
        <f t="shared" si="24"/>
        <v>-75090.433356307534</v>
      </c>
      <c r="X31" s="40">
        <f t="shared" si="24"/>
        <v>-110780.58581599983</v>
      </c>
      <c r="Y31" s="40">
        <f>Y25+Y29</f>
        <v>-142019.73827569213</v>
      </c>
      <c r="Z31" s="40">
        <f>Z25+Z29</f>
        <v>-21459.890735384441</v>
      </c>
    </row>
    <row r="32" spans="1:26" x14ac:dyDescent="0.3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">
      <c r="A33" s="45" t="s">
        <v>27</v>
      </c>
      <c r="B33" s="46"/>
      <c r="C33" s="39"/>
      <c r="D33" s="39"/>
      <c r="E33" s="39"/>
      <c r="F33" s="39"/>
      <c r="G33" s="39"/>
      <c r="H33" s="39"/>
      <c r="I33" s="1"/>
      <c r="J33" s="1"/>
      <c r="K33" s="1"/>
      <c r="L33" s="1"/>
      <c r="M33" s="1"/>
      <c r="N33" s="3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">
      <c r="C37" s="41"/>
    </row>
    <row r="38" spans="1:26" x14ac:dyDescent="0.3">
      <c r="C38" s="41"/>
    </row>
    <row r="47" spans="1:26" x14ac:dyDescent="0.3">
      <c r="A47" t="s">
        <v>26</v>
      </c>
    </row>
  </sheetData>
  <mergeCells count="1">
    <mergeCell ref="B2:H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F789-E38D-4682-8523-9593A61F6931}">
  <dimension ref="A1:R55"/>
  <sheetViews>
    <sheetView showGridLines="0" workbookViewId="0">
      <pane xSplit="5" ySplit="3" topLeftCell="F16" activePane="bottomRight" state="frozen"/>
      <selection pane="topRight" activeCell="G1" sqref="G1"/>
      <selection pane="bottomLeft" activeCell="A4" sqref="A4"/>
      <selection pane="bottomRight" activeCell="H39" sqref="H39"/>
    </sheetView>
  </sheetViews>
  <sheetFormatPr defaultColWidth="8.88671875" defaultRowHeight="14.4" x14ac:dyDescent="0.3"/>
  <cols>
    <col min="1" max="1" width="20.33203125" style="14" customWidth="1"/>
    <col min="2" max="2" width="13.6640625" style="14" customWidth="1"/>
    <col min="3" max="3" width="30.88671875" style="14" customWidth="1"/>
    <col min="4" max="4" width="20.5546875" style="14" customWidth="1"/>
    <col min="5" max="8" width="11.44140625" style="13" bestFit="1" customWidth="1"/>
    <col min="9" max="9" width="5.21875" style="13" customWidth="1"/>
    <col min="10" max="10" width="8.88671875" style="13" customWidth="1"/>
    <col min="11" max="11" width="10" style="11" customWidth="1"/>
    <col min="12" max="12" width="8.88671875" style="11" customWidth="1"/>
    <col min="13" max="13" width="8.88671875" style="12" customWidth="1"/>
    <col min="14" max="14" width="8.88671875" style="11" customWidth="1"/>
    <col min="15" max="15" width="11.88671875" style="11" bestFit="1" customWidth="1"/>
    <col min="16" max="16" width="8.88671875" style="11" customWidth="1"/>
    <col min="17" max="17" width="9.88671875" style="11" bestFit="1" customWidth="1"/>
    <col min="18" max="18" width="10.5546875" style="11" bestFit="1" customWidth="1"/>
    <col min="19" max="20" width="8.88671875" style="11" customWidth="1"/>
    <col min="21" max="16384" width="8.88671875" style="11"/>
  </cols>
  <sheetData>
    <row r="1" spans="1:18" x14ac:dyDescent="0.3">
      <c r="A1" s="29" t="s">
        <v>28</v>
      </c>
    </row>
    <row r="2" spans="1:18" x14ac:dyDescent="0.3">
      <c r="E2" s="47" t="s">
        <v>29</v>
      </c>
      <c r="F2" s="47" t="s">
        <v>30</v>
      </c>
      <c r="G2" s="47" t="s">
        <v>31</v>
      </c>
      <c r="H2" s="47" t="s">
        <v>32</v>
      </c>
    </row>
    <row r="3" spans="1:18" ht="52.8" x14ac:dyDescent="0.3">
      <c r="A3" s="26" t="s">
        <v>33</v>
      </c>
      <c r="B3" s="28" t="s">
        <v>34</v>
      </c>
      <c r="C3" s="26" t="s">
        <v>35</v>
      </c>
      <c r="D3" s="27" t="s">
        <v>36</v>
      </c>
      <c r="E3" s="26" t="s">
        <v>37</v>
      </c>
      <c r="F3" s="52" t="s">
        <v>38</v>
      </c>
      <c r="G3" s="52" t="s">
        <v>38</v>
      </c>
      <c r="H3" s="52" t="s">
        <v>39</v>
      </c>
      <c r="I3" s="26"/>
      <c r="J3" s="26" t="s">
        <v>40</v>
      </c>
      <c r="K3" s="26" t="s">
        <v>41</v>
      </c>
      <c r="L3" s="26" t="s">
        <v>42</v>
      </c>
      <c r="M3" s="26" t="s">
        <v>43</v>
      </c>
      <c r="N3" s="11">
        <f>7.65+1.45+6.5</f>
        <v>15.6</v>
      </c>
      <c r="P3" s="59"/>
      <c r="Q3" s="59"/>
      <c r="R3" s="59" t="s">
        <v>44</v>
      </c>
    </row>
    <row r="4" spans="1:18" x14ac:dyDescent="0.3">
      <c r="A4" s="22" t="s">
        <v>45</v>
      </c>
      <c r="B4" s="23" t="s">
        <v>46</v>
      </c>
      <c r="C4" s="22" t="s">
        <v>47</v>
      </c>
      <c r="D4" s="21" t="s">
        <v>48</v>
      </c>
      <c r="E4" s="24">
        <v>39634.400000000001</v>
      </c>
      <c r="F4" s="24">
        <f>E4</f>
        <v>39634.400000000001</v>
      </c>
      <c r="G4" s="24">
        <f>E4</f>
        <v>39634.400000000001</v>
      </c>
      <c r="H4" s="51">
        <v>0</v>
      </c>
      <c r="I4" s="24"/>
      <c r="J4" s="24"/>
      <c r="K4" s="24">
        <v>736.89</v>
      </c>
      <c r="L4" s="24">
        <v>50</v>
      </c>
      <c r="M4" s="24">
        <v>75</v>
      </c>
      <c r="N4" s="31">
        <f>SUM(K4:M4)</f>
        <v>861.89</v>
      </c>
      <c r="O4" s="34">
        <f>N4*12</f>
        <v>10342.68</v>
      </c>
      <c r="P4" s="60">
        <v>1723.78</v>
      </c>
      <c r="Q4" s="60">
        <v>22908.68</v>
      </c>
      <c r="R4" s="60">
        <v>24632.46</v>
      </c>
    </row>
    <row r="5" spans="1:18" x14ac:dyDescent="0.3">
      <c r="A5" s="22" t="s">
        <v>49</v>
      </c>
      <c r="B5" s="23" t="s">
        <v>50</v>
      </c>
      <c r="C5" s="22" t="s">
        <v>47</v>
      </c>
      <c r="D5" s="21" t="s">
        <v>48</v>
      </c>
      <c r="E5" s="16">
        <v>64890.080000000002</v>
      </c>
      <c r="F5" s="54">
        <f>64890.08</f>
        <v>64890.080000000002</v>
      </c>
      <c r="G5" s="54">
        <f>F5</f>
        <v>64890.080000000002</v>
      </c>
      <c r="H5" s="54"/>
      <c r="I5" s="36"/>
      <c r="J5" s="36">
        <v>50</v>
      </c>
      <c r="K5" s="24">
        <v>639.26</v>
      </c>
      <c r="L5" s="24">
        <v>125.71</v>
      </c>
      <c r="M5" s="24">
        <v>75</v>
      </c>
      <c r="N5" s="31">
        <f>SUM(J5:M5)</f>
        <v>889.97</v>
      </c>
      <c r="O5" s="34">
        <f>N5*12</f>
        <v>10679.64</v>
      </c>
      <c r="P5" s="60">
        <v>1779.94</v>
      </c>
      <c r="Q5" s="60">
        <v>37506.47</v>
      </c>
      <c r="R5" s="60">
        <v>39286.410000000003</v>
      </c>
    </row>
    <row r="6" spans="1:18" x14ac:dyDescent="0.3">
      <c r="A6" s="22" t="s">
        <v>51</v>
      </c>
      <c r="B6" s="23" t="s">
        <v>52</v>
      </c>
      <c r="C6" s="22" t="s">
        <v>53</v>
      </c>
      <c r="D6" s="21" t="s">
        <v>48</v>
      </c>
      <c r="E6" s="16">
        <v>82662.63</v>
      </c>
      <c r="F6" s="38">
        <f>E6</f>
        <v>82662.63</v>
      </c>
      <c r="G6" s="38">
        <f>F6</f>
        <v>82662.63</v>
      </c>
      <c r="H6" s="38">
        <f>G6</f>
        <v>82662.63</v>
      </c>
      <c r="I6" s="36"/>
      <c r="J6" s="36">
        <v>50</v>
      </c>
      <c r="K6" s="24">
        <v>560</v>
      </c>
      <c r="L6" s="24">
        <v>159.76</v>
      </c>
      <c r="M6" s="24">
        <v>75</v>
      </c>
      <c r="N6" s="31">
        <f t="shared" ref="N6:N19" si="0">SUM(J6:M6)</f>
        <v>844.76</v>
      </c>
      <c r="O6" s="34">
        <f t="shared" ref="O6:O19" si="1">N6*12</f>
        <v>10137.119999999999</v>
      </c>
      <c r="P6" s="59"/>
      <c r="Q6" s="59"/>
      <c r="R6" s="59"/>
    </row>
    <row r="7" spans="1:18" x14ac:dyDescent="0.3">
      <c r="A7" s="22" t="s">
        <v>54</v>
      </c>
      <c r="B7" s="23" t="s">
        <v>55</v>
      </c>
      <c r="C7" s="22" t="s">
        <v>47</v>
      </c>
      <c r="D7" s="21" t="s">
        <v>48</v>
      </c>
      <c r="E7" s="16">
        <v>42963.65</v>
      </c>
      <c r="F7" s="16">
        <f>E7</f>
        <v>42963.65</v>
      </c>
      <c r="G7" s="16">
        <f>E7</f>
        <v>42963.65</v>
      </c>
      <c r="H7" s="38">
        <f>G7</f>
        <v>42963.65</v>
      </c>
      <c r="I7" s="36"/>
      <c r="J7" s="36">
        <v>50</v>
      </c>
      <c r="K7" s="24">
        <v>49.16</v>
      </c>
      <c r="L7" s="24">
        <v>82.62</v>
      </c>
      <c r="M7" s="24"/>
      <c r="N7" s="31">
        <f t="shared" si="0"/>
        <v>181.78</v>
      </c>
      <c r="O7" s="34">
        <f t="shared" si="1"/>
        <v>2181.36</v>
      </c>
      <c r="P7" s="59"/>
      <c r="Q7" s="59"/>
      <c r="R7" s="59"/>
    </row>
    <row r="8" spans="1:18" x14ac:dyDescent="0.3">
      <c r="A8" s="22" t="s">
        <v>56</v>
      </c>
      <c r="B8" s="23" t="s">
        <v>57</v>
      </c>
      <c r="C8" s="22" t="s">
        <v>58</v>
      </c>
      <c r="D8" s="21" t="s">
        <v>48</v>
      </c>
      <c r="E8" s="24">
        <v>56160</v>
      </c>
      <c r="F8" s="24">
        <v>56160</v>
      </c>
      <c r="G8" s="24">
        <v>56160</v>
      </c>
      <c r="H8" s="24">
        <v>56160</v>
      </c>
      <c r="I8" s="24"/>
      <c r="J8" s="24"/>
      <c r="K8" s="24">
        <v>627.12</v>
      </c>
      <c r="L8" s="24"/>
      <c r="M8" s="24">
        <v>75</v>
      </c>
      <c r="N8" s="31">
        <f t="shared" si="0"/>
        <v>702.12</v>
      </c>
      <c r="O8" s="34">
        <f t="shared" si="1"/>
        <v>8425.44</v>
      </c>
      <c r="P8" s="59"/>
      <c r="Q8" s="59"/>
      <c r="R8" s="59"/>
    </row>
    <row r="9" spans="1:18" x14ac:dyDescent="0.3">
      <c r="A9" s="22" t="s">
        <v>59</v>
      </c>
      <c r="B9" s="23" t="s">
        <v>60</v>
      </c>
      <c r="C9" s="22" t="s">
        <v>58</v>
      </c>
      <c r="D9" s="21" t="s">
        <v>48</v>
      </c>
      <c r="E9" s="16">
        <v>37080.160000000003</v>
      </c>
      <c r="F9" s="16">
        <f>E9</f>
        <v>37080.160000000003</v>
      </c>
      <c r="G9" s="16">
        <f>E9</f>
        <v>37080.160000000003</v>
      </c>
      <c r="H9" s="16">
        <f>G9</f>
        <v>37080.160000000003</v>
      </c>
      <c r="I9" s="36"/>
      <c r="J9" s="36"/>
      <c r="K9" s="24">
        <v>53.87</v>
      </c>
      <c r="L9" s="24"/>
      <c r="M9" s="24"/>
      <c r="N9" s="31">
        <f t="shared" si="0"/>
        <v>53.87</v>
      </c>
      <c r="O9" s="34">
        <f t="shared" si="1"/>
        <v>646.43999999999994</v>
      </c>
      <c r="P9" s="59"/>
      <c r="Q9" s="59"/>
      <c r="R9" s="59"/>
    </row>
    <row r="10" spans="1:18" x14ac:dyDescent="0.3">
      <c r="A10" s="22" t="s">
        <v>61</v>
      </c>
      <c r="B10" s="23" t="s">
        <v>62</v>
      </c>
      <c r="C10" s="22" t="s">
        <v>53</v>
      </c>
      <c r="D10" s="21" t="s">
        <v>48</v>
      </c>
      <c r="E10" s="16">
        <v>116699.20600000001</v>
      </c>
      <c r="F10" s="38">
        <f>E10</f>
        <v>116699.20600000001</v>
      </c>
      <c r="G10" s="38">
        <f>E10</f>
        <v>116699.20600000001</v>
      </c>
      <c r="H10" s="38">
        <f>G10</f>
        <v>116699.20600000001</v>
      </c>
      <c r="I10" s="36"/>
      <c r="J10" s="36">
        <v>50</v>
      </c>
      <c r="K10" s="24">
        <v>769.23</v>
      </c>
      <c r="L10" s="24">
        <v>232.47</v>
      </c>
      <c r="M10" s="24">
        <v>75</v>
      </c>
      <c r="N10" s="31">
        <f t="shared" si="0"/>
        <v>1126.7</v>
      </c>
      <c r="O10" s="34">
        <f t="shared" si="1"/>
        <v>13520.400000000001</v>
      </c>
      <c r="P10" s="59"/>
      <c r="Q10" s="59"/>
      <c r="R10" s="59"/>
    </row>
    <row r="11" spans="1:18" x14ac:dyDescent="0.3">
      <c r="A11" s="22" t="s">
        <v>63</v>
      </c>
      <c r="B11" s="23" t="s">
        <v>64</v>
      </c>
      <c r="C11" s="22" t="s">
        <v>65</v>
      </c>
      <c r="D11" s="21" t="s">
        <v>48</v>
      </c>
      <c r="E11" s="16">
        <v>89609.896999999997</v>
      </c>
      <c r="F11" s="38">
        <v>89609.9</v>
      </c>
      <c r="G11" s="38">
        <v>89609.9</v>
      </c>
      <c r="H11" s="38">
        <f>G11</f>
        <v>89609.9</v>
      </c>
      <c r="I11" s="36"/>
      <c r="J11" s="36">
        <v>50</v>
      </c>
      <c r="K11" s="24">
        <v>714.83</v>
      </c>
      <c r="L11" s="24">
        <v>173.36</v>
      </c>
      <c r="M11" s="24">
        <v>75</v>
      </c>
      <c r="N11" s="31">
        <f t="shared" si="0"/>
        <v>1013.19</v>
      </c>
      <c r="O11" s="34">
        <f t="shared" si="1"/>
        <v>12158.28</v>
      </c>
      <c r="P11" s="59"/>
      <c r="Q11" s="59"/>
      <c r="R11" s="59"/>
    </row>
    <row r="12" spans="1:18" ht="27.75" customHeight="1" x14ac:dyDescent="0.3">
      <c r="A12" s="22" t="s">
        <v>66</v>
      </c>
      <c r="B12" s="23" t="s">
        <v>67</v>
      </c>
      <c r="C12" s="22" t="s">
        <v>47</v>
      </c>
      <c r="D12" s="21" t="s">
        <v>48</v>
      </c>
      <c r="E12" s="16">
        <v>55166.8</v>
      </c>
      <c r="F12" s="16">
        <v>55166.8</v>
      </c>
      <c r="G12" s="16">
        <v>55166.8</v>
      </c>
      <c r="H12" s="16">
        <v>55166.8</v>
      </c>
      <c r="I12" s="36"/>
      <c r="J12" s="36"/>
      <c r="K12" s="24">
        <v>524.46</v>
      </c>
      <c r="L12" s="24"/>
      <c r="M12" s="24">
        <v>75</v>
      </c>
      <c r="N12" s="31">
        <f t="shared" si="0"/>
        <v>599.46</v>
      </c>
      <c r="O12" s="34">
        <f t="shared" si="1"/>
        <v>7193.52</v>
      </c>
      <c r="P12" s="59"/>
      <c r="Q12" s="59"/>
      <c r="R12" s="59"/>
    </row>
    <row r="13" spans="1:18" ht="21" customHeight="1" x14ac:dyDescent="0.3">
      <c r="A13" s="22" t="s">
        <v>68</v>
      </c>
      <c r="B13" s="23"/>
      <c r="C13" s="22"/>
      <c r="D13" s="21"/>
      <c r="E13" s="16">
        <f>2080*24.5</f>
        <v>50960</v>
      </c>
      <c r="F13" s="16">
        <f t="shared" ref="F13:H13" si="2">2080*24.5</f>
        <v>50960</v>
      </c>
      <c r="G13" s="16">
        <f t="shared" si="2"/>
        <v>50960</v>
      </c>
      <c r="H13" s="16">
        <f t="shared" si="2"/>
        <v>50960</v>
      </c>
      <c r="I13" s="36"/>
      <c r="J13" s="36"/>
      <c r="K13" s="24">
        <v>75.67</v>
      </c>
      <c r="L13" s="24"/>
      <c r="M13" s="24"/>
      <c r="N13" s="31">
        <f t="shared" si="0"/>
        <v>75.67</v>
      </c>
      <c r="O13" s="34">
        <f t="shared" si="1"/>
        <v>908.04</v>
      </c>
      <c r="P13" s="59"/>
      <c r="Q13" s="59"/>
      <c r="R13" s="59"/>
    </row>
    <row r="14" spans="1:18" ht="0" hidden="1" customHeight="1" x14ac:dyDescent="0.3">
      <c r="E14" s="13">
        <v>0</v>
      </c>
      <c r="I14" s="37"/>
      <c r="J14" s="37"/>
      <c r="K14" s="24"/>
      <c r="L14" s="12"/>
      <c r="N14" s="31">
        <f t="shared" si="0"/>
        <v>0</v>
      </c>
      <c r="O14" s="34">
        <f t="shared" si="1"/>
        <v>0</v>
      </c>
      <c r="P14" s="59"/>
      <c r="Q14" s="59"/>
      <c r="R14" s="59"/>
    </row>
    <row r="15" spans="1:18" ht="0" hidden="1" customHeight="1" x14ac:dyDescent="0.3">
      <c r="I15" s="37"/>
      <c r="J15" s="37"/>
      <c r="K15" s="24"/>
      <c r="L15" s="12"/>
      <c r="N15" s="31"/>
      <c r="O15" s="34"/>
      <c r="P15" s="59"/>
      <c r="Q15" s="59"/>
      <c r="R15" s="59"/>
    </row>
    <row r="16" spans="1:18" x14ac:dyDescent="0.3">
      <c r="A16" s="22" t="s">
        <v>69</v>
      </c>
      <c r="B16" s="23"/>
      <c r="C16" s="22"/>
      <c r="D16" s="21"/>
      <c r="E16" s="24">
        <v>60000</v>
      </c>
      <c r="F16" s="51">
        <f>E16</f>
        <v>60000</v>
      </c>
      <c r="G16" s="51">
        <f>E16</f>
        <v>60000</v>
      </c>
      <c r="H16" s="51"/>
      <c r="I16" s="24"/>
      <c r="J16" s="24"/>
      <c r="K16" s="24">
        <v>1018.02</v>
      </c>
      <c r="L16" s="19"/>
      <c r="M16" s="19">
        <v>75</v>
      </c>
      <c r="N16" s="31">
        <f t="shared" si="0"/>
        <v>1093.02</v>
      </c>
      <c r="O16" s="34">
        <f t="shared" si="1"/>
        <v>13116.24</v>
      </c>
      <c r="P16" s="59"/>
      <c r="Q16" s="59"/>
      <c r="R16" s="59"/>
    </row>
    <row r="17" spans="1:18" x14ac:dyDescent="0.3">
      <c r="A17" s="22" t="s">
        <v>70</v>
      </c>
      <c r="B17" s="23" t="s">
        <v>71</v>
      </c>
      <c r="C17" s="22" t="s">
        <v>72</v>
      </c>
      <c r="D17" s="21" t="s">
        <v>48</v>
      </c>
      <c r="E17" s="24">
        <v>131325</v>
      </c>
      <c r="F17" s="38">
        <f>E17</f>
        <v>131325</v>
      </c>
      <c r="G17" s="38">
        <f>E17</f>
        <v>131325</v>
      </c>
      <c r="H17" s="38">
        <f>G17</f>
        <v>131325</v>
      </c>
      <c r="I17" s="24"/>
      <c r="J17" s="24">
        <v>50</v>
      </c>
      <c r="K17" s="24">
        <v>905.18</v>
      </c>
      <c r="L17" s="19"/>
      <c r="M17" s="19">
        <v>75</v>
      </c>
      <c r="N17" s="31">
        <f t="shared" si="0"/>
        <v>1030.1799999999998</v>
      </c>
      <c r="O17" s="34">
        <f t="shared" si="1"/>
        <v>12362.159999999998</v>
      </c>
      <c r="P17" s="59">
        <v>385.92</v>
      </c>
      <c r="Q17" s="60">
        <v>40460</v>
      </c>
      <c r="R17" s="60">
        <v>40845.919999999998</v>
      </c>
    </row>
    <row r="18" spans="1:18" x14ac:dyDescent="0.3">
      <c r="A18" s="22" t="s">
        <v>73</v>
      </c>
      <c r="B18" s="23" t="s">
        <v>74</v>
      </c>
      <c r="C18" s="22" t="s">
        <v>47</v>
      </c>
      <c r="D18" s="21" t="s">
        <v>48</v>
      </c>
      <c r="E18" s="16">
        <v>70000</v>
      </c>
      <c r="F18" s="74">
        <f>E18</f>
        <v>70000</v>
      </c>
      <c r="G18" s="74">
        <f>E18</f>
        <v>70000</v>
      </c>
      <c r="H18" s="38">
        <v>70000</v>
      </c>
      <c r="I18" s="36"/>
      <c r="J18" s="36">
        <v>50</v>
      </c>
      <c r="K18" s="24">
        <v>82.96</v>
      </c>
      <c r="L18" s="19">
        <v>60</v>
      </c>
      <c r="M18" s="19"/>
      <c r="N18" s="31">
        <f t="shared" si="0"/>
        <v>192.95999999999998</v>
      </c>
      <c r="O18" s="34">
        <f t="shared" si="1"/>
        <v>2315.5199999999995</v>
      </c>
    </row>
    <row r="19" spans="1:18" x14ac:dyDescent="0.3">
      <c r="A19" s="25" t="s">
        <v>75</v>
      </c>
      <c r="E19" s="16">
        <f>(32*20)*52</f>
        <v>33280</v>
      </c>
      <c r="F19" s="16">
        <f>(32*20)*52</f>
        <v>33280</v>
      </c>
      <c r="G19" s="16">
        <f>(32*20)*52</f>
        <v>33280</v>
      </c>
      <c r="H19" s="16">
        <f>(32*20)*52</f>
        <v>33280</v>
      </c>
      <c r="I19" s="36"/>
      <c r="J19" s="36"/>
      <c r="K19" s="24"/>
      <c r="L19" s="19"/>
      <c r="M19" s="19"/>
      <c r="N19" s="31">
        <f t="shared" si="0"/>
        <v>0</v>
      </c>
      <c r="O19" s="34">
        <f t="shared" si="1"/>
        <v>0</v>
      </c>
    </row>
    <row r="20" spans="1:18" ht="15" thickBot="1" x14ac:dyDescent="0.35">
      <c r="A20" s="22"/>
      <c r="B20" s="23"/>
      <c r="C20" s="22"/>
      <c r="D20" s="21"/>
      <c r="E20" s="20">
        <f t="shared" ref="E20:H20" si="3">SUM(E4:E19)</f>
        <v>930431.82300000009</v>
      </c>
      <c r="F20" s="20">
        <f t="shared" si="3"/>
        <v>930431.82600000012</v>
      </c>
      <c r="G20" s="20">
        <f t="shared" si="3"/>
        <v>930431.82600000012</v>
      </c>
      <c r="H20" s="20">
        <f t="shared" si="3"/>
        <v>765907.3459999999</v>
      </c>
      <c r="I20" s="16"/>
      <c r="J20" s="16"/>
      <c r="K20" s="19"/>
      <c r="L20" s="19"/>
      <c r="M20" s="19"/>
    </row>
    <row r="21" spans="1:18" ht="15" thickTop="1" x14ac:dyDescent="0.3"/>
    <row r="22" spans="1:18" ht="15" thickBot="1" x14ac:dyDescent="0.35">
      <c r="E22" s="18">
        <f>E20/26</f>
        <v>35785.839346153851</v>
      </c>
      <c r="F22" s="18">
        <f t="shared" ref="F22:G22" si="4">F20/26</f>
        <v>35785.839461538468</v>
      </c>
      <c r="G22" s="18">
        <f t="shared" si="4"/>
        <v>35785.839461538468</v>
      </c>
      <c r="H22" s="18">
        <f>H20/26</f>
        <v>29457.974846153844</v>
      </c>
      <c r="I22" s="15"/>
      <c r="J22" s="17">
        <f>SUM(J4:J18)</f>
        <v>350</v>
      </c>
      <c r="K22" s="17">
        <f>SUM(K4:K18)</f>
        <v>6756.6500000000005</v>
      </c>
      <c r="L22" s="17">
        <f>SUM(L4:L18)</f>
        <v>883.92</v>
      </c>
      <c r="M22" s="17">
        <f>SUM(M4:M18)</f>
        <v>675</v>
      </c>
      <c r="O22" s="12">
        <f>SUM(O4:O21)</f>
        <v>103986.84000000001</v>
      </c>
    </row>
    <row r="23" spans="1:18" ht="15" hidden="1" thickTop="1" x14ac:dyDescent="0.3"/>
    <row r="24" spans="1:18" ht="15" hidden="1" thickTop="1" x14ac:dyDescent="0.3">
      <c r="E24" s="16">
        <v>62626.98</v>
      </c>
      <c r="F24" s="15"/>
      <c r="G24" s="15"/>
      <c r="H24" s="15"/>
      <c r="I24" s="15"/>
      <c r="J24" s="15"/>
      <c r="K24" s="12" t="e">
        <f>#REF!-E24</f>
        <v>#REF!</v>
      </c>
      <c r="L24" s="12" t="e">
        <f>K24/26</f>
        <v>#REF!</v>
      </c>
    </row>
    <row r="25" spans="1:18" ht="15" hidden="1" thickTop="1" x14ac:dyDescent="0.3">
      <c r="E25" s="16">
        <v>58000.02</v>
      </c>
      <c r="F25" s="15"/>
      <c r="G25" s="15"/>
      <c r="H25" s="15"/>
      <c r="I25" s="15"/>
      <c r="J25" s="15"/>
      <c r="K25" s="12" t="e">
        <f>#REF!-E25</f>
        <v>#REF!</v>
      </c>
      <c r="L25" s="12" t="e">
        <f>K25/26</f>
        <v>#REF!</v>
      </c>
    </row>
    <row r="26" spans="1:18" ht="15" hidden="1" thickTop="1" x14ac:dyDescent="0.3">
      <c r="E26" s="16">
        <v>60542.04</v>
      </c>
      <c r="F26" s="15"/>
      <c r="G26" s="15"/>
      <c r="H26" s="15"/>
      <c r="I26" s="15"/>
      <c r="J26" s="15"/>
      <c r="K26" s="12" t="e">
        <f>#REF!-E26</f>
        <v>#REF!</v>
      </c>
      <c r="L26" s="12" t="e">
        <f>K26/26</f>
        <v>#REF!</v>
      </c>
    </row>
    <row r="27" spans="1:18" ht="15" hidden="1" thickTop="1" x14ac:dyDescent="0.3">
      <c r="L27" s="12"/>
    </row>
    <row r="28" spans="1:18" ht="15" hidden="1" thickTop="1" x14ac:dyDescent="0.3"/>
    <row r="29" spans="1:18" ht="15" hidden="1" thickTop="1" x14ac:dyDescent="0.3">
      <c r="L29" s="12" t="e">
        <f>#REF!+L24+L25+L26</f>
        <v>#REF!</v>
      </c>
    </row>
    <row r="30" spans="1:18" ht="15" thickTop="1" x14ac:dyDescent="0.3"/>
    <row r="31" spans="1:18" x14ac:dyDescent="0.3">
      <c r="A31" s="14" t="s">
        <v>76</v>
      </c>
      <c r="E31" s="13">
        <f>E22*0.156</f>
        <v>5582.5909380000003</v>
      </c>
      <c r="F31" s="13">
        <f t="shared" ref="F31:G31" si="5">F22*0.156</f>
        <v>5582.5909560000009</v>
      </c>
      <c r="G31" s="13">
        <f t="shared" si="5"/>
        <v>5582.5909560000009</v>
      </c>
      <c r="H31" s="13">
        <f>H22*0.156</f>
        <v>4595.4440759999998</v>
      </c>
    </row>
    <row r="33" spans="1:15" x14ac:dyDescent="0.3">
      <c r="A33" s="14" t="s">
        <v>77</v>
      </c>
      <c r="E33" s="13">
        <f>E22+E31</f>
        <v>41368.430284153852</v>
      </c>
      <c r="F33" s="13">
        <f t="shared" ref="F33" si="6">F22+F31</f>
        <v>41368.430417538468</v>
      </c>
      <c r="G33" s="13">
        <f t="shared" ref="G33" si="7">G22+G31</f>
        <v>41368.430417538468</v>
      </c>
      <c r="H33" s="13">
        <f>H22+H31</f>
        <v>34053.41892215384</v>
      </c>
      <c r="K33" s="13">
        <f>K22+K31</f>
        <v>6756.6500000000005</v>
      </c>
      <c r="L33" s="13">
        <f>L22+L31</f>
        <v>883.92</v>
      </c>
      <c r="M33" s="13">
        <f>M22+M31</f>
        <v>675</v>
      </c>
      <c r="N33" s="12">
        <f>SUM(K33:M33)</f>
        <v>8315.57</v>
      </c>
      <c r="O33" s="12">
        <f>N33*12</f>
        <v>99786.84</v>
      </c>
    </row>
    <row r="35" spans="1:15" x14ac:dyDescent="0.3">
      <c r="A35" s="14" t="s">
        <v>78</v>
      </c>
      <c r="E35" s="35">
        <f>E33+N33</f>
        <v>49684.000284153852</v>
      </c>
      <c r="F35" s="35">
        <f>F33+$N$33</f>
        <v>49684.000417538467</v>
      </c>
      <c r="G35" s="35">
        <f>G33+$N$33</f>
        <v>49684.000417538467</v>
      </c>
      <c r="H35" s="35">
        <f>H33+$N$33-(N16+N4+N5)</f>
        <v>39524.108922153842</v>
      </c>
    </row>
    <row r="37" spans="1:15" x14ac:dyDescent="0.3">
      <c r="A37" s="14" t="s">
        <v>79</v>
      </c>
      <c r="E37" s="13">
        <f t="shared" ref="E37" si="8">E35*2</f>
        <v>99368.000568307703</v>
      </c>
      <c r="F37" s="13">
        <f t="shared" ref="F37:G37" si="9">F35*2</f>
        <v>99368.000835076935</v>
      </c>
      <c r="G37" s="13">
        <f t="shared" si="9"/>
        <v>99368.000835076935</v>
      </c>
      <c r="H37" s="13">
        <f>H35*2</f>
        <v>79048.217844307685</v>
      </c>
    </row>
    <row r="40" spans="1:15" x14ac:dyDescent="0.3">
      <c r="H40" s="75"/>
    </row>
    <row r="41" spans="1:15" x14ac:dyDescent="0.3">
      <c r="A41" s="14" t="s">
        <v>45</v>
      </c>
      <c r="B41" s="14" t="s">
        <v>46</v>
      </c>
      <c r="C41" s="14" t="s">
        <v>47</v>
      </c>
      <c r="D41" s="14" t="s">
        <v>48</v>
      </c>
      <c r="E41" s="13">
        <v>39634.400000000001</v>
      </c>
    </row>
    <row r="42" spans="1:15" x14ac:dyDescent="0.3">
      <c r="A42" s="14" t="s">
        <v>49</v>
      </c>
      <c r="B42" s="14" t="s">
        <v>50</v>
      </c>
      <c r="C42" s="14" t="s">
        <v>47</v>
      </c>
      <c r="D42" s="14" t="s">
        <v>48</v>
      </c>
      <c r="E42" s="13">
        <v>64890.082400000007</v>
      </c>
      <c r="H42" s="13">
        <f>E42/26</f>
        <v>2495.7724000000003</v>
      </c>
      <c r="K42" s="12"/>
    </row>
    <row r="43" spans="1:15" x14ac:dyDescent="0.3">
      <c r="A43" s="14" t="s">
        <v>51</v>
      </c>
      <c r="B43" s="14" t="s">
        <v>52</v>
      </c>
      <c r="C43" s="14" t="s">
        <v>53</v>
      </c>
      <c r="D43" s="14" t="s">
        <v>48</v>
      </c>
      <c r="E43" s="13">
        <v>82662.629399999991</v>
      </c>
      <c r="H43" s="13">
        <f>H42*2</f>
        <v>4991.5448000000006</v>
      </c>
    </row>
    <row r="44" spans="1:15" x14ac:dyDescent="0.3">
      <c r="A44" s="14" t="s">
        <v>54</v>
      </c>
      <c r="B44" s="14" t="s">
        <v>55</v>
      </c>
      <c r="C44" s="14" t="s">
        <v>47</v>
      </c>
      <c r="D44" s="14" t="s">
        <v>48</v>
      </c>
      <c r="E44" s="13">
        <v>42963.65</v>
      </c>
      <c r="H44" s="13">
        <f>(G4/26)*2+(N4)</f>
        <v>3910.69</v>
      </c>
    </row>
    <row r="45" spans="1:15" x14ac:dyDescent="0.3">
      <c r="A45" s="14" t="s">
        <v>56</v>
      </c>
      <c r="B45" s="14" t="s">
        <v>57</v>
      </c>
      <c r="C45" s="14" t="s">
        <v>58</v>
      </c>
      <c r="D45" s="14" t="s">
        <v>48</v>
      </c>
      <c r="E45" s="13">
        <v>56160</v>
      </c>
      <c r="H45" s="13">
        <f>(G16/26)*2+(N16)</f>
        <v>5708.4046153846157</v>
      </c>
    </row>
    <row r="46" spans="1:15" x14ac:dyDescent="0.3">
      <c r="A46" s="14" t="s">
        <v>59</v>
      </c>
      <c r="B46" s="14" t="s">
        <v>60</v>
      </c>
      <c r="C46" s="14" t="s">
        <v>58</v>
      </c>
      <c r="D46" s="14" t="s">
        <v>48</v>
      </c>
      <c r="E46" s="13">
        <v>37080.160000000003</v>
      </c>
      <c r="H46" s="13">
        <f>(G16/26)*3+(N16)</f>
        <v>8016.0969230769224</v>
      </c>
    </row>
    <row r="47" spans="1:15" x14ac:dyDescent="0.3">
      <c r="A47" s="14" t="s">
        <v>61</v>
      </c>
      <c r="B47" s="14" t="s">
        <v>62</v>
      </c>
      <c r="C47" s="14" t="s">
        <v>53</v>
      </c>
      <c r="D47" s="14" t="s">
        <v>48</v>
      </c>
      <c r="E47" s="13">
        <v>116699.20600000001</v>
      </c>
    </row>
    <row r="48" spans="1:15" x14ac:dyDescent="0.3">
      <c r="A48" s="14" t="s">
        <v>63</v>
      </c>
      <c r="B48" s="14" t="s">
        <v>64</v>
      </c>
      <c r="C48" s="14" t="s">
        <v>65</v>
      </c>
      <c r="D48" s="14" t="s">
        <v>48</v>
      </c>
      <c r="E48" s="13">
        <v>89609.896999999997</v>
      </c>
      <c r="H48" s="13">
        <f>H45*0.72</f>
        <v>4110.0513230769229</v>
      </c>
    </row>
    <row r="49" spans="1:8" x14ac:dyDescent="0.3">
      <c r="A49" s="14" t="s">
        <v>66</v>
      </c>
      <c r="B49" s="14" t="s">
        <v>67</v>
      </c>
      <c r="C49" s="14" t="s">
        <v>47</v>
      </c>
      <c r="D49" s="14" t="s">
        <v>48</v>
      </c>
      <c r="E49" s="13">
        <v>55166.8</v>
      </c>
      <c r="H49" s="13">
        <f>H45*0.28</f>
        <v>1598.3532923076925</v>
      </c>
    </row>
    <row r="50" spans="1:8" x14ac:dyDescent="0.3">
      <c r="A50" s="14" t="s">
        <v>68</v>
      </c>
      <c r="E50" s="13">
        <v>50960</v>
      </c>
    </row>
    <row r="51" spans="1:8" x14ac:dyDescent="0.3">
      <c r="E51" s="13">
        <v>0</v>
      </c>
      <c r="H51" s="13">
        <f>(H8+H9+H11+H12+H13+H19)/26</f>
        <v>12394.494615384614</v>
      </c>
    </row>
    <row r="52" spans="1:8" x14ac:dyDescent="0.3">
      <c r="A52" s="14" t="s">
        <v>69</v>
      </c>
      <c r="E52" s="13">
        <v>60000</v>
      </c>
      <c r="H52" s="13">
        <f>H51*2</f>
        <v>24788.989230769228</v>
      </c>
    </row>
    <row r="53" spans="1:8" x14ac:dyDescent="0.3">
      <c r="A53" s="14" t="s">
        <v>70</v>
      </c>
      <c r="B53" s="14" t="s">
        <v>71</v>
      </c>
      <c r="C53" s="14" t="s">
        <v>72</v>
      </c>
      <c r="D53" s="14" t="s">
        <v>48</v>
      </c>
      <c r="E53" s="13">
        <v>131325</v>
      </c>
      <c r="H53" s="13">
        <f>E55+E52+E50+E49+E48+E46+E45</f>
        <v>382256.85699999996</v>
      </c>
    </row>
    <row r="54" spans="1:8" x14ac:dyDescent="0.3">
      <c r="A54" s="14" t="s">
        <v>73</v>
      </c>
      <c r="B54" s="14" t="s">
        <v>74</v>
      </c>
      <c r="C54" s="14" t="s">
        <v>47</v>
      </c>
      <c r="D54" s="14" t="s">
        <v>48</v>
      </c>
      <c r="E54" s="13">
        <v>70000</v>
      </c>
    </row>
    <row r="55" spans="1:8" x14ac:dyDescent="0.3">
      <c r="A55" s="14" t="s">
        <v>75</v>
      </c>
      <c r="E55" s="13">
        <v>33280</v>
      </c>
    </row>
  </sheetData>
  <printOptions headings="1"/>
  <pageMargins left="1" right="1" top="1" bottom="1" header="1" footer="1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C3C6-A10E-4D31-91F1-6AB45D7A8A2E}">
  <dimension ref="A2:AG58"/>
  <sheetViews>
    <sheetView workbookViewId="0">
      <pane xSplit="1" ySplit="2" topLeftCell="P30" activePane="bottomRight" state="frozen"/>
      <selection pane="topRight"/>
      <selection pane="bottomLeft"/>
      <selection pane="bottomRight" activeCell="AA1" sqref="AA1:AA1048576"/>
    </sheetView>
  </sheetViews>
  <sheetFormatPr defaultRowHeight="14.4" x14ac:dyDescent="0.3"/>
  <cols>
    <col min="1" max="1" width="28.5546875" bestFit="1" customWidth="1"/>
    <col min="2" max="2" width="11.6640625" bestFit="1" customWidth="1"/>
    <col min="3" max="5" width="10.6640625" bestFit="1" customWidth="1"/>
    <col min="6" max="6" width="10.33203125" bestFit="1" customWidth="1"/>
    <col min="7" max="7" width="10.6640625" bestFit="1" customWidth="1"/>
    <col min="8" max="8" width="9.33203125" bestFit="1" customWidth="1"/>
    <col min="9" max="10" width="10.6640625" bestFit="1" customWidth="1"/>
    <col min="11" max="11" width="10.33203125" bestFit="1" customWidth="1"/>
    <col min="12" max="12" width="9.21875" bestFit="1" customWidth="1"/>
    <col min="13" max="13" width="16.44140625" customWidth="1"/>
    <col min="14" max="15" width="11.6640625" bestFit="1" customWidth="1"/>
    <col min="16" max="16" width="10.6640625" bestFit="1" customWidth="1"/>
    <col min="17" max="17" width="10.6640625" style="87" bestFit="1" customWidth="1"/>
    <col min="18" max="25" width="10.6640625" customWidth="1"/>
    <col min="26" max="26" width="11.21875" bestFit="1" customWidth="1"/>
    <col min="27" max="27" width="11.33203125" bestFit="1" customWidth="1"/>
    <col min="28" max="28" width="13" style="1" bestFit="1" customWidth="1"/>
    <col min="30" max="30" width="110.5546875" customWidth="1"/>
  </cols>
  <sheetData>
    <row r="2" spans="1:29" x14ac:dyDescent="0.3">
      <c r="A2" s="48" t="s">
        <v>80</v>
      </c>
      <c r="B2" s="49">
        <v>45931</v>
      </c>
      <c r="C2" s="49">
        <v>45962</v>
      </c>
      <c r="D2" s="49">
        <v>45992</v>
      </c>
      <c r="E2" s="49">
        <v>46023</v>
      </c>
      <c r="F2" s="49">
        <v>46054</v>
      </c>
      <c r="G2" s="49">
        <v>46082</v>
      </c>
      <c r="H2" s="49">
        <v>46113</v>
      </c>
      <c r="I2" s="49">
        <v>46143</v>
      </c>
      <c r="J2" s="49">
        <v>46174</v>
      </c>
      <c r="K2" s="49">
        <v>46204</v>
      </c>
      <c r="L2" s="49">
        <v>46235</v>
      </c>
      <c r="M2" s="49">
        <v>46266</v>
      </c>
      <c r="N2" s="49">
        <v>46296</v>
      </c>
      <c r="O2" s="49">
        <v>46327</v>
      </c>
      <c r="P2" s="49">
        <v>46357</v>
      </c>
      <c r="Q2" s="81">
        <v>46388</v>
      </c>
      <c r="R2" s="49">
        <v>46419</v>
      </c>
      <c r="S2" s="49">
        <v>46447</v>
      </c>
      <c r="T2" s="49">
        <v>46478</v>
      </c>
      <c r="U2" s="49">
        <v>46508</v>
      </c>
      <c r="V2" s="49">
        <v>46539</v>
      </c>
      <c r="W2" s="49">
        <v>46569</v>
      </c>
      <c r="X2" s="49">
        <v>46600</v>
      </c>
      <c r="Y2" s="49">
        <v>46631</v>
      </c>
      <c r="Z2" s="49">
        <v>46661</v>
      </c>
      <c r="AA2" s="4"/>
      <c r="AB2" s="50" t="s">
        <v>36</v>
      </c>
    </row>
    <row r="3" spans="1:29" x14ac:dyDescent="0.3">
      <c r="A3" t="s">
        <v>81</v>
      </c>
      <c r="B3" s="1">
        <v>6250</v>
      </c>
      <c r="C3" s="1"/>
      <c r="D3" s="1"/>
      <c r="E3" s="1">
        <v>6250</v>
      </c>
      <c r="F3" s="1"/>
      <c r="G3" s="1"/>
      <c r="H3" s="57">
        <v>6250</v>
      </c>
      <c r="I3" s="1"/>
      <c r="J3" s="1"/>
      <c r="K3" s="1"/>
      <c r="L3" s="1"/>
      <c r="M3" s="1"/>
      <c r="N3" s="1"/>
      <c r="O3" s="1"/>
      <c r="P3" s="1"/>
      <c r="Q3" s="82"/>
      <c r="R3" s="1"/>
      <c r="S3" s="1"/>
      <c r="T3" s="1"/>
      <c r="U3" s="1"/>
      <c r="V3" s="1"/>
      <c r="W3" s="1"/>
      <c r="X3" s="1"/>
      <c r="Y3" s="1"/>
      <c r="Z3" s="1"/>
      <c r="AB3" s="1" t="s">
        <v>82</v>
      </c>
    </row>
    <row r="4" spans="1:29" x14ac:dyDescent="0.3">
      <c r="A4" t="s">
        <v>83</v>
      </c>
      <c r="B4" s="39">
        <v>125000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82"/>
      <c r="R4" s="1"/>
      <c r="S4" s="1"/>
      <c r="T4" s="1"/>
      <c r="U4" s="1"/>
      <c r="V4" s="1"/>
      <c r="W4" s="1"/>
      <c r="X4" s="1"/>
      <c r="Y4" s="1"/>
      <c r="Z4" s="1"/>
      <c r="AB4" s="1" t="s">
        <v>84</v>
      </c>
    </row>
    <row r="5" spans="1:29" x14ac:dyDescent="0.3">
      <c r="A5" t="s">
        <v>85</v>
      </c>
      <c r="B5" s="39">
        <v>16500</v>
      </c>
      <c r="C5" s="1"/>
      <c r="D5" s="1"/>
      <c r="E5" s="1"/>
      <c r="F5" s="1"/>
      <c r="G5" s="1"/>
      <c r="H5" s="1"/>
      <c r="I5" s="53">
        <v>6000</v>
      </c>
      <c r="J5" s="1"/>
      <c r="K5" s="1"/>
      <c r="L5" s="1"/>
      <c r="M5" s="1"/>
      <c r="N5" s="1"/>
      <c r="O5" s="1"/>
      <c r="P5" s="1"/>
      <c r="Q5" s="82"/>
      <c r="R5" s="1"/>
      <c r="S5" s="1"/>
      <c r="T5" s="1"/>
      <c r="U5" s="1"/>
      <c r="V5" s="1"/>
      <c r="W5" s="1"/>
      <c r="X5" s="1"/>
      <c r="Y5" s="1"/>
      <c r="Z5" s="1"/>
      <c r="AB5" s="1" t="s">
        <v>86</v>
      </c>
    </row>
    <row r="6" spans="1:29" s="66" customFormat="1" x14ac:dyDescent="0.3">
      <c r="A6" s="66" t="s">
        <v>87</v>
      </c>
      <c r="B6" s="67"/>
      <c r="C6" s="67"/>
      <c r="E6" s="69">
        <v>20000</v>
      </c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83"/>
      <c r="R6" s="67"/>
      <c r="S6" s="67"/>
      <c r="T6" s="67"/>
      <c r="U6" s="67"/>
      <c r="V6" s="67"/>
      <c r="W6" s="67"/>
      <c r="X6" s="67"/>
      <c r="Y6" s="67"/>
      <c r="Z6" s="67"/>
      <c r="AB6" s="68" t="s">
        <v>88</v>
      </c>
    </row>
    <row r="7" spans="1:29" x14ac:dyDescent="0.3">
      <c r="A7" t="s">
        <v>89</v>
      </c>
      <c r="B7" s="1"/>
      <c r="C7" s="1"/>
      <c r="D7" s="1"/>
      <c r="E7" s="1"/>
      <c r="F7" s="1"/>
      <c r="G7" s="1"/>
      <c r="H7" s="1"/>
      <c r="I7" s="1"/>
      <c r="J7" s="55">
        <v>5000</v>
      </c>
      <c r="K7" s="1"/>
      <c r="L7" s="1"/>
      <c r="M7" s="1"/>
      <c r="N7" s="1"/>
      <c r="O7" s="1"/>
      <c r="P7" s="1"/>
      <c r="Q7" s="82"/>
      <c r="R7" s="1"/>
      <c r="S7" s="1"/>
      <c r="T7" s="1"/>
      <c r="U7" s="1"/>
      <c r="V7" s="1"/>
      <c r="W7" s="1"/>
      <c r="X7" s="1"/>
      <c r="Y7" s="1"/>
      <c r="Z7" s="1"/>
      <c r="AB7" s="1" t="s">
        <v>90</v>
      </c>
    </row>
    <row r="8" spans="1:29" s="70" customFormat="1" x14ac:dyDescent="0.3">
      <c r="A8" s="70" t="s">
        <v>91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84"/>
      <c r="R8" s="71"/>
      <c r="S8" s="71"/>
      <c r="T8" s="71"/>
      <c r="U8" s="71"/>
      <c r="V8" s="71"/>
      <c r="W8" s="71"/>
      <c r="X8" s="71"/>
      <c r="Y8" s="71"/>
      <c r="Z8" s="71"/>
      <c r="AB8" s="72" t="s">
        <v>92</v>
      </c>
    </row>
    <row r="9" spans="1:29" x14ac:dyDescent="0.3">
      <c r="A9" t="s">
        <v>93</v>
      </c>
      <c r="B9" s="1">
        <v>10000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82"/>
      <c r="R9" s="1"/>
      <c r="S9" s="1"/>
      <c r="T9" s="1"/>
      <c r="U9" s="1"/>
      <c r="V9" s="1"/>
      <c r="W9" s="1"/>
      <c r="X9" s="1"/>
      <c r="Y9" s="1"/>
      <c r="Z9" s="1"/>
      <c r="AB9" s="39" t="s">
        <v>94</v>
      </c>
    </row>
    <row r="10" spans="1:29" x14ac:dyDescent="0.3">
      <c r="A10" t="s">
        <v>95</v>
      </c>
      <c r="B10" s="1"/>
      <c r="C10" s="1"/>
      <c r="D10" s="1"/>
      <c r="E10" s="58">
        <v>27707.17</v>
      </c>
      <c r="F10" s="1"/>
      <c r="G10" s="58">
        <f>30000-E10</f>
        <v>2292.8300000000017</v>
      </c>
      <c r="H10" s="1"/>
      <c r="I10" s="1"/>
      <c r="J10" s="1"/>
      <c r="K10" s="1"/>
      <c r="L10" s="1"/>
      <c r="M10" s="1"/>
      <c r="N10" s="1"/>
      <c r="O10" s="1"/>
      <c r="P10" s="1"/>
      <c r="Q10" s="82"/>
      <c r="R10" s="1"/>
      <c r="S10" s="1"/>
      <c r="T10" s="1"/>
      <c r="U10" s="1"/>
      <c r="V10" s="1"/>
      <c r="W10" s="1"/>
      <c r="X10" s="1"/>
      <c r="Y10" s="1"/>
      <c r="Z10" s="1"/>
      <c r="AB10" s="42" t="s">
        <v>94</v>
      </c>
      <c r="AC10" t="s">
        <v>96</v>
      </c>
    </row>
    <row r="11" spans="1:29" x14ac:dyDescent="0.3">
      <c r="A11" t="s">
        <v>97</v>
      </c>
      <c r="B11" s="1"/>
      <c r="C11" s="1"/>
      <c r="D11" s="1">
        <v>1500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82"/>
      <c r="R11" s="1"/>
      <c r="S11" s="1"/>
      <c r="T11" s="1"/>
      <c r="U11" s="1"/>
      <c r="V11" s="1"/>
      <c r="W11" s="1"/>
      <c r="X11" s="1"/>
      <c r="Y11" s="1"/>
      <c r="Z11" s="1"/>
      <c r="AB11" s="42" t="s">
        <v>98</v>
      </c>
    </row>
    <row r="12" spans="1:29" x14ac:dyDescent="0.3">
      <c r="A12" t="s">
        <v>99</v>
      </c>
      <c r="B12" s="1"/>
      <c r="C12" s="1"/>
      <c r="D12" s="1"/>
      <c r="E12" s="1"/>
      <c r="F12" s="1"/>
      <c r="G12" s="53">
        <v>30000</v>
      </c>
      <c r="H12" s="1"/>
      <c r="I12" s="1"/>
      <c r="J12" s="1"/>
      <c r="K12" s="1"/>
      <c r="L12" s="1"/>
      <c r="M12" s="1"/>
      <c r="N12" s="1"/>
      <c r="O12" s="1"/>
      <c r="P12" s="1"/>
      <c r="Q12" s="82"/>
      <c r="R12" s="1"/>
      <c r="S12" s="1"/>
      <c r="T12" s="1"/>
      <c r="U12" s="1"/>
      <c r="V12" s="1"/>
      <c r="W12" s="1"/>
      <c r="X12" s="1"/>
      <c r="Y12" s="1"/>
      <c r="Z12" s="1"/>
      <c r="AB12" s="1" t="s">
        <v>100</v>
      </c>
    </row>
    <row r="13" spans="1:29" x14ac:dyDescent="0.3">
      <c r="A13" t="s">
        <v>101</v>
      </c>
      <c r="B13" s="1"/>
      <c r="C13" s="1"/>
      <c r="D13" s="42">
        <v>25000</v>
      </c>
      <c r="E13" s="1"/>
      <c r="F13" s="1"/>
      <c r="G13" s="39"/>
      <c r="H13" s="1"/>
      <c r="I13" s="1"/>
      <c r="J13" s="1"/>
      <c r="K13" s="1"/>
      <c r="L13" s="1"/>
      <c r="M13" s="1"/>
      <c r="N13" s="1"/>
      <c r="O13" s="1"/>
      <c r="P13" s="1"/>
      <c r="Q13" s="82"/>
      <c r="R13" s="1"/>
      <c r="S13" s="1"/>
      <c r="T13" s="1"/>
      <c r="U13" s="1"/>
      <c r="V13" s="1"/>
      <c r="W13" s="1"/>
      <c r="X13" s="1"/>
      <c r="Y13" s="1"/>
      <c r="Z13" s="1"/>
      <c r="AB13" s="1" t="s">
        <v>102</v>
      </c>
    </row>
    <row r="14" spans="1:29" s="66" customFormat="1" x14ac:dyDescent="0.3">
      <c r="A14" s="66" t="s">
        <v>103</v>
      </c>
      <c r="B14" s="67"/>
      <c r="C14" s="67"/>
      <c r="D14" s="68"/>
      <c r="E14" s="67"/>
      <c r="F14" s="67"/>
      <c r="G14" s="68"/>
      <c r="H14" s="67"/>
      <c r="I14" s="67"/>
      <c r="J14" s="67">
        <f>25000*0.25</f>
        <v>6250</v>
      </c>
      <c r="K14" s="67"/>
      <c r="L14" s="67"/>
      <c r="M14" s="67"/>
      <c r="N14" s="67"/>
      <c r="O14" s="67"/>
      <c r="P14" s="67">
        <f>25000*0.25</f>
        <v>6250</v>
      </c>
      <c r="Q14" s="83"/>
      <c r="R14" s="67"/>
      <c r="S14" s="67"/>
      <c r="T14" s="67"/>
      <c r="U14" s="67"/>
      <c r="V14" s="67">
        <f>25000*0.25</f>
        <v>6250</v>
      </c>
      <c r="W14" s="67"/>
      <c r="X14" s="67"/>
      <c r="Y14" s="67"/>
      <c r="Z14" s="67">
        <f>25000*0.25</f>
        <v>6250</v>
      </c>
      <c r="AB14" s="67" t="s">
        <v>104</v>
      </c>
    </row>
    <row r="15" spans="1:29" s="66" customFormat="1" x14ac:dyDescent="0.3">
      <c r="A15" s="66" t="s">
        <v>105</v>
      </c>
      <c r="B15" s="67"/>
      <c r="C15" s="67"/>
      <c r="D15" s="68"/>
      <c r="F15" s="67"/>
      <c r="H15" s="67"/>
      <c r="I15" s="67">
        <f>40000*0.25</f>
        <v>10000</v>
      </c>
      <c r="J15" s="67"/>
      <c r="K15" s="67">
        <f>40000*0.75</f>
        <v>30000</v>
      </c>
      <c r="L15" s="67"/>
      <c r="M15" s="67"/>
      <c r="N15" s="67"/>
      <c r="O15" s="67"/>
      <c r="P15" s="67"/>
      <c r="Q15" s="83"/>
      <c r="R15" s="67"/>
      <c r="S15" s="67"/>
      <c r="T15" s="67"/>
      <c r="U15" s="67"/>
      <c r="V15" s="67"/>
      <c r="W15" s="67"/>
      <c r="X15" s="67"/>
      <c r="Y15" s="67"/>
      <c r="Z15" s="67"/>
      <c r="AB15" s="67" t="s">
        <v>106</v>
      </c>
    </row>
    <row r="16" spans="1:29" s="66" customFormat="1" x14ac:dyDescent="0.3">
      <c r="A16" s="66" t="s">
        <v>107</v>
      </c>
      <c r="B16" s="67"/>
      <c r="C16" s="67"/>
      <c r="D16" s="68"/>
      <c r="F16" s="67">
        <v>2719.06</v>
      </c>
      <c r="H16" s="67"/>
      <c r="I16" s="67"/>
      <c r="J16" s="67"/>
      <c r="K16" s="67"/>
      <c r="L16" s="67"/>
      <c r="M16" s="67"/>
      <c r="N16" s="67"/>
      <c r="O16" s="67"/>
      <c r="P16" s="67"/>
      <c r="Q16" s="83"/>
      <c r="R16" s="67"/>
      <c r="S16" s="67"/>
      <c r="T16" s="67"/>
      <c r="U16" s="67"/>
      <c r="V16" s="67"/>
      <c r="W16" s="67"/>
      <c r="X16" s="67"/>
      <c r="Y16" s="67"/>
      <c r="Z16" s="67"/>
      <c r="AB16" s="67"/>
    </row>
    <row r="17" spans="1:28" s="61" customFormat="1" x14ac:dyDescent="0.3">
      <c r="A17" s="61" t="s">
        <v>108</v>
      </c>
      <c r="B17" s="62"/>
      <c r="C17" s="62"/>
      <c r="D17" s="63">
        <v>50000</v>
      </c>
      <c r="E17" s="62"/>
      <c r="F17" s="62"/>
      <c r="G17" s="64"/>
      <c r="H17" s="62"/>
      <c r="I17" s="62"/>
      <c r="J17" s="62"/>
      <c r="K17" s="62"/>
      <c r="L17" s="62"/>
      <c r="M17" s="62"/>
      <c r="N17" s="62"/>
      <c r="O17" s="62"/>
      <c r="P17" s="62"/>
      <c r="Q17" s="85"/>
      <c r="R17" s="62"/>
      <c r="S17" s="62"/>
      <c r="T17" s="62"/>
      <c r="U17" s="62"/>
      <c r="V17" s="62"/>
      <c r="W17" s="62"/>
      <c r="X17" s="62"/>
      <c r="Y17" s="62"/>
      <c r="Z17" s="62"/>
      <c r="AB17" s="62"/>
    </row>
    <row r="18" spans="1:28" s="61" customFormat="1" x14ac:dyDescent="0.3">
      <c r="A18" s="61" t="s">
        <v>109</v>
      </c>
      <c r="B18" s="62"/>
      <c r="C18" s="62"/>
      <c r="D18" s="62">
        <v>10000</v>
      </c>
      <c r="E18" s="62"/>
      <c r="F18" s="62"/>
      <c r="G18" s="65"/>
      <c r="H18" s="62"/>
      <c r="I18" s="62"/>
      <c r="J18" s="62"/>
      <c r="K18" s="62"/>
      <c r="L18" s="62"/>
      <c r="M18" s="62"/>
      <c r="N18" s="62"/>
      <c r="O18" s="62"/>
      <c r="P18" s="62"/>
      <c r="Q18" s="85"/>
      <c r="R18" s="62"/>
      <c r="S18" s="62"/>
      <c r="T18" s="62"/>
      <c r="U18" s="62"/>
      <c r="V18" s="62"/>
      <c r="W18" s="62"/>
      <c r="X18" s="62"/>
      <c r="Y18" s="62"/>
      <c r="Z18" s="62"/>
      <c r="AB18" s="62"/>
    </row>
    <row r="19" spans="1:28" s="61" customFormat="1" x14ac:dyDescent="0.3">
      <c r="A19" s="61" t="s">
        <v>110</v>
      </c>
      <c r="B19" s="62"/>
      <c r="C19" s="62"/>
      <c r="D19" s="62"/>
      <c r="E19" s="62"/>
      <c r="F19" s="62"/>
      <c r="G19" s="65">
        <v>5000</v>
      </c>
      <c r="H19" s="62"/>
      <c r="I19" s="62"/>
      <c r="J19" s="62"/>
      <c r="K19" s="62"/>
      <c r="L19" s="62"/>
      <c r="M19" s="62"/>
      <c r="N19" s="62"/>
      <c r="O19" s="62"/>
      <c r="P19" s="62"/>
      <c r="Q19" s="85"/>
      <c r="R19" s="62"/>
      <c r="S19" s="62"/>
      <c r="T19" s="62"/>
      <c r="U19" s="62"/>
      <c r="V19" s="62"/>
      <c r="W19" s="62"/>
      <c r="X19" s="62"/>
      <c r="Y19" s="62"/>
      <c r="Z19" s="62"/>
      <c r="AB19" s="62"/>
    </row>
    <row r="20" spans="1:28" s="61" customFormat="1" x14ac:dyDescent="0.3">
      <c r="A20" s="61" t="s">
        <v>111</v>
      </c>
      <c r="B20" s="62"/>
      <c r="C20" s="62"/>
      <c r="D20" s="62"/>
      <c r="E20" s="62"/>
      <c r="F20" s="62"/>
      <c r="G20" s="65"/>
      <c r="H20" s="62"/>
      <c r="I20" s="62">
        <v>2500</v>
      </c>
      <c r="J20" s="62"/>
      <c r="K20" s="62"/>
      <c r="L20" s="62"/>
      <c r="M20" s="62"/>
      <c r="N20" s="62"/>
      <c r="O20" s="62"/>
      <c r="P20" s="62"/>
      <c r="Q20" s="85"/>
      <c r="R20" s="62"/>
      <c r="S20" s="62"/>
      <c r="T20" s="62"/>
      <c r="U20" s="62"/>
      <c r="V20" s="62"/>
      <c r="W20" s="62"/>
      <c r="X20" s="62"/>
      <c r="Y20" s="62"/>
      <c r="Z20" s="62"/>
      <c r="AB20" s="62"/>
    </row>
    <row r="21" spans="1:28" x14ac:dyDescent="0.3">
      <c r="B21" s="1"/>
      <c r="C21" s="1"/>
      <c r="D21" s="1"/>
      <c r="E21" s="1"/>
      <c r="F21" s="1"/>
      <c r="G21" s="39"/>
      <c r="H21" s="1"/>
      <c r="I21" s="1"/>
      <c r="J21" s="1"/>
      <c r="L21" s="1"/>
      <c r="M21" s="1"/>
      <c r="N21" s="1"/>
      <c r="O21" s="1"/>
      <c r="P21" s="1"/>
      <c r="Q21" s="82"/>
      <c r="R21" s="1"/>
      <c r="S21" s="1"/>
      <c r="T21" s="1"/>
      <c r="U21" s="1"/>
      <c r="V21" s="1"/>
      <c r="W21" s="1"/>
      <c r="X21" s="1"/>
      <c r="Y21" s="1"/>
      <c r="Z21" s="1"/>
    </row>
    <row r="22" spans="1:28" x14ac:dyDescent="0.3">
      <c r="A22" t="s">
        <v>112</v>
      </c>
      <c r="B22" s="1"/>
      <c r="C22" s="1"/>
      <c r="D22" s="1"/>
      <c r="E22" s="57"/>
      <c r="F22" s="57"/>
      <c r="G22" s="57"/>
      <c r="H22" s="57"/>
      <c r="I22" s="1"/>
      <c r="J22" s="1"/>
      <c r="K22" s="1"/>
      <c r="L22" s="1"/>
      <c r="M22" s="1"/>
      <c r="N22" s="1"/>
      <c r="O22" s="1"/>
      <c r="P22" s="1"/>
      <c r="Q22" s="82"/>
      <c r="R22" s="1"/>
      <c r="S22" s="1"/>
      <c r="T22" s="1"/>
      <c r="U22" s="1"/>
      <c r="V22" s="1"/>
      <c r="W22" s="1"/>
      <c r="X22" s="1"/>
      <c r="Y22" s="1"/>
      <c r="Z22" s="1"/>
    </row>
    <row r="23" spans="1:28" x14ac:dyDescent="0.3">
      <c r="A23" t="s">
        <v>113</v>
      </c>
      <c r="B23" s="1"/>
      <c r="C23" s="1"/>
      <c r="D23" s="1"/>
      <c r="E23" s="1"/>
      <c r="F23" s="1"/>
      <c r="G23" s="39"/>
      <c r="H23" s="1"/>
      <c r="I23" s="1"/>
      <c r="J23" s="1"/>
      <c r="K23" s="1">
        <v>5000</v>
      </c>
      <c r="L23" s="1"/>
      <c r="M23" s="1"/>
      <c r="N23" s="1">
        <v>5000</v>
      </c>
      <c r="O23" s="1"/>
      <c r="P23" s="1"/>
      <c r="Q23" s="82">
        <v>5000</v>
      </c>
      <c r="R23" s="1"/>
      <c r="S23" s="1"/>
      <c r="T23" s="1">
        <v>5000</v>
      </c>
      <c r="U23" s="1"/>
      <c r="V23" s="1"/>
      <c r="W23" s="1"/>
      <c r="X23" s="1"/>
      <c r="Y23" s="1"/>
      <c r="Z23" s="1"/>
      <c r="AB23" s="1" t="s">
        <v>114</v>
      </c>
    </row>
    <row r="24" spans="1:28" x14ac:dyDescent="0.3">
      <c r="A24" t="s">
        <v>115</v>
      </c>
      <c r="B24" s="1"/>
      <c r="C24" s="1"/>
      <c r="D24" s="1"/>
      <c r="E24" s="1"/>
      <c r="F24" s="1"/>
      <c r="G24" s="1"/>
      <c r="H24" s="1"/>
      <c r="I24" s="1"/>
      <c r="J24" s="1"/>
      <c r="M24" s="1">
        <v>7500</v>
      </c>
      <c r="N24" s="1"/>
      <c r="O24" s="1"/>
      <c r="P24" s="1"/>
      <c r="Q24" s="82"/>
      <c r="R24" s="1"/>
      <c r="S24" s="1"/>
      <c r="T24" s="1"/>
      <c r="U24" s="1"/>
      <c r="V24" s="1"/>
      <c r="W24" s="1"/>
      <c r="X24" s="1"/>
      <c r="Y24" s="1"/>
      <c r="Z24" s="1"/>
      <c r="AB24" s="1" t="s">
        <v>116</v>
      </c>
    </row>
    <row r="25" spans="1:28" x14ac:dyDescent="0.3">
      <c r="A25" t="s">
        <v>117</v>
      </c>
      <c r="B25" s="1"/>
      <c r="C25" s="1"/>
      <c r="D25" s="1"/>
      <c r="E25" s="1"/>
      <c r="F25" s="1"/>
      <c r="G25" s="1"/>
      <c r="H25" s="1"/>
      <c r="I25" s="1"/>
      <c r="J25" s="1"/>
      <c r="L25" s="1"/>
      <c r="O25" s="58">
        <v>125000</v>
      </c>
      <c r="P25" s="1"/>
      <c r="Q25" s="82"/>
      <c r="R25" s="1"/>
      <c r="S25" s="1"/>
      <c r="T25" s="1"/>
      <c r="U25" s="1"/>
      <c r="V25" s="1"/>
      <c r="W25" s="1"/>
      <c r="X25" s="1"/>
      <c r="Y25" s="1"/>
      <c r="Z25" s="1"/>
      <c r="AB25" s="1" t="s">
        <v>118</v>
      </c>
    </row>
    <row r="26" spans="1:28" x14ac:dyDescent="0.3">
      <c r="A26" t="s">
        <v>119</v>
      </c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>
        <v>20000</v>
      </c>
      <c r="Q26" s="82"/>
      <c r="R26" s="1"/>
      <c r="S26" s="1"/>
      <c r="T26" s="1"/>
      <c r="U26" s="1"/>
      <c r="V26" s="1"/>
      <c r="W26" s="1"/>
      <c r="X26" s="1"/>
      <c r="Y26" s="1"/>
      <c r="Z26" s="1"/>
      <c r="AB26" s="1" t="s">
        <v>120</v>
      </c>
    </row>
    <row r="27" spans="1:28" x14ac:dyDescent="0.3">
      <c r="A27" t="s">
        <v>121</v>
      </c>
      <c r="B27" s="1"/>
      <c r="C27" s="1"/>
      <c r="D27" s="1"/>
      <c r="E27" s="1"/>
      <c r="F27" s="1"/>
      <c r="G27" s="1"/>
      <c r="H27" s="1"/>
      <c r="I27" s="1"/>
      <c r="J27" s="1"/>
      <c r="L27" s="1"/>
      <c r="M27" s="1"/>
      <c r="N27" s="1"/>
      <c r="O27" s="1"/>
      <c r="P27" s="1"/>
      <c r="Q27" s="82"/>
      <c r="R27" s="1"/>
      <c r="S27" s="1"/>
      <c r="T27" s="1"/>
      <c r="U27" s="1"/>
      <c r="V27" s="58">
        <v>4000</v>
      </c>
      <c r="W27" s="1"/>
      <c r="X27" s="1"/>
      <c r="Y27" s="1"/>
      <c r="Z27" s="1"/>
      <c r="AB27" s="1" t="s">
        <v>122</v>
      </c>
    </row>
    <row r="28" spans="1:28" x14ac:dyDescent="0.3">
      <c r="A28" t="s">
        <v>123</v>
      </c>
      <c r="B28" s="1"/>
      <c r="C28" s="1"/>
      <c r="D28" s="1"/>
      <c r="E28" s="1"/>
      <c r="F28" s="1"/>
      <c r="G28" s="1"/>
      <c r="H28" s="1"/>
      <c r="I28" s="1"/>
      <c r="J28" s="1"/>
      <c r="L28" s="1"/>
      <c r="M28" s="1"/>
      <c r="N28" s="1">
        <v>5000</v>
      </c>
      <c r="O28" s="1"/>
      <c r="P28" s="1"/>
      <c r="Q28" s="82"/>
      <c r="R28" s="1"/>
      <c r="S28" s="1"/>
      <c r="T28" s="1"/>
      <c r="U28" s="1"/>
      <c r="V28" s="1"/>
      <c r="W28" s="1"/>
      <c r="X28" s="1"/>
      <c r="Y28" s="1"/>
      <c r="Z28" s="1"/>
      <c r="AB28" s="1" t="s">
        <v>124</v>
      </c>
    </row>
    <row r="29" spans="1:28" x14ac:dyDescent="0.3">
      <c r="A29" t="s">
        <v>125</v>
      </c>
      <c r="B29" s="1"/>
      <c r="C29" s="1"/>
      <c r="D29" s="1"/>
      <c r="E29" s="1"/>
      <c r="F29" s="1"/>
      <c r="G29" s="39"/>
      <c r="H29" s="1"/>
      <c r="I29" s="1"/>
      <c r="J29" s="1"/>
      <c r="K29" s="1"/>
      <c r="L29" s="1"/>
      <c r="M29" s="1"/>
      <c r="N29" s="1"/>
      <c r="O29" s="1"/>
      <c r="P29" s="1"/>
      <c r="Q29" s="82">
        <v>25000</v>
      </c>
      <c r="R29" s="1"/>
      <c r="S29" s="1"/>
      <c r="T29" s="1"/>
      <c r="U29" s="1"/>
      <c r="V29" s="1"/>
      <c r="W29" s="1"/>
      <c r="X29" s="1"/>
      <c r="Y29" s="1"/>
      <c r="Z29" s="1"/>
      <c r="AB29" s="1" t="s">
        <v>126</v>
      </c>
    </row>
    <row r="30" spans="1:28" x14ac:dyDescent="0.3">
      <c r="A30" t="s">
        <v>127</v>
      </c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>
        <v>1000</v>
      </c>
      <c r="Q30" s="82"/>
      <c r="R30" s="1"/>
      <c r="S30" s="1"/>
      <c r="T30" s="1"/>
      <c r="U30" s="1"/>
      <c r="V30" s="1"/>
      <c r="W30" s="1"/>
      <c r="X30" s="1"/>
      <c r="Y30" s="1"/>
      <c r="Z30" s="1"/>
      <c r="AB30" s="1" t="s">
        <v>128</v>
      </c>
    </row>
    <row r="31" spans="1:28" x14ac:dyDescent="0.3">
      <c r="A31" t="s">
        <v>129</v>
      </c>
      <c r="B31" s="1"/>
      <c r="C31" s="1"/>
      <c r="D31" s="1"/>
      <c r="E31" s="1"/>
      <c r="F31" s="1"/>
      <c r="G31" s="1"/>
      <c r="H31" s="1"/>
      <c r="I31" s="1"/>
      <c r="J31" s="1"/>
      <c r="L31" s="1"/>
      <c r="M31" s="1"/>
      <c r="N31" s="1"/>
      <c r="O31" s="1"/>
      <c r="P31" s="1"/>
      <c r="Q31" s="82"/>
      <c r="R31" s="1"/>
      <c r="S31" s="1">
        <v>30000</v>
      </c>
      <c r="T31" s="1"/>
      <c r="U31" s="1"/>
      <c r="V31" s="1"/>
      <c r="W31" s="1"/>
      <c r="X31" s="1"/>
      <c r="Y31" s="1"/>
      <c r="Z31" s="1"/>
      <c r="AB31" s="1" t="s">
        <v>130</v>
      </c>
    </row>
    <row r="32" spans="1:28" x14ac:dyDescent="0.3">
      <c r="A32" t="s">
        <v>131</v>
      </c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  <c r="P32" s="1"/>
      <c r="Q32" s="82"/>
      <c r="R32" s="1"/>
      <c r="S32" s="1">
        <v>25000</v>
      </c>
      <c r="T32" s="1"/>
      <c r="U32" s="1"/>
      <c r="V32" s="1"/>
      <c r="W32" s="1"/>
      <c r="X32" s="1"/>
      <c r="Y32" s="1"/>
      <c r="Z32" s="1"/>
      <c r="AB32" s="1" t="s">
        <v>132</v>
      </c>
    </row>
    <row r="33" spans="1:28" s="61" customFormat="1" x14ac:dyDescent="0.3">
      <c r="A33" s="61" t="s">
        <v>133</v>
      </c>
      <c r="B33" s="62"/>
      <c r="C33" s="62"/>
      <c r="D33" s="62"/>
      <c r="E33" s="62"/>
      <c r="F33" s="62"/>
      <c r="G33" s="62"/>
      <c r="H33" s="62"/>
      <c r="I33" s="62"/>
      <c r="J33" s="62"/>
      <c r="L33" s="62"/>
      <c r="M33" s="62"/>
      <c r="N33" s="62"/>
      <c r="O33" s="62"/>
      <c r="P33" s="62"/>
      <c r="Q33" s="85"/>
      <c r="R33" s="62"/>
      <c r="S33" s="62"/>
      <c r="T33" s="62"/>
      <c r="U33" s="62"/>
      <c r="V33" s="62">
        <f>20000*0.25</f>
        <v>5000</v>
      </c>
      <c r="W33" s="62"/>
      <c r="X33" s="62"/>
      <c r="Y33" s="62"/>
      <c r="Z33" s="62">
        <f>20000*0.75</f>
        <v>15000</v>
      </c>
      <c r="AB33" s="62" t="s">
        <v>134</v>
      </c>
    </row>
    <row r="34" spans="1:28" s="61" customFormat="1" x14ac:dyDescent="0.3">
      <c r="A34" s="61" t="s">
        <v>135</v>
      </c>
      <c r="B34" s="62"/>
      <c r="C34" s="62"/>
      <c r="D34" s="62"/>
      <c r="E34" s="62"/>
      <c r="F34" s="62"/>
      <c r="G34" s="62"/>
      <c r="H34" s="62"/>
      <c r="I34" s="62"/>
      <c r="J34" s="62"/>
      <c r="L34" s="62">
        <f>20000/10</f>
        <v>2000</v>
      </c>
      <c r="M34" s="62">
        <f t="shared" ref="M34:U34" si="0">20000/10</f>
        <v>2000</v>
      </c>
      <c r="N34" s="62">
        <f t="shared" si="0"/>
        <v>2000</v>
      </c>
      <c r="O34" s="62">
        <f t="shared" si="0"/>
        <v>2000</v>
      </c>
      <c r="P34" s="62">
        <f t="shared" si="0"/>
        <v>2000</v>
      </c>
      <c r="Q34" s="85">
        <f t="shared" si="0"/>
        <v>2000</v>
      </c>
      <c r="R34" s="62">
        <f t="shared" si="0"/>
        <v>2000</v>
      </c>
      <c r="S34" s="62">
        <f t="shared" si="0"/>
        <v>2000</v>
      </c>
      <c r="T34" s="62">
        <f t="shared" si="0"/>
        <v>2000</v>
      </c>
      <c r="U34" s="62">
        <f t="shared" si="0"/>
        <v>2000</v>
      </c>
      <c r="V34" s="62"/>
      <c r="W34" s="62"/>
      <c r="X34" s="62"/>
      <c r="Y34" s="62"/>
      <c r="Z34" s="62"/>
      <c r="AB34" s="62" t="s">
        <v>136</v>
      </c>
    </row>
    <row r="35" spans="1:28" s="61" customFormat="1" x14ac:dyDescent="0.3">
      <c r="A35" s="61" t="s">
        <v>137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>
        <v>5000</v>
      </c>
      <c r="P35" s="62"/>
      <c r="Q35" s="85"/>
      <c r="R35" s="62"/>
      <c r="S35" s="62"/>
      <c r="T35" s="62"/>
      <c r="U35" s="62"/>
      <c r="V35" s="62"/>
      <c r="W35" s="62"/>
      <c r="X35" s="62"/>
      <c r="Y35" s="62"/>
      <c r="Z35" s="62"/>
      <c r="AB35" s="62"/>
    </row>
    <row r="36" spans="1:28" s="61" customFormat="1" x14ac:dyDescent="0.3">
      <c r="A36" s="61" t="s">
        <v>138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85"/>
      <c r="R36" s="62"/>
      <c r="S36" s="62">
        <v>5000</v>
      </c>
      <c r="T36" s="62"/>
      <c r="U36" s="62"/>
      <c r="V36" s="62"/>
      <c r="W36" s="62"/>
      <c r="X36" s="62"/>
      <c r="Y36" s="62"/>
      <c r="Z36" s="62"/>
      <c r="AB36" s="62"/>
    </row>
    <row r="37" spans="1:28" s="61" customFormat="1" x14ac:dyDescent="0.3">
      <c r="A37" s="61" t="s">
        <v>139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85">
        <v>25000</v>
      </c>
      <c r="R37" s="62"/>
      <c r="S37" s="62"/>
      <c r="T37" s="62"/>
      <c r="U37" s="62"/>
      <c r="V37" s="62"/>
      <c r="W37" s="62"/>
      <c r="X37" s="62"/>
      <c r="Y37" s="62"/>
      <c r="Z37" s="62"/>
      <c r="AB37" s="62" t="s">
        <v>140</v>
      </c>
    </row>
    <row r="38" spans="1:28" s="61" customFormat="1" x14ac:dyDescent="0.3">
      <c r="A38" s="61" t="s">
        <v>141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P38" s="62"/>
      <c r="Q38" s="85">
        <v>15000</v>
      </c>
      <c r="R38" s="62"/>
      <c r="S38" s="62"/>
      <c r="T38" s="62"/>
      <c r="U38" s="62"/>
      <c r="V38" s="62"/>
      <c r="W38" s="62"/>
      <c r="X38" s="62"/>
      <c r="Y38" s="62"/>
      <c r="Z38" s="62"/>
      <c r="AB38" s="62"/>
    </row>
    <row r="39" spans="1:28" s="61" customFormat="1" x14ac:dyDescent="0.3">
      <c r="A39" s="61" t="s">
        <v>142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1">
        <v>10000</v>
      </c>
      <c r="P39" s="62"/>
      <c r="Q39" s="85"/>
      <c r="R39" s="62"/>
      <c r="S39" s="62"/>
      <c r="T39" s="62"/>
      <c r="U39" s="62"/>
      <c r="V39" s="62"/>
      <c r="W39" s="62"/>
      <c r="X39" s="62"/>
      <c r="Y39" s="62"/>
      <c r="Z39" s="62"/>
      <c r="AB39" s="62" t="s">
        <v>143</v>
      </c>
    </row>
    <row r="40" spans="1:28" s="61" customFormat="1" x14ac:dyDescent="0.3">
      <c r="A40" s="61" t="s">
        <v>144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>
        <f>75000/4</f>
        <v>18750</v>
      </c>
      <c r="Q40" s="85"/>
      <c r="R40" s="62"/>
      <c r="S40" s="62"/>
      <c r="T40" s="62"/>
      <c r="U40" s="62"/>
      <c r="V40" s="62">
        <f>75000/4</f>
        <v>18750</v>
      </c>
      <c r="W40" s="62"/>
      <c r="X40" s="62"/>
      <c r="Y40" s="62"/>
      <c r="Z40" s="62"/>
      <c r="AB40" s="62" t="s">
        <v>145</v>
      </c>
    </row>
    <row r="41" spans="1:28" s="61" customFormat="1" x14ac:dyDescent="0.3">
      <c r="A41" s="61" t="s">
        <v>146</v>
      </c>
      <c r="B41" s="62"/>
      <c r="C41" s="62"/>
      <c r="D41" s="62"/>
      <c r="E41" s="62"/>
      <c r="F41" s="62"/>
      <c r="H41" s="62"/>
      <c r="J41" s="65">
        <v>3250</v>
      </c>
      <c r="K41" s="62"/>
      <c r="L41" s="62"/>
      <c r="M41" s="62"/>
      <c r="N41" s="62"/>
      <c r="O41" s="62"/>
      <c r="P41" s="62"/>
      <c r="Q41" s="85"/>
      <c r="R41" s="62"/>
      <c r="S41" s="62"/>
      <c r="T41" s="62"/>
      <c r="U41" s="62"/>
      <c r="V41" s="62"/>
      <c r="W41" s="62"/>
      <c r="X41" s="62"/>
      <c r="Y41" s="62"/>
      <c r="Z41" s="62"/>
      <c r="AB41" s="62"/>
    </row>
    <row r="42" spans="1:28" s="61" customFormat="1" x14ac:dyDescent="0.3">
      <c r="A42" s="61" t="s">
        <v>147</v>
      </c>
      <c r="B42" s="62"/>
      <c r="C42" s="62"/>
      <c r="D42" s="62"/>
      <c r="E42" s="62"/>
      <c r="F42" s="62"/>
      <c r="G42" s="65"/>
      <c r="H42" s="62"/>
      <c r="I42" s="62">
        <v>7500</v>
      </c>
      <c r="J42" s="62"/>
      <c r="K42" s="62"/>
      <c r="L42" s="62"/>
      <c r="M42" s="62"/>
      <c r="N42" s="62"/>
      <c r="O42" s="62"/>
      <c r="P42" s="62"/>
      <c r="Q42" s="85"/>
      <c r="R42" s="62"/>
      <c r="S42" s="62"/>
      <c r="T42" s="62"/>
      <c r="U42" s="62"/>
      <c r="V42" s="62"/>
      <c r="W42" s="62"/>
      <c r="X42" s="62"/>
      <c r="Y42" s="62"/>
      <c r="Z42" s="62"/>
      <c r="AB42" s="62"/>
    </row>
    <row r="43" spans="1:28" s="61" customFormat="1" x14ac:dyDescent="0.3">
      <c r="A43" s="61" t="s">
        <v>148</v>
      </c>
      <c r="B43" s="62"/>
      <c r="C43" s="62"/>
      <c r="D43" s="62"/>
      <c r="E43" s="62"/>
      <c r="F43" s="62"/>
      <c r="G43" s="65"/>
      <c r="H43" s="62"/>
      <c r="I43" s="62">
        <v>2500</v>
      </c>
      <c r="J43" s="62"/>
      <c r="K43" s="62"/>
      <c r="L43" s="62"/>
      <c r="M43" s="62"/>
      <c r="N43" s="62"/>
      <c r="O43" s="62"/>
      <c r="P43" s="62"/>
      <c r="Q43" s="85"/>
      <c r="R43" s="62"/>
      <c r="S43" s="62"/>
      <c r="T43" s="62"/>
      <c r="U43" s="62"/>
      <c r="V43" s="62"/>
      <c r="W43" s="62"/>
      <c r="X43" s="62"/>
      <c r="Y43" s="62"/>
      <c r="Z43" s="62"/>
      <c r="AB43" s="62"/>
    </row>
    <row r="44" spans="1:28" s="61" customFormat="1" x14ac:dyDescent="0.3">
      <c r="A44" s="61" t="s">
        <v>149</v>
      </c>
      <c r="B44" s="62"/>
      <c r="C44" s="62"/>
      <c r="D44" s="62"/>
      <c r="E44" s="62"/>
      <c r="F44" s="62"/>
      <c r="G44" s="65"/>
      <c r="H44" s="62"/>
      <c r="I44" s="62">
        <v>1000</v>
      </c>
      <c r="K44" s="62"/>
      <c r="L44" s="62"/>
      <c r="M44" s="62"/>
      <c r="N44" s="62"/>
      <c r="O44" s="62"/>
      <c r="P44" s="62"/>
      <c r="Q44" s="85"/>
      <c r="R44" s="62"/>
      <c r="S44" s="62"/>
      <c r="T44" s="62"/>
      <c r="U44" s="62"/>
      <c r="V44" s="62"/>
      <c r="W44" s="62"/>
      <c r="X44" s="62"/>
      <c r="Y44" s="62"/>
      <c r="Z44" s="62"/>
      <c r="AB44" s="62"/>
    </row>
    <row r="45" spans="1:28" x14ac:dyDescent="0.3">
      <c r="B45" s="1"/>
      <c r="C45" s="1"/>
      <c r="D45" s="1"/>
      <c r="E45" s="1"/>
      <c r="F45" s="1"/>
      <c r="G45" s="1"/>
      <c r="H45" s="1"/>
      <c r="I45" s="1"/>
      <c r="J45" s="1"/>
      <c r="L45" s="1"/>
      <c r="M45" s="1"/>
      <c r="N45" s="1"/>
      <c r="O45" s="1"/>
      <c r="P45" s="1"/>
      <c r="Q45" s="82"/>
      <c r="R45" s="1"/>
      <c r="S45" s="1"/>
      <c r="T45" s="1"/>
      <c r="U45" s="1"/>
      <c r="V45" s="1"/>
      <c r="W45" s="1"/>
      <c r="X45" s="1"/>
      <c r="Y45" s="1"/>
      <c r="Z45" s="1"/>
    </row>
    <row r="46" spans="1:28" x14ac:dyDescent="0.3">
      <c r="A46" t="s">
        <v>150</v>
      </c>
      <c r="B46" s="1"/>
      <c r="C46" s="1"/>
      <c r="D46" s="1"/>
      <c r="E46" s="1"/>
      <c r="F46" s="1"/>
      <c r="G46" s="1"/>
      <c r="H46" s="1"/>
      <c r="I46" s="1"/>
      <c r="J46" s="1"/>
      <c r="L46" s="1"/>
      <c r="M46" s="1"/>
      <c r="N46" s="1"/>
      <c r="O46" s="1"/>
      <c r="P46" s="1"/>
      <c r="Q46" s="82"/>
      <c r="R46" s="1"/>
      <c r="S46" s="1"/>
      <c r="T46" s="1"/>
      <c r="U46" s="1"/>
      <c r="V46" s="1"/>
      <c r="W46" s="1">
        <v>5000</v>
      </c>
      <c r="X46" s="1"/>
      <c r="Y46" s="1"/>
      <c r="Z46" s="1">
        <v>5000</v>
      </c>
      <c r="AB46" s="1" t="s">
        <v>114</v>
      </c>
    </row>
    <row r="47" spans="1:28" x14ac:dyDescent="0.3">
      <c r="A47" t="s">
        <v>151</v>
      </c>
      <c r="B47" s="1"/>
      <c r="C47" s="1"/>
      <c r="D47" s="1"/>
      <c r="E47" s="1"/>
      <c r="F47" s="1"/>
      <c r="G47" s="1"/>
      <c r="H47" s="1"/>
      <c r="I47" s="1"/>
      <c r="J47" s="1"/>
      <c r="L47" s="1"/>
      <c r="M47" s="1"/>
      <c r="N47" s="1"/>
      <c r="O47" s="1"/>
      <c r="P47" s="1"/>
      <c r="Q47" s="82"/>
      <c r="R47" s="1"/>
      <c r="S47" s="1"/>
      <c r="T47" s="1"/>
      <c r="U47" s="1"/>
      <c r="V47" s="1"/>
      <c r="W47" s="1"/>
      <c r="X47" s="1"/>
      <c r="Y47" s="1"/>
      <c r="Z47" s="58">
        <v>125000</v>
      </c>
      <c r="AB47" s="1" t="s">
        <v>152</v>
      </c>
    </row>
    <row r="48" spans="1:28" x14ac:dyDescent="0.3">
      <c r="A48" t="s">
        <v>153</v>
      </c>
      <c r="B48" s="1"/>
      <c r="C48" s="1"/>
      <c r="D48" s="1"/>
      <c r="E48" s="1"/>
      <c r="F48" s="1"/>
      <c r="G48" s="1"/>
      <c r="H48" s="1"/>
      <c r="I48" s="1"/>
      <c r="J48" s="1"/>
      <c r="L48" s="1"/>
      <c r="M48" s="1"/>
      <c r="N48" s="1"/>
      <c r="O48" s="1"/>
      <c r="P48" s="1"/>
      <c r="Q48" s="82"/>
      <c r="R48" s="1"/>
      <c r="S48" s="1"/>
      <c r="T48" s="1"/>
      <c r="U48" s="1"/>
      <c r="V48" s="1"/>
      <c r="W48" s="1"/>
      <c r="X48" s="1"/>
      <c r="Y48" s="1"/>
      <c r="Z48" s="1">
        <v>5000</v>
      </c>
      <c r="AB48" s="1" t="s">
        <v>124</v>
      </c>
    </row>
    <row r="49" spans="1:33" x14ac:dyDescent="0.3">
      <c r="A49" t="s">
        <v>154</v>
      </c>
      <c r="B49" s="1"/>
      <c r="C49" s="1"/>
      <c r="D49" s="1"/>
      <c r="E49" s="1"/>
      <c r="F49" s="1"/>
      <c r="G49" s="1"/>
      <c r="H49" s="1"/>
      <c r="I49" s="1"/>
      <c r="J49" s="1"/>
      <c r="L49" s="1"/>
      <c r="M49" s="1"/>
      <c r="N49" s="1"/>
      <c r="O49" s="1"/>
      <c r="P49" s="1"/>
      <c r="Q49" s="82"/>
      <c r="R49" s="1"/>
      <c r="S49" s="1"/>
      <c r="T49" s="1"/>
      <c r="U49" s="1"/>
      <c r="V49" s="1"/>
      <c r="W49" s="1"/>
      <c r="X49" s="1"/>
      <c r="Y49" s="1">
        <v>7500</v>
      </c>
      <c r="Z49" s="1"/>
    </row>
    <row r="50" spans="1:33" s="61" customFormat="1" x14ac:dyDescent="0.3">
      <c r="A50" s="61" t="s">
        <v>155</v>
      </c>
      <c r="B50" s="62"/>
      <c r="C50" s="62"/>
      <c r="D50" s="62"/>
      <c r="E50" s="62"/>
      <c r="F50" s="62"/>
      <c r="G50" s="62"/>
      <c r="H50" s="62"/>
      <c r="I50" s="62"/>
      <c r="J50" s="62"/>
      <c r="L50" s="62"/>
      <c r="M50" s="62"/>
      <c r="N50" s="62"/>
      <c r="O50" s="62"/>
      <c r="P50" s="62"/>
      <c r="Q50" s="85"/>
      <c r="R50" s="62"/>
      <c r="S50" s="62"/>
      <c r="T50" s="62"/>
      <c r="U50" s="62"/>
      <c r="V50" s="62"/>
      <c r="W50" s="62"/>
      <c r="X50" s="62">
        <f>20000/10</f>
        <v>2000</v>
      </c>
      <c r="Y50" s="62">
        <f t="shared" ref="Y50:Z50" si="1">20000/10</f>
        <v>2000</v>
      </c>
      <c r="Z50" s="62">
        <f t="shared" si="1"/>
        <v>2000</v>
      </c>
      <c r="AA50" s="62"/>
      <c r="AB50" s="62" t="s">
        <v>136</v>
      </c>
      <c r="AC50" s="62"/>
      <c r="AD50" s="62"/>
      <c r="AE50" s="62"/>
      <c r="AF50" s="62"/>
      <c r="AG50" s="62"/>
    </row>
    <row r="51" spans="1:33" x14ac:dyDescent="0.3">
      <c r="B51" s="1"/>
      <c r="C51" s="1"/>
      <c r="D51" s="1"/>
      <c r="E51" s="1"/>
      <c r="F51" s="1"/>
      <c r="G51" s="1"/>
      <c r="H51" s="1"/>
      <c r="I51" s="1"/>
      <c r="J51" s="1"/>
      <c r="L51" s="1"/>
      <c r="M51" s="1"/>
      <c r="N51" s="1"/>
      <c r="O51" s="1"/>
      <c r="P51" s="1"/>
      <c r="Q51" s="82"/>
      <c r="R51" s="1"/>
      <c r="S51" s="1"/>
      <c r="T51" s="1"/>
      <c r="U51" s="1"/>
      <c r="V51" s="1"/>
      <c r="W51" s="1"/>
      <c r="X51" s="1"/>
      <c r="Y51" s="1"/>
      <c r="Z51" s="1"/>
    </row>
    <row r="52" spans="1:33" x14ac:dyDescent="0.3">
      <c r="B52" s="33">
        <f>SUM(B3:B51)</f>
        <v>157750</v>
      </c>
      <c r="C52" s="33">
        <f t="shared" ref="C52:Z52" si="2">SUM(C3:C51)</f>
        <v>0</v>
      </c>
      <c r="D52" s="33">
        <f t="shared" si="2"/>
        <v>86500</v>
      </c>
      <c r="E52" s="33">
        <f t="shared" si="2"/>
        <v>53957.17</v>
      </c>
      <c r="F52" s="33">
        <f t="shared" si="2"/>
        <v>2719.06</v>
      </c>
      <c r="G52" s="33">
        <f t="shared" si="2"/>
        <v>37292.83</v>
      </c>
      <c r="H52" s="33">
        <f t="shared" si="2"/>
        <v>6250</v>
      </c>
      <c r="I52" s="33">
        <f t="shared" si="2"/>
        <v>29500</v>
      </c>
      <c r="J52" s="33">
        <f t="shared" si="2"/>
        <v>14500</v>
      </c>
      <c r="K52" s="33">
        <f t="shared" si="2"/>
        <v>35000</v>
      </c>
      <c r="L52" s="33">
        <f t="shared" si="2"/>
        <v>2000</v>
      </c>
      <c r="M52" s="33">
        <f t="shared" si="2"/>
        <v>9500</v>
      </c>
      <c r="N52" s="33">
        <f t="shared" si="2"/>
        <v>12000</v>
      </c>
      <c r="O52" s="33">
        <f t="shared" si="2"/>
        <v>142000</v>
      </c>
      <c r="P52" s="33">
        <f t="shared" si="2"/>
        <v>48000</v>
      </c>
      <c r="Q52" s="86">
        <f t="shared" si="2"/>
        <v>72000</v>
      </c>
      <c r="R52" s="33">
        <f t="shared" si="2"/>
        <v>2000</v>
      </c>
      <c r="S52" s="33">
        <f t="shared" si="2"/>
        <v>62000</v>
      </c>
      <c r="T52" s="33">
        <f t="shared" si="2"/>
        <v>7000</v>
      </c>
      <c r="U52" s="33">
        <f t="shared" si="2"/>
        <v>2000</v>
      </c>
      <c r="V52" s="33">
        <f t="shared" si="2"/>
        <v>34000</v>
      </c>
      <c r="W52" s="33">
        <f t="shared" si="2"/>
        <v>5000</v>
      </c>
      <c r="X52" s="33">
        <f t="shared" si="2"/>
        <v>2000</v>
      </c>
      <c r="Y52" s="33">
        <f t="shared" si="2"/>
        <v>9500</v>
      </c>
      <c r="Z52" s="33">
        <f t="shared" si="2"/>
        <v>158250</v>
      </c>
      <c r="AA52" s="33">
        <f>SUM(B52:Z52)</f>
        <v>990719.06</v>
      </c>
    </row>
    <row r="53" spans="1:3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82"/>
      <c r="R53" s="1"/>
      <c r="S53" s="1"/>
      <c r="T53" s="1"/>
      <c r="U53" s="1"/>
      <c r="V53" s="1"/>
      <c r="W53" s="1"/>
      <c r="X53" s="1"/>
      <c r="Y53" s="1"/>
      <c r="Z53" s="1"/>
    </row>
    <row r="54" spans="1:3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82"/>
      <c r="R54" s="1"/>
      <c r="S54" s="1"/>
      <c r="T54" s="1"/>
      <c r="U54" s="1"/>
      <c r="V54" s="1"/>
      <c r="W54" s="1"/>
      <c r="X54" s="1"/>
      <c r="Y54" s="1"/>
      <c r="Z54" s="1"/>
    </row>
    <row r="55" spans="1:33" x14ac:dyDescent="0.3">
      <c r="A55" t="s">
        <v>156</v>
      </c>
      <c r="B55" s="1"/>
      <c r="C55" s="1">
        <f>1000+1000+1000</f>
        <v>3000</v>
      </c>
      <c r="D55" s="1">
        <v>25000</v>
      </c>
      <c r="E55" s="1"/>
      <c r="F55" s="1"/>
      <c r="G55" s="39"/>
      <c r="H55" s="1"/>
      <c r="I55" s="1"/>
      <c r="J55" s="1"/>
      <c r="K55" s="57">
        <f>5000+1000+4000+5000</f>
        <v>15000</v>
      </c>
      <c r="L55" s="1"/>
      <c r="M55" s="1"/>
      <c r="N55" s="1"/>
      <c r="O55" s="1">
        <f>1000+1000+1000</f>
        <v>3000</v>
      </c>
      <c r="P55" s="1"/>
      <c r="Q55" s="82"/>
      <c r="R55" s="1"/>
      <c r="S55" s="1"/>
      <c r="T55" s="1"/>
      <c r="U55" s="1"/>
      <c r="V55" s="1"/>
      <c r="W55" s="1"/>
      <c r="X55" s="1"/>
      <c r="Y55" s="1"/>
      <c r="Z55" s="1"/>
    </row>
    <row r="56" spans="1:33" x14ac:dyDescent="0.3">
      <c r="A56" t="s">
        <v>157</v>
      </c>
      <c r="B56" s="1"/>
      <c r="C56" s="1"/>
      <c r="D56" s="1"/>
      <c r="E56" s="1">
        <f>D56</f>
        <v>0</v>
      </c>
      <c r="F56" s="1">
        <f t="shared" ref="F56:G56" si="3">E56</f>
        <v>0</v>
      </c>
      <c r="G56" s="1">
        <f t="shared" si="3"/>
        <v>0</v>
      </c>
      <c r="H56" s="1"/>
      <c r="I56" s="1"/>
      <c r="J56" s="1"/>
      <c r="K56" s="1"/>
      <c r="L56" s="1"/>
      <c r="M56" s="1"/>
      <c r="N56" s="1"/>
      <c r="O56" s="1"/>
      <c r="P56" s="1">
        <f>2650/4</f>
        <v>662.5</v>
      </c>
      <c r="Q56" s="82">
        <f>P56</f>
        <v>662.5</v>
      </c>
      <c r="R56" s="1">
        <f>Q56</f>
        <v>662.5</v>
      </c>
      <c r="S56" s="1">
        <f>R56</f>
        <v>662.5</v>
      </c>
      <c r="T56" s="1"/>
      <c r="U56" s="1"/>
      <c r="V56" s="1"/>
      <c r="W56" s="1"/>
      <c r="X56" s="1"/>
      <c r="Y56" s="1"/>
      <c r="Z56" s="1"/>
    </row>
    <row r="57" spans="1:33" x14ac:dyDescent="0.3">
      <c r="A57" t="s">
        <v>158</v>
      </c>
      <c r="B57" s="1"/>
      <c r="C57" s="1">
        <v>5000</v>
      </c>
      <c r="D57" s="1"/>
      <c r="E57" s="1">
        <v>5000</v>
      </c>
      <c r="F57" s="1">
        <v>5000</v>
      </c>
      <c r="G57" s="39"/>
      <c r="H57" s="1"/>
      <c r="I57" s="1"/>
      <c r="J57" s="1"/>
      <c r="K57" s="1"/>
      <c r="L57" s="1"/>
      <c r="M57" s="1"/>
      <c r="N57" s="1"/>
      <c r="O57" s="1">
        <v>5000</v>
      </c>
      <c r="P57" s="1">
        <v>5000</v>
      </c>
      <c r="Q57" s="82">
        <v>5000</v>
      </c>
      <c r="R57" s="1">
        <v>5000</v>
      </c>
      <c r="S57" s="1"/>
      <c r="T57" s="1"/>
      <c r="U57" s="1"/>
      <c r="V57" s="1"/>
      <c r="W57" s="1"/>
      <c r="X57" s="1"/>
      <c r="Y57" s="1"/>
      <c r="Z57" s="1"/>
    </row>
    <row r="58" spans="1:33" x14ac:dyDescent="0.3">
      <c r="B58" s="33">
        <f>SUM(B55:B57)</f>
        <v>0</v>
      </c>
      <c r="C58" s="33">
        <f>SUM(C55:C57)</f>
        <v>8000</v>
      </c>
      <c r="D58" s="33">
        <f t="shared" ref="D58:J58" si="4">SUM(D55:D57)</f>
        <v>25000</v>
      </c>
      <c r="E58" s="33">
        <f t="shared" si="4"/>
        <v>5000</v>
      </c>
      <c r="F58" s="33">
        <f t="shared" si="4"/>
        <v>5000</v>
      </c>
      <c r="G58" s="33">
        <f t="shared" si="4"/>
        <v>0</v>
      </c>
      <c r="H58" s="33">
        <f t="shared" si="4"/>
        <v>0</v>
      </c>
      <c r="I58" s="33">
        <f t="shared" si="4"/>
        <v>0</v>
      </c>
      <c r="J58" s="33">
        <f t="shared" si="4"/>
        <v>0</v>
      </c>
      <c r="K58" s="33">
        <f t="shared" ref="K58:Z58" si="5">SUM(K55:K57)</f>
        <v>15000</v>
      </c>
      <c r="L58" s="33">
        <f t="shared" si="5"/>
        <v>0</v>
      </c>
      <c r="M58" s="33">
        <f t="shared" si="5"/>
        <v>0</v>
      </c>
      <c r="N58" s="33">
        <f t="shared" si="5"/>
        <v>0</v>
      </c>
      <c r="O58" s="33">
        <f t="shared" si="5"/>
        <v>8000</v>
      </c>
      <c r="P58" s="33">
        <f t="shared" si="5"/>
        <v>5662.5</v>
      </c>
      <c r="Q58" s="86">
        <f t="shared" si="5"/>
        <v>5662.5</v>
      </c>
      <c r="R58" s="33">
        <f t="shared" si="5"/>
        <v>5662.5</v>
      </c>
      <c r="S58" s="33">
        <f t="shared" si="5"/>
        <v>662.5</v>
      </c>
      <c r="T58" s="33">
        <f t="shared" si="5"/>
        <v>0</v>
      </c>
      <c r="U58" s="33">
        <f t="shared" si="5"/>
        <v>0</v>
      </c>
      <c r="V58" s="33">
        <f t="shared" si="5"/>
        <v>0</v>
      </c>
      <c r="W58" s="33">
        <f t="shared" si="5"/>
        <v>0</v>
      </c>
      <c r="X58" s="33">
        <f t="shared" si="5"/>
        <v>0</v>
      </c>
      <c r="Y58" s="33">
        <f t="shared" si="5"/>
        <v>0</v>
      </c>
      <c r="Z58" s="33">
        <f t="shared" si="5"/>
        <v>0</v>
      </c>
      <c r="AA58" s="33">
        <f>SUM(B58:Z58)</f>
        <v>83650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C55A9E00E22946AB07B5F4D0C64B6D" ma:contentTypeVersion="20" ma:contentTypeDescription="Create a new document." ma:contentTypeScope="" ma:versionID="b61850e13c72352f79f8cc2c22a1ab87">
  <xsd:schema xmlns:xsd="http://www.w3.org/2001/XMLSchema" xmlns:xs="http://www.w3.org/2001/XMLSchema" xmlns:p="http://schemas.microsoft.com/office/2006/metadata/properties" xmlns:ns2="f6187337-87de-4061-91f5-0c8957ce4dd4" xmlns:ns3="4ea78c13-b803-4be9-9327-5efb0580a955" targetNamespace="http://schemas.microsoft.com/office/2006/metadata/properties" ma:root="true" ma:fieldsID="4c121265c5559c4474c80a1eadaecbcf" ns2:_="" ns3:_="">
    <xsd:import namespace="f6187337-87de-4061-91f5-0c8957ce4dd4"/>
    <xsd:import namespace="4ea78c13-b803-4be9-9327-5efb0580a9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Date" minOccurs="0"/>
                <xsd:element ref="ns2:Tes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187337-87de-4061-91f5-0c8957ce4d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4c70a98-d66e-454d-b3e1-7be06a111f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Test" ma:index="25" nillable="true" ma:displayName="Test" ma:format="DateTime" ma:internalName="Test">
      <xsd:simpleType>
        <xsd:restriction base="dms:DateTim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78c13-b803-4be9-9327-5efb0580a95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54a18c8-7268-46d1-a645-3cef625815d3}" ma:internalName="TaxCatchAll" ma:showField="CatchAllData" ma:web="4ea78c13-b803-4be9-9327-5efb0580a9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187337-87de-4061-91f5-0c8957ce4dd4">
      <Terms xmlns="http://schemas.microsoft.com/office/infopath/2007/PartnerControls"/>
    </lcf76f155ced4ddcb4097134ff3c332f>
    <Test xmlns="f6187337-87de-4061-91f5-0c8957ce4dd4" xsi:nil="true"/>
    <TaxCatchAll xmlns="4ea78c13-b803-4be9-9327-5efb0580a955" xsi:nil="true"/>
    <Date xmlns="f6187337-87de-4061-91f5-0c8957ce4dd4" xsi:nil="true"/>
  </documentManagement>
</p:properties>
</file>

<file path=customXml/itemProps1.xml><?xml version="1.0" encoding="utf-8"?>
<ds:datastoreItem xmlns:ds="http://schemas.openxmlformats.org/officeDocument/2006/customXml" ds:itemID="{FE8CA746-A084-4A79-907D-0614F31A3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187337-87de-4061-91f5-0c8957ce4dd4"/>
    <ds:schemaRef ds:uri="4ea78c13-b803-4be9-9327-5efb0580a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544E6A-84A9-465C-9AAB-9EFA80515D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5DFB9-BB65-4384-9376-3DC79FC2C221}">
  <ds:schemaRefs>
    <ds:schemaRef ds:uri="http://schemas.microsoft.com/office/2006/metadata/properties"/>
    <ds:schemaRef ds:uri="http://schemas.microsoft.com/office/infopath/2007/PartnerControls"/>
    <ds:schemaRef ds:uri="f6187337-87de-4061-91f5-0c8957ce4dd4"/>
    <ds:schemaRef ds:uri="4ea78c13-b803-4be9-9327-5efb0580a9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forecast JKL</vt:lpstr>
      <vt:lpstr>forecast JKL 2 yr</vt:lpstr>
      <vt:lpstr>Salary</vt:lpstr>
      <vt:lpstr>Grant&amp;Donations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Jodie Ostoich</dc:creator>
  <cp:keywords/>
  <dc:description/>
  <cp:lastModifiedBy>Anna Rini</cp:lastModifiedBy>
  <cp:revision/>
  <dcterms:created xsi:type="dcterms:W3CDTF">2025-10-02T14:17:49Z</dcterms:created>
  <dcterms:modified xsi:type="dcterms:W3CDTF">2025-11-18T17:57:24Z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0x010100F4C55A9E00E22946AB07B5F4D0C64B6D</vt:lpwstr>
  </property>
  <property fmtid="{D5CDD505-2E9C-101B-9397-08002B2CF9AE}" pid="3" name="MediaServiceImageTags">
    <vt:lpwstr/>
  </property>
</Properties>
</file>