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brockhamparish-my.sharepoint.com/personal/clerk_brockhamparish_onmicrosoft_com/Documents/BPC Folders/Finance &amp; Audit/Finance/Budgets/Budget 2025 2026/"/>
    </mc:Choice>
  </mc:AlternateContent>
  <xr:revisionPtr revIDLastSave="0" documentId="8_{886FF505-F0F4-403A-9DF7-B0012B4E7E1B}" xr6:coauthVersionLast="47" xr6:coauthVersionMax="47" xr10:uidLastSave="{00000000-0000-0000-0000-000000000000}"/>
  <bookViews>
    <workbookView xWindow="-120" yWindow="-120" windowWidth="29040" windowHeight="16440" tabRatio="723" activeTab="1" xr2:uid="{00000000-000D-0000-FFFF-FFFF00000000}"/>
  </bookViews>
  <sheets>
    <sheet name="Snapshot" sheetId="2" r:id="rId1"/>
    <sheet name="Draft Budget 2025-2026 No chang" sheetId="1" r:id="rId2"/>
    <sheet name="Concurrent Grant spend" sheetId="9" state="hidden" r:id="rId3"/>
    <sheet name="Allotments" sheetId="8" state="hidden" r:id="rId4"/>
    <sheet name="Salary" sheetId="6" state="hidden" r:id="rId5"/>
    <sheet name="Clerk expenses" sheetId="7" state="hidden" r:id="rId6"/>
    <sheet name="Ring Fenced" sheetId="4" state="hidden" r:id="rId7"/>
    <sheet name="Tax Basis Calc" sheetId="5" state="hidden" r:id="rId8"/>
    <sheet name="Appendix" sheetId="3" state="hidden" r:id="rId9"/>
  </sheets>
  <externalReferences>
    <externalReference r:id="rId10"/>
  </externalReferences>
  <definedNames>
    <definedName name="_xlnm.Print_Area" localSheetId="1">'Draft Budget 2025-2026 No chang'!$H$1:$R$81</definedName>
    <definedName name="_xlnm.Print_Area" localSheetId="0">Snapshot!$A$1:$N$32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F6" i="5"/>
  <c r="G5" i="5"/>
  <c r="G4" i="5"/>
  <c r="B7" i="2"/>
  <c r="B17" i="2" l="1"/>
  <c r="B16" i="2"/>
  <c r="B12" i="2"/>
  <c r="K4" i="1"/>
  <c r="K9" i="1"/>
  <c r="G12" i="5"/>
  <c r="N15" i="1"/>
  <c r="B18" i="6"/>
  <c r="D20" i="7"/>
  <c r="D15" i="7"/>
  <c r="D11" i="7"/>
  <c r="D9" i="7"/>
  <c r="D10" i="7"/>
  <c r="D8" i="7"/>
  <c r="C9" i="7"/>
  <c r="C10" i="7"/>
  <c r="C8" i="7"/>
  <c r="C14" i="6"/>
  <c r="B14" i="6"/>
  <c r="K40" i="1"/>
  <c r="K39" i="1"/>
  <c r="K38" i="1"/>
  <c r="K37" i="1"/>
  <c r="K36" i="1"/>
  <c r="K35" i="1"/>
  <c r="K34" i="1"/>
  <c r="K33" i="1"/>
  <c r="K32" i="1"/>
  <c r="K31" i="1"/>
  <c r="K30" i="1"/>
  <c r="K29" i="1"/>
  <c r="K28" i="1"/>
  <c r="K27" i="1"/>
  <c r="K26" i="1"/>
  <c r="M26" i="1" s="1"/>
  <c r="K25" i="1"/>
  <c r="K24" i="1"/>
  <c r="K23" i="1"/>
  <c r="K22" i="1"/>
  <c r="K21" i="1"/>
  <c r="K20" i="1"/>
  <c r="K19" i="1"/>
  <c r="K16" i="1"/>
  <c r="L16" i="1" s="1"/>
  <c r="K18" i="1"/>
  <c r="K15" i="1"/>
  <c r="M15" i="1" s="1"/>
  <c r="K14" i="1"/>
  <c r="M14" i="1" s="1"/>
  <c r="K13" i="1"/>
  <c r="M6" i="1"/>
  <c r="M7" i="1"/>
  <c r="M8" i="1"/>
  <c r="M10" i="1"/>
  <c r="K10" i="1"/>
  <c r="K6" i="1"/>
  <c r="K5" i="1"/>
  <c r="K3" i="1"/>
  <c r="K41" i="1" l="1"/>
  <c r="M13" i="1"/>
  <c r="J41" i="1"/>
  <c r="J44" i="1" s="1"/>
  <c r="J45" i="1" s="1"/>
  <c r="J11" i="1"/>
  <c r="J43" i="1" s="1"/>
  <c r="D6" i="5"/>
  <c r="B20" i="5" l="1"/>
  <c r="B19" i="5"/>
  <c r="B18" i="5"/>
  <c r="B17" i="5"/>
  <c r="B16" i="5"/>
  <c r="B15" i="5"/>
  <c r="B14" i="5"/>
  <c r="B13" i="5"/>
  <c r="B6" i="5"/>
  <c r="O7" i="1"/>
  <c r="O8" i="1"/>
  <c r="O9" i="1"/>
  <c r="O10" i="1"/>
  <c r="P6" i="1"/>
  <c r="P7" i="1"/>
  <c r="P8" i="1"/>
  <c r="P9" i="1"/>
  <c r="P10" i="1"/>
  <c r="D8" i="5"/>
  <c r="D20" i="5"/>
  <c r="E5" i="5"/>
  <c r="E4" i="5"/>
  <c r="D19" i="5" l="1"/>
  <c r="E19" i="5" s="1"/>
  <c r="D15" i="5"/>
  <c r="E15" i="5" s="1"/>
  <c r="D16" i="5"/>
  <c r="E16" i="5" s="1"/>
  <c r="D18" i="5"/>
  <c r="E18" i="5" s="1"/>
  <c r="D13" i="5"/>
  <c r="E13" i="5" s="1"/>
  <c r="D14" i="5"/>
  <c r="E14" i="5" s="1"/>
  <c r="E20" i="5"/>
  <c r="D17" i="5"/>
  <c r="E17" i="5" s="1"/>
  <c r="E6" i="5"/>
  <c r="F9" i="2" l="1"/>
  <c r="B6" i="2" s="1"/>
  <c r="L31" i="1"/>
  <c r="L18" i="1"/>
  <c r="L19" i="1"/>
  <c r="L20" i="1"/>
  <c r="L21" i="1"/>
  <c r="L22" i="1"/>
  <c r="L23" i="1"/>
  <c r="L27" i="1"/>
  <c r="L28" i="1"/>
  <c r="L29" i="1"/>
  <c r="L30" i="1"/>
  <c r="L32" i="1"/>
  <c r="L33" i="1"/>
  <c r="L34" i="1"/>
  <c r="L35" i="1"/>
  <c r="L36" i="1"/>
  <c r="L37" i="1"/>
  <c r="L38" i="1"/>
  <c r="L39" i="1"/>
  <c r="Q40" i="1"/>
  <c r="Q39" i="1"/>
  <c r="Q38" i="1"/>
  <c r="Q37" i="1"/>
  <c r="Q36" i="1"/>
  <c r="Q35" i="1"/>
  <c r="Q34" i="1"/>
  <c r="Q33" i="1"/>
  <c r="Q32" i="1"/>
  <c r="Q31" i="1"/>
  <c r="Q30" i="1"/>
  <c r="Q29" i="1"/>
  <c r="Q28" i="1"/>
  <c r="Q27" i="1"/>
  <c r="Q26" i="1"/>
  <c r="Q25" i="1"/>
  <c r="Q23" i="1"/>
  <c r="Q22" i="1"/>
  <c r="Q21" i="1"/>
  <c r="Q20" i="1"/>
  <c r="Q19" i="1"/>
  <c r="Q18" i="1"/>
  <c r="Q17" i="1"/>
  <c r="Q16" i="1"/>
  <c r="Q15" i="1"/>
  <c r="Q14" i="1"/>
  <c r="Q13" i="1"/>
  <c r="Q10" i="1"/>
  <c r="Q9" i="1"/>
  <c r="Q8" i="1"/>
  <c r="Q7"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6" i="1"/>
  <c r="O5" i="1"/>
  <c r="O4" i="1"/>
  <c r="O3" i="1"/>
  <c r="R40" i="1"/>
  <c r="R39" i="1"/>
  <c r="R38" i="1"/>
  <c r="R37" i="1"/>
  <c r="R36" i="1"/>
  <c r="R35" i="1"/>
  <c r="R34" i="1"/>
  <c r="R33" i="1"/>
  <c r="R32" i="1"/>
  <c r="R31" i="1"/>
  <c r="R30" i="1"/>
  <c r="R29" i="1"/>
  <c r="R28" i="1"/>
  <c r="R27" i="1"/>
  <c r="R26" i="1"/>
  <c r="R25" i="1"/>
  <c r="R23" i="1"/>
  <c r="R22" i="1"/>
  <c r="R21" i="1"/>
  <c r="R20" i="1"/>
  <c r="R19" i="1"/>
  <c r="R18" i="1"/>
  <c r="R17" i="1"/>
  <c r="R16" i="1"/>
  <c r="R15" i="1"/>
  <c r="R14" i="1"/>
  <c r="R13" i="1"/>
  <c r="R10" i="1"/>
  <c r="R9" i="1"/>
  <c r="R8" i="1"/>
  <c r="R7" i="1"/>
  <c r="P39" i="1"/>
  <c r="P40" i="1"/>
  <c r="P38" i="1"/>
  <c r="P37" i="1"/>
  <c r="P36" i="1"/>
  <c r="P35" i="1"/>
  <c r="P34" i="1"/>
  <c r="P33" i="1"/>
  <c r="P32" i="1"/>
  <c r="P31" i="1"/>
  <c r="P30" i="1"/>
  <c r="P29" i="1"/>
  <c r="P28" i="1"/>
  <c r="P27" i="1"/>
  <c r="P26" i="1"/>
  <c r="P25" i="1"/>
  <c r="P24" i="1"/>
  <c r="P23" i="1"/>
  <c r="P22" i="1"/>
  <c r="P21" i="1"/>
  <c r="P20" i="1"/>
  <c r="P19" i="1"/>
  <c r="P18" i="1"/>
  <c r="P17" i="1"/>
  <c r="P16" i="1"/>
  <c r="P15" i="1"/>
  <c r="P13" i="1"/>
  <c r="P12" i="1"/>
  <c r="P5" i="1"/>
  <c r="P4" i="1"/>
  <c r="P3" i="1"/>
  <c r="P14" i="1"/>
  <c r="Q12" i="1"/>
  <c r="O12" i="1"/>
  <c r="K16" i="4"/>
  <c r="E12" i="4"/>
  <c r="M16" i="4" s="1"/>
  <c r="B18" i="2"/>
  <c r="O16" i="4" l="1"/>
  <c r="N11" i="1" l="1"/>
  <c r="K11" i="1"/>
  <c r="K43" i="1" s="1"/>
  <c r="B77" i="1"/>
  <c r="F13" i="1"/>
  <c r="F93" i="1" s="1"/>
  <c r="B13" i="1"/>
  <c r="B93" i="1" s="1"/>
  <c r="F77" i="1"/>
  <c r="E88" i="1"/>
  <c r="E87" i="1"/>
  <c r="E86" i="1"/>
  <c r="D93" i="1"/>
  <c r="C93" i="1"/>
  <c r="E13" i="1"/>
  <c r="E93" i="1" s="1"/>
  <c r="P11" i="1" l="1"/>
  <c r="N43" i="1"/>
  <c r="O11" i="1"/>
  <c r="B94" i="1"/>
  <c r="B95" i="1" s="1"/>
  <c r="K44" i="1"/>
  <c r="K45" i="1" s="1"/>
  <c r="N41" i="1"/>
  <c r="B21" i="2" s="1"/>
  <c r="B28" i="2" s="1"/>
  <c r="C89" i="1"/>
  <c r="O43" i="1" l="1"/>
  <c r="P43" i="1"/>
  <c r="P41" i="1"/>
  <c r="O41" i="1"/>
  <c r="N44" i="1"/>
  <c r="N45" i="1" l="1"/>
  <c r="P44" i="1"/>
  <c r="O44" i="1"/>
  <c r="P45" i="1" l="1"/>
  <c r="O45" i="1"/>
  <c r="Q6" i="1"/>
  <c r="R6" i="1"/>
  <c r="Q5" i="1"/>
  <c r="R5" i="1"/>
  <c r="Q4" i="1"/>
  <c r="R4" i="1"/>
  <c r="R3" i="1"/>
  <c r="Q3" i="1"/>
  <c r="M11" i="1"/>
  <c r="M43" i="1" s="1"/>
  <c r="L11" i="1"/>
  <c r="L43" i="1" s="1"/>
  <c r="Q43" i="1" l="1"/>
  <c r="R43" i="1"/>
  <c r="Q11" i="1"/>
  <c r="R11" i="1"/>
  <c r="M41" i="1"/>
  <c r="R41" i="1" s="1"/>
  <c r="R24" i="1"/>
  <c r="L24" i="1"/>
  <c r="L41" i="1" s="1"/>
  <c r="Q24" i="1"/>
  <c r="L44" i="1" l="1"/>
  <c r="L45" i="1" s="1"/>
  <c r="B8" i="2"/>
  <c r="B9" i="2" s="1"/>
  <c r="Q41" i="1"/>
  <c r="M44" i="1"/>
  <c r="B30" i="2" l="1"/>
  <c r="B32" i="2" s="1"/>
  <c r="R44" i="1"/>
  <c r="Q44" i="1"/>
  <c r="M45" i="1"/>
  <c r="Q45" i="1" l="1"/>
  <c r="R4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<sst xmlns="http://schemas.openxmlformats.org/spreadsheetml/2006/main" count="275" uniqueCount="251">
  <si>
    <t>ACTUAL to Date</t>
  </si>
  <si>
    <t>Forecast</t>
  </si>
  <si>
    <t>Total to</t>
  </si>
  <si>
    <t>to Outturn</t>
  </si>
  <si>
    <t>Outturn</t>
  </si>
  <si>
    <t>INCOME</t>
  </si>
  <si>
    <t>Precept</t>
  </si>
  <si>
    <t>MVDC Concurrent spending payment</t>
  </si>
  <si>
    <t>TOTAL INCOME</t>
  </si>
  <si>
    <t>EXPENDITURE - ADMINISTRATION</t>
  </si>
  <si>
    <t>Councillor Expenses</t>
  </si>
  <si>
    <t xml:space="preserve"> - Maintenance</t>
  </si>
  <si>
    <t xml:space="preserve"> - Utilities</t>
  </si>
  <si>
    <t xml:space="preserve">                                                    sub total</t>
  </si>
  <si>
    <t xml:space="preserve">                                                     sub total </t>
  </si>
  <si>
    <t>Charlwood Play equipment</t>
  </si>
  <si>
    <t xml:space="preserve"> - repairs + maintenance</t>
  </si>
  <si>
    <t xml:space="preserve">                                                     sub total</t>
  </si>
  <si>
    <t>Hookwood Withey</t>
  </si>
  <si>
    <t>Hookwood Play equipment</t>
  </si>
  <si>
    <t>Millennium field</t>
  </si>
  <si>
    <t>repairs and maintenance</t>
  </si>
  <si>
    <t>Glebe Field</t>
  </si>
  <si>
    <t xml:space="preserve"> - Rent</t>
  </si>
  <si>
    <t xml:space="preserve"> - Costs</t>
  </si>
  <si>
    <t>TOTAL EXPENSES-AMENITIES</t>
  </si>
  <si>
    <t>EXPENDITURE - HIGHWAYS, F/PATHS ETC</t>
  </si>
  <si>
    <t>Rights of Way maintenance</t>
  </si>
  <si>
    <t>Notice boards, war memorial</t>
  </si>
  <si>
    <t>Highways Maintenance</t>
  </si>
  <si>
    <t>TOTAL EXPENSES-HIGHWAYS,F/PATHS ETC</t>
  </si>
  <si>
    <t>EXPENDITURE - MISCELLANEOUS</t>
  </si>
  <si>
    <t>Defibrillator</t>
  </si>
  <si>
    <t>Contingency - general</t>
  </si>
  <si>
    <t>Election expenses</t>
  </si>
  <si>
    <t>Vandalism/Other misc</t>
  </si>
  <si>
    <t>TOTAL EXPENSES-MISCELLANEOUS</t>
  </si>
  <si>
    <t>Reserves increase for Capital Items</t>
  </si>
  <si>
    <t>TOTAL  INCOME</t>
  </si>
  <si>
    <t>TOTAL  EXPENSES</t>
  </si>
  <si>
    <t>SURPLUS/(DEFICIT)</t>
  </si>
  <si>
    <t>Office expenses including telephones, Clerk's expenses</t>
  </si>
  <si>
    <t>(travel, broadband, phones etc), office equipment</t>
  </si>
  <si>
    <t>(computers, stationery, postage, print cartridges etc)</t>
  </si>
  <si>
    <t xml:space="preserve"> - Maintenance - general &amp; football pitch; equipment +</t>
  </si>
  <si>
    <t xml:space="preserve">machinery repairs + maintenance; fuel; pollarding; waste </t>
  </si>
  <si>
    <t>collection</t>
  </si>
  <si>
    <t>Sundry revenue income (Covid Grants, CIL Money,</t>
  </si>
  <si>
    <t>other MVDC grants)</t>
  </si>
  <si>
    <t>Miscellaneous maintenance</t>
  </si>
  <si>
    <t>2022/23</t>
  </si>
  <si>
    <t>Draft Budget</t>
  </si>
  <si>
    <t xml:space="preserve">Brickfield Lane </t>
  </si>
  <si>
    <t>2023/24</t>
  </si>
  <si>
    <t>2022-23</t>
  </si>
  <si>
    <t>to end of Oct 22</t>
  </si>
  <si>
    <t>TOTAL SALARIES  -  Including HMRC payments</t>
  </si>
  <si>
    <t>BUDGET</t>
  </si>
  <si>
    <t>Charlwood Recreation Ground</t>
  </si>
  <si>
    <t xml:space="preserve">INCOME </t>
  </si>
  <si>
    <t xml:space="preserve">Precept </t>
  </si>
  <si>
    <t xml:space="preserve">Bank Interest </t>
  </si>
  <si>
    <t xml:space="preserve">Other Receipts </t>
  </si>
  <si>
    <t xml:space="preserve">CIL Payments </t>
  </si>
  <si>
    <t xml:space="preserve">VAT Reclaim </t>
  </si>
  <si>
    <t xml:space="preserve">TOTAL INCOME </t>
  </si>
  <si>
    <t>Insurance</t>
  </si>
  <si>
    <t xml:space="preserve">PAYMENTS </t>
  </si>
  <si>
    <t>TOTAL PAYMENTS</t>
  </si>
  <si>
    <t>Total Income</t>
  </si>
  <si>
    <t xml:space="preserve">Total Outgoings </t>
  </si>
  <si>
    <t xml:space="preserve">Surplus/Deficit </t>
  </si>
  <si>
    <t>Concurrent Service Payment</t>
  </si>
  <si>
    <t>CT Support Scheme Payment</t>
  </si>
  <si>
    <t>Allotment Income</t>
  </si>
  <si>
    <t>£</t>
  </si>
  <si>
    <t>BPC</t>
  </si>
  <si>
    <t xml:space="preserve"> </t>
  </si>
  <si>
    <t>Total Predicted Council running costs</t>
  </si>
  <si>
    <t>Total predicted projects Green Spaces</t>
  </si>
  <si>
    <t xml:space="preserve">Total Predicted </t>
  </si>
  <si>
    <t>Proposed Ring fenced funds</t>
  </si>
  <si>
    <t>Youth Account</t>
  </si>
  <si>
    <t>Allotment Deposits</t>
  </si>
  <si>
    <t>Elections</t>
  </si>
  <si>
    <t>Community and Environmental</t>
  </si>
  <si>
    <t>Legal Costs</t>
  </si>
  <si>
    <t>General reserves</t>
  </si>
  <si>
    <t>CIL</t>
  </si>
  <si>
    <t>Total Ringfenced funds</t>
  </si>
  <si>
    <t>Total funds</t>
  </si>
  <si>
    <t>Ring fenced</t>
  </si>
  <si>
    <t>Non ring fenced</t>
  </si>
  <si>
    <t>Funds @ 1/4/20</t>
  </si>
  <si>
    <t>Proposed new Funds 2024/25</t>
  </si>
  <si>
    <t>Green Spaces - EBF</t>
  </si>
  <si>
    <t>WL &amp; MS</t>
  </si>
  <si>
    <t>Pension</t>
  </si>
  <si>
    <t>Payroll admin expenses (external supplier)</t>
  </si>
  <si>
    <t>Council office expenses - website/ ICO/ Computer support/ Cloud back up</t>
  </si>
  <si>
    <t>Office/ Clerks expenses - (stationery)</t>
  </si>
  <si>
    <t>Clerks expenses - (Travel)</t>
  </si>
  <si>
    <t>SSALC/ SLCC subscriptions</t>
  </si>
  <si>
    <t>Professional fees - Audit - Internal and External</t>
  </si>
  <si>
    <t>Meeting costs/ hall hire</t>
  </si>
  <si>
    <t>Allotments water &amp; maint</t>
  </si>
  <si>
    <t>Maint. Of Green Spaces/ Village Maintenance/ Planters</t>
  </si>
  <si>
    <t>Big Field</t>
  </si>
  <si>
    <t>De-fibrillator</t>
  </si>
  <si>
    <t>War memorial</t>
  </si>
  <si>
    <t>Environmental/ Flood resilience</t>
  </si>
  <si>
    <t>Community Garden</t>
  </si>
  <si>
    <t>Highways</t>
  </si>
  <si>
    <t xml:space="preserve">Youth Council </t>
  </si>
  <si>
    <t>Election costs - Assume contested - circa £4,000</t>
  </si>
  <si>
    <t>Elizabeth Bailey Field</t>
  </si>
  <si>
    <t>Ref</t>
  </si>
  <si>
    <t>Legal Costs / Village Plan</t>
  </si>
  <si>
    <t>Community Events</t>
  </si>
  <si>
    <t xml:space="preserve"> Forecast Year End Budget 23/24 vs Draft 24/25 Delta (%) </t>
  </si>
  <si>
    <t>Temp Storage/office space</t>
  </si>
  <si>
    <t xml:space="preserve">CIL Funding </t>
  </si>
  <si>
    <t>MVDC Concurrent Service Payment</t>
  </si>
  <si>
    <t>MVDC CT Support Scheme Payment</t>
  </si>
  <si>
    <t>Treasurer Acct 1</t>
  </si>
  <si>
    <t>Treasurer Acct 2</t>
  </si>
  <si>
    <t>Treasurer Acct 3</t>
  </si>
  <si>
    <t>Treasurer Acct 4</t>
  </si>
  <si>
    <t>Business Bank Instant 1</t>
  </si>
  <si>
    <t>Business Bank Instant 2</t>
  </si>
  <si>
    <t>Last used 2021</t>
  </si>
  <si>
    <t>Last used 2017</t>
  </si>
  <si>
    <t>Current Treasurer Acct</t>
  </si>
  <si>
    <t>Last Used 2022</t>
  </si>
  <si>
    <t>Total Cash in Bank</t>
  </si>
  <si>
    <t>Proposed new for 2024/25 should new clerk chose to take up option</t>
  </si>
  <si>
    <t>Forecast lower than budget due to current capacity, receipts to date and requirement for maint. of sites (particularly WL) before looking at waiting list. 2024/25 Budget assumes budget for green spaces initiative(s)/ maint and new tenants</t>
  </si>
  <si>
    <t>2024/25 See Appendix - Assumes similar spend and allows for 2yr website charge</t>
  </si>
  <si>
    <t>2024/25 Allows provision if required for storing and sorting boxes of docs as required to move from salfords village Hall and Locum clerks garage (not insignificant amount of boxes and potentially of a sensitive financial and personal nature</t>
  </si>
  <si>
    <t>Proposed new for 2024/25 as councillors should be encouraged to cover their costs</t>
  </si>
  <si>
    <t>2024/25 increased as 2024 costs for insurance are reported on the rise</t>
  </si>
  <si>
    <t>Proposed new for 2024/25 for new councillors and clerk and opportunities for existing councillors</t>
  </si>
  <si>
    <t>2024/25 as prior years allowing small increase</t>
  </si>
  <si>
    <t>Propose 2024/25 this is replaced by 26 so direct accounting can be shown as to how MV £ spent</t>
  </si>
  <si>
    <t>See above (25) propose this includes inspection charges as well as maint.</t>
  </si>
  <si>
    <t>If cleaning and maint completed this financial year 2024/25 budget maybe reduced?</t>
  </si>
  <si>
    <t>Consider maint/project for this and £ for 2024/25?</t>
  </si>
  <si>
    <t>2023/24 budget for goal posts consider spend as part of project?</t>
  </si>
  <si>
    <t>With 2024/25 budget this allows reserve for Election costs (Assumes contested - circa £4,000)</t>
  </si>
  <si>
    <t>Predicted Spend Last Q</t>
  </si>
  <si>
    <t>Predicted Income Last Q*</t>
  </si>
  <si>
    <t>Ringfenced Deposits &amp; Elections</t>
  </si>
  <si>
    <t>Precept and Banding Calculator</t>
  </si>
  <si>
    <t>Increase</t>
  </si>
  <si>
    <t>Tax Base</t>
  </si>
  <si>
    <t>Band D</t>
  </si>
  <si>
    <t>Band D increase per £1,000 precept rise</t>
  </si>
  <si>
    <t>Full Breakdown by Band</t>
  </si>
  <si>
    <t>Current Year</t>
  </si>
  <si>
    <t>Next Year</t>
  </si>
  <si>
    <t>Weekly Increase</t>
  </si>
  <si>
    <t>Band A</t>
  </si>
  <si>
    <t>Band B</t>
  </si>
  <si>
    <t>Band C</t>
  </si>
  <si>
    <t>Band E</t>
  </si>
  <si>
    <t>Band F</t>
  </si>
  <si>
    <t>Band G</t>
  </si>
  <si>
    <t>Band H</t>
  </si>
  <si>
    <t>Instructions for use</t>
  </si>
  <si>
    <t>Enter the relevant figures into boxes a4, a5,c4 and c5 and the spreadsheet will work out the calculations. DO NOT enter any figures into any of the other boxes or you will lose the pre-set calculations.</t>
  </si>
  <si>
    <t xml:space="preserve">Used as Youth Acct </t>
  </si>
  <si>
    <t xml:space="preserve">Appendix </t>
  </si>
  <si>
    <t>Website/Domain Costs</t>
  </si>
  <si>
    <t>Clerks Remuneration</t>
  </si>
  <si>
    <t>Accounting &amp; Allotment software packages</t>
  </si>
  <si>
    <t>Bank Interest**</t>
  </si>
  <si>
    <t>Allotments***</t>
  </si>
  <si>
    <t>*</t>
  </si>
  <si>
    <t>**</t>
  </si>
  <si>
    <t>***</t>
  </si>
  <si>
    <t>Ringfenced Legal and Professional Cost**</t>
  </si>
  <si>
    <t>Planning, Angus, Gatwick</t>
  </si>
  <si>
    <t>Higher than budgeted as additional fees incured with leavers and joiners. 2024/25 assumes consistency of perm. Clerk @ £15 per mth</t>
  </si>
  <si>
    <t>Allowing for current in flight 2024/25 (see also ring fenced in snapshot)</t>
  </si>
  <si>
    <t>Higher than budget as not accounted for clerk leaving, Locum on higher salary and extending to Jan 24 to cover Audit and Finance hand over. 2024/25 Budget assumes consistency of perm. clerk on grade SCP21 (see appendix).</t>
  </si>
  <si>
    <t>Allowed for VH 'donation' 2023/24 TBD as well as Rec - Maybe a consideration to reduce storage budget</t>
  </si>
  <si>
    <t xml:space="preserve">Higher than budget as included asbestos clearance. Requirement for higher maint 2024/25 as older residents no longer able to maintain mowing. Both sites need to be considered for some investment if to rent out plots to wait list (particularly MS) Propose that allotment income should cover allotment outgoings moving forward. Consider looking at this as part of Green spaces initiative(s) Budget assumes income for both sites as £2k but acceptance income £ can be reinvested. Green spaces 'pot' in snapshot to help cover maintenance required. </t>
  </si>
  <si>
    <t>Coronation and Fireworks 2023/24 - Agreed less for 2024/25 as no coronation</t>
  </si>
  <si>
    <t>Money spent on boarding 2023/24. Assumes upgrade and improvements cost for playground in 2024/25 will come out of youth acct and therefore just maint (mowing etc) for run cost budget - will be moved to separate acct 2024/25</t>
  </si>
  <si>
    <t>Spent/Approved/Can not be changed</t>
  </si>
  <si>
    <t>Forecast based on predicted income/spend/known outlay in next 3mths</t>
  </si>
  <si>
    <t>Some opportunity to revise and influence</t>
  </si>
  <si>
    <t>2024/25 Assumes clerks travel to Brockham once a week for mtgs/post/drop ins and council meetings pixham</t>
  </si>
  <si>
    <t>General annual for run cost also see ring fenced reserves (see snapshot)</t>
  </si>
  <si>
    <t>**Based on 2023/24 but potential to increase with higher interest reserve account (5% on £50k could potentially be achieved with security)</t>
  </si>
  <si>
    <t>***Based on 2023/24 but potential to increase with a little investment so that waiting list can be approached and rents increased 2025/26</t>
  </si>
  <si>
    <t>Budget 2024/25 (£)</t>
  </si>
  <si>
    <t>Brockham PC Budget forecast 1 April 2025 to 31 March 2026</t>
  </si>
  <si>
    <t>Predicted Income 2025/26</t>
  </si>
  <si>
    <t>Predicted Expenditure 2025/26</t>
  </si>
  <si>
    <t>Lloyds Bank Accounts as @ 31/12/24</t>
  </si>
  <si>
    <t>Assumed C/F balance @ 1/4/25</t>
  </si>
  <si>
    <t>Proposed balance C/F @ 1/4/26</t>
  </si>
  <si>
    <t>Current Year 2024/25</t>
  </si>
  <si>
    <t>Next Year 2025/26</t>
  </si>
  <si>
    <t>Budget 2025/26 (£)</t>
  </si>
  <si>
    <t xml:space="preserve"> Budget 24/25 vs Draft 25/26 Delta (£) </t>
  </si>
  <si>
    <t xml:space="preserve"> Budget 24/25 vs Draft 25/26 Delta (%) </t>
  </si>
  <si>
    <t xml:space="preserve"> Forecast Year End Budget 24/25 vs Draft 25/26 Delta (£) </t>
  </si>
  <si>
    <t>ACTUAL as @ 30/11/24 (£)</t>
  </si>
  <si>
    <t>Remaining
Dec-Mar
2025</t>
  </si>
  <si>
    <t>April</t>
  </si>
  <si>
    <t>May</t>
  </si>
  <si>
    <t>June</t>
  </si>
  <si>
    <t>July</t>
  </si>
  <si>
    <t>August</t>
  </si>
  <si>
    <t>September</t>
  </si>
  <si>
    <t>October</t>
  </si>
  <si>
    <t>November</t>
  </si>
  <si>
    <t>December</t>
  </si>
  <si>
    <t>January</t>
  </si>
  <si>
    <t>February</t>
  </si>
  <si>
    <t>March</t>
  </si>
  <si>
    <t>Admin services</t>
  </si>
  <si>
    <t>Staffing salary</t>
  </si>
  <si>
    <t>Mileage</t>
  </si>
  <si>
    <t>16 miles round trip Charlwood to Brockham Green</t>
  </si>
  <si>
    <t>0.45p per mile</t>
  </si>
  <si>
    <t>Detail</t>
  </si>
  <si>
    <t>Number of occasions</t>
  </si>
  <si>
    <t>Noticeboards</t>
  </si>
  <si>
    <t>Meeting for Council meeting</t>
  </si>
  <si>
    <t>Additional meetings</t>
  </si>
  <si>
    <t>Printer paper</t>
  </si>
  <si>
    <t>Cartridges</t>
  </si>
  <si>
    <t>office expenses</t>
  </si>
  <si>
    <t>Buffer</t>
  </si>
  <si>
    <t>Total</t>
  </si>
  <si>
    <t>Professional Fees Other (Virtual administrator)</t>
  </si>
  <si>
    <t>Comment on 24-25 amounts</t>
  </si>
  <si>
    <t>Base on current rate per hh, with the increase of tax base precept goes up by 1.54%</t>
  </si>
  <si>
    <t>Proposed balance C/F @ 1/4/25</t>
  </si>
  <si>
    <t>Total Bank Accounts as @ 30/11/2024</t>
  </si>
  <si>
    <t>Total predicted projects Admin/Accts Upgrade</t>
  </si>
  <si>
    <t>Total predicted projects Traffic Calming Middle Street</t>
  </si>
  <si>
    <t>Total predicted Brockham Lane</t>
  </si>
  <si>
    <t>*Predicted Income CIL, Interest &amp; Allotments (excludes VAT return 2024/25 TBC)</t>
  </si>
  <si>
    <t>Forecast Year End 2024/5(£)</t>
  </si>
  <si>
    <r>
      <t xml:space="preserve">Salary/ tax/ NI contributions </t>
    </r>
    <r>
      <rPr>
        <sz val="8"/>
        <color rgb="FF000000"/>
        <rFont val="Calibri"/>
        <family val="2"/>
        <scheme val="minor"/>
      </rPr>
      <t>(assumed 15 hrs per week)</t>
    </r>
  </si>
  <si>
    <r>
      <t xml:space="preserve">Training </t>
    </r>
    <r>
      <rPr>
        <sz val="8"/>
        <color rgb="FF00B050"/>
        <rFont val="Calibri"/>
        <family val="2"/>
        <scheme val="minor"/>
      </rPr>
      <t>(new clerk &amp; councillors)</t>
    </r>
  </si>
  <si>
    <r>
      <t xml:space="preserve">Grounds Maint &amp; Recreation Grounds </t>
    </r>
    <r>
      <rPr>
        <sz val="8"/>
        <color rgb="FF00B050"/>
        <rFont val="Calibri"/>
        <family val="2"/>
        <scheme val="minor"/>
      </rPr>
      <t>(MVDC service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</si>
</sst>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44" formatCode="_-&quot;£&quot;* #,##0.00_-;\-&quot;£&quot;* #,##0.00_-;_-&quot;£&quot;* &quot;-&quot;??_-;_-@_-"/>
    <numFmt numFmtId="43" formatCode="_-* #,##0.00_-;\-* #,##0.00_-;_-* &quot;-&quot;??_-;_-@_-"/>
    <numFmt numFmtId="164" formatCode="General;[Red]\-General"/>
    <numFmt numFmtId="165" formatCode="mmm\ yy"/>
    <numFmt numFmtId="166" formatCode="0;[Red]\-0"/>
    <numFmt numFmtId="167" formatCode="[$£-809]#,##0.00"/>
    <numFmt numFmtId="168" formatCode="0.0%"/>
    <numFmt numFmtId="169" formatCode="#,##0_ ;[Red]\-#,##0\ "/>
    <numFmt numFmtId="170" formatCode="#,##0\ "/>
    <numFmt numFmtId="171" formatCode="#,##0\ \ "/>
    <numFmt numFmtId="172" formatCode="0_ ;[Red]\-0\ "/>
    <numFmt numFmtId="173" formatCode="#,##0.00\ "/>
    <numFmt numFmtId="174" formatCode="#,##0.00\ \ "/>
    <numFmt numFmtId="175" formatCode="#,##0.00_ ;[Red]\-#,##0.00\ "/>
    <numFmt numFmtId="176" formatCode="&quot;£&quot;#,##0.00"/>
    <numFmt numFmtId="177" formatCode="&quot;£&quot;#,##0"/>
    <numFmt numFmtId="178" formatCode="#,##0.0"/>
  </numFmts>
  <fonts count="36" x14ac:knownFonts="1">
    <font>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u/>
      <sz val="11"/>
      <name val="Calibri"/>
      <family val="2"/>
      <scheme val="minor"/>
    </font>
    <font>
      <sz val="10"/>
      <name val="Arial Narrow"/>
      <family val="2"/>
    </font>
    <font>
      <b/>
      <sz val="10"/>
      <name val="Arial Narrow"/>
      <family val="2"/>
    </font>
    <font>
      <b/>
      <sz val="11"/>
      <name val="Arial Narrow"/>
      <family val="2"/>
    </font>
    <font>
      <sz val="11"/>
      <name val="Arial Narrow"/>
      <family val="2"/>
    </font>
    <font>
      <sz val="11"/>
      <name val="Arial"/>
      <family val="2"/>
    </font>
    <font>
      <b/>
      <sz val="11"/>
      <color theme="1"/>
      <name val="Calibri"/>
      <family val="2"/>
      <scheme val="minor"/>
    </font>
    <font>
      <sz val="8"/>
      <name val="Calibri"/>
      <family val="2"/>
      <scheme val="minor"/>
    </font>
    <font>
      <sz val="11"/>
      <color rgb="FF7030A0"/>
      <name val="Calibri"/>
      <family val="2"/>
      <scheme val="minor"/>
    </font>
    <font>
      <b/>
      <u/>
      <sz val="16"/>
      <color theme="1"/>
      <name val="Calibri"/>
      <family val="2"/>
      <scheme val="minor"/>
    </font>
    <font>
      <i/>
      <sz val="12"/>
      <color theme="1"/>
      <name val="Calibri"/>
      <family val="2"/>
      <scheme val="minor"/>
    </font>
    <font>
      <b/>
      <u/>
      <sz val="12"/>
      <color theme="1"/>
      <name val="Calibri"/>
      <family val="2"/>
      <scheme val="minor"/>
    </font>
    <font>
      <i/>
      <u/>
      <sz val="12"/>
      <color theme="1"/>
      <name val="Calibri"/>
      <family val="2"/>
      <scheme val="minor"/>
    </font>
    <font>
      <sz val="12"/>
      <color theme="1"/>
      <name val="Calibri"/>
      <family val="2"/>
      <scheme val="minor"/>
    </font>
    <font>
      <b/>
      <sz val="12"/>
      <color theme="1"/>
      <name val="Calibri"/>
      <family val="2"/>
      <scheme val="minor"/>
    </font>
    <font>
      <sz val="11"/>
      <color rgb="FF00B050"/>
      <name val="Calibri"/>
      <family val="2"/>
      <scheme val="minor"/>
    </font>
    <font>
      <u/>
      <sz val="11"/>
      <color theme="1"/>
      <name val="Calibri"/>
      <family val="2"/>
      <scheme val="minor"/>
    </font>
    <font>
      <sz val="10"/>
      <color indexed="8"/>
      <name val="Calibri"/>
      <family val="2"/>
      <scheme val="minor"/>
    </font>
    <font>
      <b/>
      <sz val="12"/>
      <name val="Calibri"/>
      <family val="2"/>
      <scheme val="minor"/>
    </font>
    <font>
      <sz val="12"/>
      <color indexed="8"/>
      <name val="Calibri"/>
      <family val="2"/>
      <scheme val="minor"/>
    </font>
    <font>
      <sz val="12"/>
      <name val="Calibri"/>
      <family val="2"/>
      <scheme val="minor"/>
    </font>
    <font>
      <b/>
      <sz val="12"/>
      <color indexed="8"/>
      <name val="Calibri"/>
      <family val="2"/>
      <scheme val="minor"/>
    </font>
    <font>
      <sz val="12"/>
      <color rgb="FFFF0000"/>
      <name val="Calibri"/>
      <family val="2"/>
      <scheme val="minor"/>
    </font>
    <font>
      <sz val="8"/>
      <color rgb="FF000000"/>
      <name val="Calibri"/>
      <family val="2"/>
      <scheme val="minor"/>
    </font>
    <font>
      <sz val="12"/>
      <color rgb="FF7030A0"/>
      <name val="Calibri"/>
      <family val="2"/>
      <scheme val="minor"/>
    </font>
    <font>
      <sz val="12"/>
      <color rgb="FF00B050"/>
      <name val="Calibri"/>
      <family val="2"/>
      <scheme val="minor"/>
    </font>
    <font>
      <sz val="8"/>
      <color rgb="FF00B050"/>
      <name val="Calibri"/>
      <family val="2"/>
      <scheme val="minor"/>
    </font>
    <font>
      <i/>
      <sz val="12"/>
      <name val="Calibri"/>
      <family val="2"/>
      <scheme val="minor"/>
    </font>
    <font>
      <sz val="10"/>
      <name val="Calibri"/>
      <family val="2"/>
      <scheme val="minor"/>
    </font>
    <font>
      <sz val="10"/>
      <color theme="1"/>
      <name val="Calibri"/>
      <family val="2"/>
      <scheme val="minor"/>
    </font>
    <font>
      <b/>
      <sz val="14"/>
      <color indexed="8"/>
      <name val="Calibri"/>
      <family val="2"/>
      <scheme val="minor"/>
    </font>
    <font>
      <b/>
      <sz val="10"/>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1"/>
        <bgColor indexed="64"/>
      </patternFill>
    </fill>
    <fill>
      <patternFill patternType="solid">
        <fgColor rgb="FF7030A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59999389629810485"/>
        <bgColor indexed="64"/>
      </patternFill>
    </fill>
  </fills>
  <borders count="49">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351">
    <xf numFmtId="0" fontId="0" fillId="0" borderId="0" xfId="0"/>
    <xf numFmtId="170" fontId="1" fillId="0" borderId="15" xfId="0" applyNumberFormat="1" applyFont="1" applyBorder="1"/>
    <xf numFmtId="170" fontId="1" fillId="10" borderId="3" xfId="0" applyNumberFormat="1" applyFont="1" applyFill="1" applyBorder="1"/>
    <xf numFmtId="170" fontId="1" fillId="10" borderId="12" xfId="0" applyNumberFormat="1" applyFont="1" applyFill="1" applyBorder="1"/>
    <xf numFmtId="170" fontId="2" fillId="10" borderId="3" xfId="0" applyNumberFormat="1" applyFont="1" applyFill="1" applyBorder="1"/>
    <xf numFmtId="170" fontId="2" fillId="10" borderId="5" xfId="0" applyNumberFormat="1" applyFont="1" applyFill="1" applyBorder="1"/>
    <xf numFmtId="170" fontId="1" fillId="10" borderId="5" xfId="0" applyNumberFormat="1" applyFont="1" applyFill="1" applyBorder="1"/>
    <xf numFmtId="170" fontId="1" fillId="10" borderId="15" xfId="0" applyNumberFormat="1" applyFont="1" applyFill="1" applyBorder="1"/>
    <xf numFmtId="1" fontId="1" fillId="9" borderId="16" xfId="0" applyNumberFormat="1" applyFont="1" applyFill="1" applyBorder="1"/>
    <xf numFmtId="1" fontId="1" fillId="9" borderId="19" xfId="0" applyNumberFormat="1" applyFont="1" applyFill="1" applyBorder="1"/>
    <xf numFmtId="3" fontId="1" fillId="9" borderId="5" xfId="0" applyNumberFormat="1" applyFont="1" applyFill="1" applyBorder="1"/>
    <xf numFmtId="171" fontId="1" fillId="9" borderId="22" xfId="0" applyNumberFormat="1" applyFont="1" applyFill="1" applyBorder="1"/>
    <xf numFmtId="170" fontId="1" fillId="9" borderId="3" xfId="0" applyNumberFormat="1" applyFont="1" applyFill="1" applyBorder="1"/>
    <xf numFmtId="3" fontId="1" fillId="9" borderId="3" xfId="0" applyNumberFormat="1" applyFont="1" applyFill="1" applyBorder="1"/>
    <xf numFmtId="171" fontId="1" fillId="9" borderId="16" xfId="0" applyNumberFormat="1" applyFont="1" applyFill="1" applyBorder="1"/>
    <xf numFmtId="3" fontId="1" fillId="9" borderId="12" xfId="0" applyNumberFormat="1" applyFont="1" applyFill="1" applyBorder="1"/>
    <xf numFmtId="170" fontId="1" fillId="9" borderId="2" xfId="0" applyNumberFormat="1" applyFont="1" applyFill="1" applyBorder="1"/>
    <xf numFmtId="170" fontId="1" fillId="9" borderId="12" xfId="0" applyNumberFormat="1" applyFont="1" applyFill="1" applyBorder="1"/>
    <xf numFmtId="3" fontId="1" fillId="9" borderId="2" xfId="0" applyNumberFormat="1" applyFont="1" applyFill="1" applyBorder="1"/>
    <xf numFmtId="170" fontId="2" fillId="9" borderId="2" xfId="0" applyNumberFormat="1" applyFont="1" applyFill="1" applyBorder="1"/>
    <xf numFmtId="171" fontId="2" fillId="9" borderId="22" xfId="0" applyNumberFormat="1" applyFont="1" applyFill="1" applyBorder="1"/>
    <xf numFmtId="170" fontId="2" fillId="9" borderId="3" xfId="0" applyNumberFormat="1" applyFont="1" applyFill="1" applyBorder="1"/>
    <xf numFmtId="170" fontId="1" fillId="9" borderId="5" xfId="0" applyNumberFormat="1" applyFont="1" applyFill="1" applyBorder="1"/>
    <xf numFmtId="170" fontId="2" fillId="4" borderId="10" xfId="0" applyNumberFormat="1" applyFont="1" applyFill="1" applyBorder="1"/>
    <xf numFmtId="3" fontId="1" fillId="4" borderId="10" xfId="0" applyNumberFormat="1" applyFont="1" applyFill="1" applyBorder="1"/>
    <xf numFmtId="171" fontId="1" fillId="4" borderId="21" xfId="0" applyNumberFormat="1" applyFont="1" applyFill="1" applyBorder="1"/>
    <xf numFmtId="170" fontId="2" fillId="4" borderId="12" xfId="0" applyNumberFormat="1" applyFont="1" applyFill="1" applyBorder="1"/>
    <xf numFmtId="3" fontId="1" fillId="4" borderId="3" xfId="0" applyNumberFormat="1" applyFont="1" applyFill="1" applyBorder="1"/>
    <xf numFmtId="3" fontId="1" fillId="4" borderId="12" xfId="0" applyNumberFormat="1" applyFont="1" applyFill="1" applyBorder="1"/>
    <xf numFmtId="170" fontId="1" fillId="4" borderId="10" xfId="0" applyNumberFormat="1" applyFont="1" applyFill="1" applyBorder="1"/>
    <xf numFmtId="170" fontId="1" fillId="4" borderId="3" xfId="0" applyNumberFormat="1" applyFont="1" applyFill="1" applyBorder="1"/>
    <xf numFmtId="171" fontId="1" fillId="4" borderId="23" xfId="0" applyNumberFormat="1" applyFont="1" applyFill="1" applyBorder="1"/>
    <xf numFmtId="0" fontId="1" fillId="0" borderId="0" xfId="0" applyFont="1"/>
    <xf numFmtId="44" fontId="1" fillId="0" borderId="0" xfId="2" applyFont="1"/>
    <xf numFmtId="44" fontId="1" fillId="0" borderId="0" xfId="2" applyFont="1" applyAlignment="1">
      <alignment horizontal="center"/>
    </xf>
    <xf numFmtId="0" fontId="1" fillId="0" borderId="0" xfId="0" applyFont="1" applyAlignment="1">
      <alignment horizontal="center"/>
    </xf>
    <xf numFmtId="44" fontId="2" fillId="0" borderId="0" xfId="2" applyFont="1" applyAlignment="1">
      <alignment horizontal="center"/>
    </xf>
    <xf numFmtId="0" fontId="2" fillId="0" borderId="0" xfId="0" applyFont="1"/>
    <xf numFmtId="44" fontId="2" fillId="0" borderId="39" xfId="2" applyFont="1" applyBorder="1"/>
    <xf numFmtId="0" fontId="4" fillId="0" borderId="0" xfId="0" applyFont="1"/>
    <xf numFmtId="44" fontId="2" fillId="0" borderId="0" xfId="2" applyFont="1"/>
    <xf numFmtId="44" fontId="1" fillId="0" borderId="38" xfId="2" applyFont="1" applyBorder="1"/>
    <xf numFmtId="0" fontId="5" fillId="0" borderId="30" xfId="0" applyFont="1" applyBorder="1"/>
    <xf numFmtId="0" fontId="6" fillId="0" borderId="30" xfId="0" applyFont="1" applyBorder="1" applyAlignment="1">
      <alignment horizontal="center" wrapText="1"/>
    </xf>
    <xf numFmtId="4" fontId="7" fillId="0" borderId="0" xfId="0" applyNumberFormat="1" applyFont="1"/>
    <xf numFmtId="0" fontId="8" fillId="0" borderId="0" xfId="0" applyFont="1" applyAlignment="1">
      <alignment horizontal="center"/>
    </xf>
    <xf numFmtId="176" fontId="5" fillId="0" borderId="30" xfId="0" applyNumberFormat="1" applyFont="1" applyBorder="1"/>
    <xf numFmtId="0" fontId="5" fillId="0" borderId="30" xfId="0" applyFont="1" applyBorder="1" applyAlignment="1">
      <alignment vertical="center"/>
    </xf>
    <xf numFmtId="176" fontId="5" fillId="0" borderId="30" xfId="0" applyNumberFormat="1" applyFont="1" applyBorder="1" applyAlignment="1">
      <alignment horizontal="right" vertical="center" wrapText="1"/>
    </xf>
    <xf numFmtId="0" fontId="5" fillId="0" borderId="30" xfId="0" applyFont="1" applyBorder="1" applyAlignment="1">
      <alignment horizontal="right" vertical="center"/>
    </xf>
    <xf numFmtId="176" fontId="6" fillId="0" borderId="30" xfId="0" applyNumberFormat="1" applyFont="1" applyBorder="1"/>
    <xf numFmtId="0" fontId="8" fillId="0" borderId="0" xfId="0" applyFont="1"/>
    <xf numFmtId="0" fontId="6" fillId="0" borderId="0" xfId="0" applyFont="1" applyAlignment="1">
      <alignment horizontal="right" vertical="center"/>
    </xf>
    <xf numFmtId="0" fontId="9" fillId="0" borderId="0" xfId="0" applyFont="1" applyAlignment="1">
      <alignment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0" xfId="0" applyFont="1" applyBorder="1" applyAlignment="1">
      <alignment horizontal="center" vertical="center" wrapText="1"/>
    </xf>
    <xf numFmtId="0" fontId="9" fillId="0" borderId="0" xfId="0" applyFont="1"/>
    <xf numFmtId="6" fontId="9" fillId="0" borderId="41" xfId="0" applyNumberFormat="1" applyFont="1" applyBorder="1" applyAlignment="1">
      <alignment horizontal="center" vertical="center"/>
    </xf>
    <xf numFmtId="8" fontId="9" fillId="0" borderId="41" xfId="0" applyNumberFormat="1" applyFont="1" applyBorder="1" applyAlignment="1">
      <alignment horizontal="center" vertical="center"/>
    </xf>
    <xf numFmtId="0" fontId="0" fillId="0" borderId="30" xfId="0" applyBorder="1"/>
    <xf numFmtId="44" fontId="0" fillId="0" borderId="30" xfId="2" applyFont="1" applyBorder="1"/>
    <xf numFmtId="44" fontId="10" fillId="0" borderId="30" xfId="2" applyFont="1" applyBorder="1"/>
    <xf numFmtId="0" fontId="1" fillId="0" borderId="0" xfId="0" applyFont="1" applyAlignment="1">
      <alignment horizontal="left"/>
    </xf>
    <xf numFmtId="44" fontId="12" fillId="0" borderId="0" xfId="2" applyFont="1"/>
    <xf numFmtId="44" fontId="12" fillId="0" borderId="0" xfId="2" applyFont="1" applyAlignment="1">
      <alignment horizontal="center"/>
    </xf>
    <xf numFmtId="10" fontId="14" fillId="0" borderId="0" xfId="0" applyNumberFormat="1" applyFont="1"/>
    <xf numFmtId="0" fontId="15" fillId="0" borderId="0" xfId="0" applyFont="1" applyAlignment="1">
      <alignment horizontal="center" vertical="center"/>
    </xf>
    <xf numFmtId="10" fontId="16" fillId="0" borderId="0" xfId="0" applyNumberFormat="1" applyFont="1" applyAlignment="1">
      <alignment horizontal="center" vertical="center"/>
    </xf>
    <xf numFmtId="177" fontId="17" fillId="4" borderId="0" xfId="0" applyNumberFormat="1" applyFont="1" applyFill="1" applyAlignment="1">
      <alignment horizontal="center" vertical="center"/>
    </xf>
    <xf numFmtId="0" fontId="18" fillId="0" borderId="0" xfId="0" applyFont="1" applyAlignment="1">
      <alignment horizontal="center" vertical="center"/>
    </xf>
    <xf numFmtId="10" fontId="14" fillId="0" borderId="0" xfId="0" applyNumberFormat="1" applyFont="1" applyAlignment="1">
      <alignment horizontal="center" vertical="center"/>
    </xf>
    <xf numFmtId="178" fontId="17" fillId="4" borderId="0" xfId="0" applyNumberFormat="1" applyFont="1" applyFill="1" applyAlignment="1">
      <alignment horizontal="center" vertical="center"/>
    </xf>
    <xf numFmtId="176" fontId="17" fillId="0" borderId="0" xfId="0" applyNumberFormat="1" applyFon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6" fontId="14" fillId="0" borderId="0" xfId="0" applyNumberFormat="1"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0" fontId="10" fillId="0" borderId="7" xfId="0" applyFont="1" applyBorder="1"/>
    <xf numFmtId="0" fontId="0" fillId="0" borderId="0" xfId="0" applyAlignment="1">
      <alignment horizontal="left"/>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indent="5"/>
    </xf>
    <xf numFmtId="0" fontId="19" fillId="13" borderId="0" xfId="0" applyFont="1" applyFill="1"/>
    <xf numFmtId="0" fontId="0" fillId="16" borderId="0" xfId="0" applyFill="1"/>
    <xf numFmtId="0" fontId="20" fillId="16" borderId="0" xfId="0" applyFont="1" applyFill="1"/>
    <xf numFmtId="0" fontId="0" fillId="17" borderId="32" xfId="0" applyFill="1" applyBorder="1"/>
    <xf numFmtId="176" fontId="0" fillId="17" borderId="31" xfId="0" applyNumberFormat="1" applyFill="1" applyBorder="1"/>
    <xf numFmtId="164" fontId="21" fillId="2" borderId="1" xfId="0" applyNumberFormat="1" applyFont="1" applyFill="1" applyBorder="1"/>
    <xf numFmtId="0" fontId="22" fillId="10" borderId="3" xfId="0" applyFont="1" applyFill="1" applyBorder="1"/>
    <xf numFmtId="0" fontId="22" fillId="9" borderId="16" xfId="0" applyFont="1" applyFill="1" applyBorder="1" applyAlignment="1">
      <alignment horizontal="center"/>
    </xf>
    <xf numFmtId="165" fontId="2" fillId="9" borderId="3" xfId="0" applyNumberFormat="1" applyFont="1" applyFill="1" applyBorder="1" applyAlignment="1">
      <alignment horizontal="center"/>
    </xf>
    <xf numFmtId="164" fontId="2" fillId="9" borderId="4" xfId="0" applyNumberFormat="1" applyFont="1" applyFill="1" applyBorder="1" applyAlignment="1">
      <alignment horizontal="center"/>
    </xf>
    <xf numFmtId="0" fontId="10" fillId="3" borderId="0" xfId="0" applyFont="1" applyFill="1" applyAlignment="1">
      <alignment horizontal="center"/>
    </xf>
    <xf numFmtId="0" fontId="0" fillId="0" borderId="0" xfId="0" applyAlignment="1">
      <alignment horizontal="center"/>
    </xf>
    <xf numFmtId="164" fontId="23" fillId="2" borderId="1" xfId="0" applyNumberFormat="1" applyFont="1" applyFill="1" applyBorder="1"/>
    <xf numFmtId="167" fontId="24" fillId="10" borderId="3" xfId="0" applyNumberFormat="1" applyFont="1" applyFill="1" applyBorder="1"/>
    <xf numFmtId="164" fontId="24" fillId="9" borderId="3" xfId="0" applyNumberFormat="1" applyFont="1" applyFill="1" applyBorder="1"/>
    <xf numFmtId="164" fontId="24" fillId="9" borderId="4" xfId="0" applyNumberFormat="1" applyFont="1" applyFill="1" applyBorder="1"/>
    <xf numFmtId="167" fontId="24" fillId="3" borderId="3" xfId="0" applyNumberFormat="1" applyFont="1" applyFill="1" applyBorder="1"/>
    <xf numFmtId="164" fontId="25" fillId="2" borderId="8" xfId="0" applyNumberFormat="1" applyFont="1" applyFill="1" applyBorder="1" applyAlignment="1">
      <alignment horizontal="center"/>
    </xf>
    <xf numFmtId="164" fontId="25" fillId="2" borderId="35" xfId="0" applyNumberFormat="1" applyFont="1" applyFill="1" applyBorder="1"/>
    <xf numFmtId="164" fontId="25" fillId="2" borderId="33" xfId="0" applyNumberFormat="1" applyFont="1" applyFill="1" applyBorder="1" applyAlignment="1">
      <alignment horizontal="center" vertical="center" wrapText="1"/>
    </xf>
    <xf numFmtId="164" fontId="18" fillId="2" borderId="33" xfId="0" applyNumberFormat="1" applyFont="1" applyFill="1" applyBorder="1" applyAlignment="1">
      <alignment horizontal="center" vertical="center" wrapText="1"/>
    </xf>
    <xf numFmtId="164" fontId="18" fillId="2" borderId="34" xfId="0" applyNumberFormat="1" applyFont="1" applyFill="1" applyBorder="1" applyAlignment="1">
      <alignment horizontal="center" vertical="center" wrapText="1"/>
    </xf>
    <xf numFmtId="164" fontId="22" fillId="2" borderId="34" xfId="0" applyNumberFormat="1" applyFont="1" applyFill="1" applyBorder="1" applyAlignment="1">
      <alignment horizontal="center" vertical="center" wrapText="1"/>
    </xf>
    <xf numFmtId="164" fontId="25" fillId="2" borderId="8" xfId="0" applyNumberFormat="1" applyFont="1" applyFill="1" applyBorder="1" applyAlignment="1">
      <alignment horizontal="center" vertical="center" wrapText="1"/>
    </xf>
    <xf numFmtId="164" fontId="25" fillId="14" borderId="35" xfId="0" applyNumberFormat="1" applyFont="1" applyFill="1" applyBorder="1" applyAlignment="1">
      <alignment horizontal="center" vertical="center" wrapText="1"/>
    </xf>
    <xf numFmtId="164" fontId="25" fillId="14" borderId="43" xfId="0" applyNumberFormat="1" applyFont="1" applyFill="1" applyBorder="1" applyAlignment="1">
      <alignment horizontal="center" vertical="center" wrapText="1"/>
    </xf>
    <xf numFmtId="164" fontId="25" fillId="2" borderId="1" xfId="0" applyNumberFormat="1" applyFont="1" applyFill="1" applyBorder="1"/>
    <xf numFmtId="166" fontId="24" fillId="9" borderId="16" xfId="0" applyNumberFormat="1" applyFont="1" applyFill="1" applyBorder="1"/>
    <xf numFmtId="168" fontId="24" fillId="9" borderId="4" xfId="0" applyNumberFormat="1" applyFont="1" applyFill="1" applyBorder="1"/>
    <xf numFmtId="0" fontId="0" fillId="0" borderId="5" xfId="0" applyBorder="1" applyAlignment="1">
      <alignment horizontal="center"/>
    </xf>
    <xf numFmtId="164" fontId="23" fillId="2" borderId="37" xfId="0" applyNumberFormat="1" applyFont="1" applyFill="1" applyBorder="1"/>
    <xf numFmtId="43" fontId="24" fillId="2" borderId="5" xfId="0" applyNumberFormat="1" applyFont="1" applyFill="1" applyBorder="1"/>
    <xf numFmtId="43" fontId="23" fillId="2" borderId="5" xfId="0" applyNumberFormat="1" applyFont="1" applyFill="1" applyBorder="1"/>
    <xf numFmtId="43" fontId="24" fillId="14" borderId="4" xfId="0" applyNumberFormat="1" applyFont="1" applyFill="1" applyBorder="1"/>
    <xf numFmtId="10" fontId="24" fillId="14" borderId="4" xfId="1" applyNumberFormat="1" applyFont="1" applyFill="1" applyBorder="1"/>
    <xf numFmtId="10" fontId="24" fillId="14" borderId="16" xfId="1" applyNumberFormat="1" applyFont="1" applyFill="1" applyBorder="1"/>
    <xf numFmtId="43" fontId="0" fillId="0" borderId="0" xfId="0" applyNumberFormat="1"/>
    <xf numFmtId="167" fontId="24" fillId="10" borderId="5" xfId="0" applyNumberFormat="1" applyFont="1" applyFill="1" applyBorder="1"/>
    <xf numFmtId="168" fontId="24" fillId="9" borderId="38" xfId="0" applyNumberFormat="1" applyFont="1" applyFill="1" applyBorder="1"/>
    <xf numFmtId="167" fontId="24" fillId="3" borderId="5" xfId="0" applyNumberFormat="1" applyFont="1" applyFill="1" applyBorder="1"/>
    <xf numFmtId="0" fontId="0" fillId="0" borderId="3" xfId="0" applyBorder="1" applyAlignment="1">
      <alignment horizontal="center"/>
    </xf>
    <xf numFmtId="164" fontId="23" fillId="2" borderId="4" xfId="0" applyNumberFormat="1" applyFont="1" applyFill="1" applyBorder="1"/>
    <xf numFmtId="10" fontId="24" fillId="14" borderId="31" xfId="1" applyNumberFormat="1" applyFont="1" applyFill="1" applyBorder="1"/>
    <xf numFmtId="10" fontId="24" fillId="14" borderId="44" xfId="1" applyNumberFormat="1" applyFont="1" applyFill="1" applyBorder="1"/>
    <xf numFmtId="1" fontId="24" fillId="10" borderId="5" xfId="0" applyNumberFormat="1" applyFont="1" applyFill="1" applyBorder="1"/>
    <xf numFmtId="1" fontId="24" fillId="9" borderId="3" xfId="0" applyNumberFormat="1" applyFont="1" applyFill="1" applyBorder="1"/>
    <xf numFmtId="169" fontId="24" fillId="9" borderId="3" xfId="0" applyNumberFormat="1" applyFont="1" applyFill="1" applyBorder="1"/>
    <xf numFmtId="1" fontId="24" fillId="3" borderId="5" xfId="0" applyNumberFormat="1" applyFont="1" applyFill="1" applyBorder="1"/>
    <xf numFmtId="43" fontId="24" fillId="2" borderId="3" xfId="0" applyNumberFormat="1" applyFont="1" applyFill="1" applyBorder="1"/>
    <xf numFmtId="43" fontId="24" fillId="2" borderId="30" xfId="0" applyNumberFormat="1" applyFont="1" applyFill="1" applyBorder="1"/>
    <xf numFmtId="10" fontId="24" fillId="14" borderId="27" xfId="1" applyNumberFormat="1" applyFont="1" applyFill="1" applyBorder="1"/>
    <xf numFmtId="169" fontId="24" fillId="10" borderId="5" xfId="0" applyNumberFormat="1" applyFont="1" applyFill="1" applyBorder="1"/>
    <xf numFmtId="170" fontId="24" fillId="9" borderId="3" xfId="0" applyNumberFormat="1" applyFont="1" applyFill="1" applyBorder="1"/>
    <xf numFmtId="171" fontId="24" fillId="9" borderId="4" xfId="0" applyNumberFormat="1" applyFont="1" applyFill="1" applyBorder="1"/>
    <xf numFmtId="169" fontId="24" fillId="3" borderId="5" xfId="0" applyNumberFormat="1" applyFont="1" applyFill="1" applyBorder="1"/>
    <xf numFmtId="43" fontId="26" fillId="2" borderId="30" xfId="0" applyNumberFormat="1" applyFont="1" applyFill="1" applyBorder="1"/>
    <xf numFmtId="43" fontId="26" fillId="2" borderId="1" xfId="0" applyNumberFormat="1" applyFont="1" applyFill="1" applyBorder="1"/>
    <xf numFmtId="173" fontId="24" fillId="9" borderId="3" xfId="0" applyNumberFormat="1" applyFont="1" applyFill="1" applyBorder="1"/>
    <xf numFmtId="174" fontId="24" fillId="9" borderId="4" xfId="0" applyNumberFormat="1" applyFont="1" applyFill="1" applyBorder="1"/>
    <xf numFmtId="43" fontId="24" fillId="2" borderId="1" xfId="0" applyNumberFormat="1" applyFont="1" applyFill="1" applyBorder="1"/>
    <xf numFmtId="10" fontId="24" fillId="14" borderId="27" xfId="1" applyNumberFormat="1" applyFont="1" applyFill="1" applyBorder="1" applyAlignment="1">
      <alignment horizontal="right"/>
    </xf>
    <xf numFmtId="2" fontId="24" fillId="10" borderId="3" xfId="0" applyNumberFormat="1" applyFont="1" applyFill="1" applyBorder="1"/>
    <xf numFmtId="164" fontId="23" fillId="2" borderId="13" xfId="0" applyNumberFormat="1" applyFont="1" applyFill="1" applyBorder="1"/>
    <xf numFmtId="43" fontId="24" fillId="0" borderId="3" xfId="0" applyNumberFormat="1" applyFont="1" applyBorder="1"/>
    <xf numFmtId="43" fontId="24" fillId="2" borderId="32" xfId="0" applyNumberFormat="1" applyFont="1" applyFill="1" applyBorder="1"/>
    <xf numFmtId="43" fontId="24" fillId="2" borderId="6" xfId="0" applyNumberFormat="1" applyFont="1" applyFill="1" applyBorder="1"/>
    <xf numFmtId="10" fontId="24" fillId="14" borderId="45" xfId="1" applyNumberFormat="1" applyFont="1" applyFill="1" applyBorder="1"/>
    <xf numFmtId="43" fontId="25" fillId="2" borderId="8" xfId="0" applyNumberFormat="1" applyFont="1" applyFill="1" applyBorder="1"/>
    <xf numFmtId="43" fontId="25" fillId="2" borderId="33" xfId="0" applyNumberFormat="1" applyFont="1" applyFill="1" applyBorder="1"/>
    <xf numFmtId="43" fontId="22" fillId="2" borderId="34" xfId="0" applyNumberFormat="1" applyFont="1" applyFill="1" applyBorder="1"/>
    <xf numFmtId="43" fontId="22" fillId="14" borderId="35" xfId="0" applyNumberFormat="1" applyFont="1" applyFill="1" applyBorder="1"/>
    <xf numFmtId="10" fontId="22" fillId="14" borderId="36" xfId="1" applyNumberFormat="1" applyFont="1" applyFill="1" applyBorder="1"/>
    <xf numFmtId="0" fontId="18" fillId="0" borderId="4" xfId="0" applyFont="1" applyBorder="1"/>
    <xf numFmtId="43" fontId="17" fillId="0" borderId="3" xfId="0" applyNumberFormat="1" applyFont="1" applyBorder="1"/>
    <xf numFmtId="43" fontId="17" fillId="0" borderId="30" xfId="0" applyNumberFormat="1" applyFont="1" applyBorder="1"/>
    <xf numFmtId="43" fontId="17" fillId="0" borderId="1" xfId="0" applyNumberFormat="1" applyFont="1" applyBorder="1"/>
    <xf numFmtId="10" fontId="24" fillId="14" borderId="30" xfId="1" applyNumberFormat="1" applyFont="1" applyFill="1" applyBorder="1"/>
    <xf numFmtId="171" fontId="22" fillId="4" borderId="27" xfId="0" applyNumberFormat="1" applyFont="1" applyFill="1" applyBorder="1"/>
    <xf numFmtId="173" fontId="22" fillId="5" borderId="3" xfId="0" applyNumberFormat="1" applyFont="1" applyFill="1" applyBorder="1"/>
    <xf numFmtId="169" fontId="22" fillId="5" borderId="3" xfId="0" applyNumberFormat="1" applyFont="1" applyFill="1" applyBorder="1"/>
    <xf numFmtId="171" fontId="22" fillId="4" borderId="4" xfId="0" applyNumberFormat="1" applyFont="1" applyFill="1" applyBorder="1"/>
    <xf numFmtId="1" fontId="24" fillId="4" borderId="3" xfId="0" applyNumberFormat="1" applyFont="1" applyFill="1" applyBorder="1"/>
    <xf numFmtId="0" fontId="0" fillId="15" borderId="3" xfId="0" applyFill="1" applyBorder="1" applyAlignment="1">
      <alignment horizontal="center"/>
    </xf>
    <xf numFmtId="164" fontId="23" fillId="15" borderId="4" xfId="0" applyNumberFormat="1" applyFont="1" applyFill="1" applyBorder="1"/>
    <xf numFmtId="43" fontId="24" fillId="15" borderId="3" xfId="0" applyNumberFormat="1" applyFont="1" applyFill="1" applyBorder="1"/>
    <xf numFmtId="44" fontId="24" fillId="15" borderId="30" xfId="0" applyNumberFormat="1" applyFont="1" applyFill="1" applyBorder="1"/>
    <xf numFmtId="43" fontId="28" fillId="15" borderId="1" xfId="0" applyNumberFormat="1" applyFont="1" applyFill="1" applyBorder="1"/>
    <xf numFmtId="0" fontId="29" fillId="15" borderId="4" xfId="0" applyFont="1" applyFill="1" applyBorder="1"/>
    <xf numFmtId="43" fontId="29" fillId="15" borderId="30" xfId="0" applyNumberFormat="1" applyFont="1" applyFill="1" applyBorder="1"/>
    <xf numFmtId="173" fontId="22" fillId="4" borderId="3" xfId="0" applyNumberFormat="1" applyFont="1" applyFill="1" applyBorder="1"/>
    <xf numFmtId="170" fontId="22" fillId="4" borderId="3" xfId="0" applyNumberFormat="1" applyFont="1" applyFill="1" applyBorder="1"/>
    <xf numFmtId="0" fontId="23" fillId="0" borderId="4" xfId="0" applyFont="1" applyBorder="1"/>
    <xf numFmtId="43" fontId="24" fillId="0" borderId="30" xfId="0" applyNumberFormat="1" applyFont="1" applyBorder="1"/>
    <xf numFmtId="43" fontId="28" fillId="0" borderId="1" xfId="0" applyNumberFormat="1" applyFont="1" applyBorder="1"/>
    <xf numFmtId="43" fontId="28" fillId="2" borderId="1" xfId="0" applyNumberFormat="1" applyFont="1" applyFill="1" applyBorder="1"/>
    <xf numFmtId="0" fontId="29" fillId="0" borderId="4" xfId="0" applyFont="1" applyBorder="1"/>
    <xf numFmtId="43" fontId="29" fillId="0" borderId="30" xfId="0" applyNumberFormat="1" applyFont="1" applyBorder="1"/>
    <xf numFmtId="43" fontId="29" fillId="2" borderId="1" xfId="0" applyNumberFormat="1" applyFont="1" applyFill="1" applyBorder="1"/>
    <xf numFmtId="168" fontId="22" fillId="9" borderId="4" xfId="0" applyNumberFormat="1" applyFont="1" applyFill="1" applyBorder="1"/>
    <xf numFmtId="0" fontId="23" fillId="15" borderId="4" xfId="0" applyFont="1" applyFill="1" applyBorder="1"/>
    <xf numFmtId="43" fontId="24" fillId="15" borderId="30" xfId="0" applyNumberFormat="1" applyFont="1" applyFill="1" applyBorder="1"/>
    <xf numFmtId="43" fontId="24" fillId="15" borderId="1" xfId="0" applyNumberFormat="1" applyFont="1" applyFill="1" applyBorder="1"/>
    <xf numFmtId="1" fontId="24" fillId="10" borderId="3" xfId="0" applyNumberFormat="1" applyFont="1" applyFill="1" applyBorder="1"/>
    <xf numFmtId="1" fontId="24" fillId="3" borderId="3" xfId="0" applyNumberFormat="1" applyFont="1" applyFill="1" applyBorder="1"/>
    <xf numFmtId="43" fontId="29" fillId="15" borderId="1" xfId="0" applyNumberFormat="1" applyFont="1" applyFill="1" applyBorder="1"/>
    <xf numFmtId="43" fontId="17" fillId="15" borderId="1" xfId="0" applyNumberFormat="1" applyFont="1" applyFill="1" applyBorder="1"/>
    <xf numFmtId="43" fontId="17" fillId="15" borderId="30" xfId="0" applyNumberFormat="1" applyFont="1" applyFill="1" applyBorder="1"/>
    <xf numFmtId="169" fontId="31" fillId="10" borderId="5" xfId="0" applyNumberFormat="1" applyFont="1" applyFill="1" applyBorder="1"/>
    <xf numFmtId="43" fontId="18" fillId="0" borderId="8" xfId="0" applyNumberFormat="1" applyFont="1" applyBorder="1"/>
    <xf numFmtId="43" fontId="25" fillId="2" borderId="34" xfId="0" applyNumberFormat="1" applyFont="1" applyFill="1" applyBorder="1"/>
    <xf numFmtId="0" fontId="17" fillId="0" borderId="0" xfId="0" applyFont="1"/>
    <xf numFmtId="43" fontId="17" fillId="0" borderId="15" xfId="0" applyNumberFormat="1" applyFont="1" applyBorder="1"/>
    <xf numFmtId="43" fontId="17" fillId="0" borderId="0" xfId="0" applyNumberFormat="1" applyFont="1"/>
    <xf numFmtId="43" fontId="24" fillId="14" borderId="0" xfId="0" applyNumberFormat="1" applyFont="1" applyFill="1"/>
    <xf numFmtId="9" fontId="24" fillId="14" borderId="0" xfId="1" applyFont="1" applyFill="1" applyBorder="1"/>
    <xf numFmtId="10" fontId="24" fillId="14" borderId="24" xfId="1" applyNumberFormat="1" applyFont="1" applyFill="1" applyBorder="1"/>
    <xf numFmtId="43" fontId="18" fillId="0" borderId="3" xfId="0" applyNumberFormat="1" applyFont="1" applyBorder="1" applyAlignment="1">
      <alignment horizontal="right" vertical="center"/>
    </xf>
    <xf numFmtId="43" fontId="18" fillId="0" borderId="30" xfId="0" applyNumberFormat="1" applyFont="1" applyBorder="1" applyAlignment="1">
      <alignment horizontal="right" vertical="center"/>
    </xf>
    <xf numFmtId="43" fontId="18" fillId="0" borderId="1" xfId="0" applyNumberFormat="1" applyFont="1" applyBorder="1" applyAlignment="1">
      <alignment horizontal="right" vertical="center"/>
    </xf>
    <xf numFmtId="43" fontId="22" fillId="14" borderId="4" xfId="0" applyNumberFormat="1" applyFont="1" applyFill="1" applyBorder="1"/>
    <xf numFmtId="9" fontId="22" fillId="14" borderId="30" xfId="1" applyFont="1" applyFill="1" applyBorder="1"/>
    <xf numFmtId="10" fontId="22" fillId="14" borderId="27" xfId="1" applyNumberFormat="1" applyFont="1" applyFill="1" applyBorder="1"/>
    <xf numFmtId="164" fontId="21" fillId="7" borderId="6" xfId="0" applyNumberFormat="1" applyFont="1" applyFill="1" applyBorder="1"/>
    <xf numFmtId="174" fontId="24" fillId="4" borderId="3" xfId="0" applyNumberFormat="1" applyFont="1" applyFill="1" applyBorder="1"/>
    <xf numFmtId="171" fontId="24" fillId="4" borderId="3" xfId="0" applyNumberFormat="1" applyFont="1" applyFill="1" applyBorder="1"/>
    <xf numFmtId="0" fontId="0" fillId="0" borderId="10" xfId="0" applyBorder="1" applyAlignment="1">
      <alignment horizontal="center"/>
    </xf>
    <xf numFmtId="0" fontId="18" fillId="0" borderId="46" xfId="0" applyFont="1" applyBorder="1"/>
    <xf numFmtId="43" fontId="18" fillId="0" borderId="10" xfId="0" applyNumberFormat="1" applyFont="1" applyBorder="1" applyAlignment="1">
      <alignment horizontal="right" vertical="center"/>
    </xf>
    <xf numFmtId="43" fontId="18" fillId="0" borderId="47" xfId="0" applyNumberFormat="1" applyFont="1" applyBorder="1" applyAlignment="1">
      <alignment horizontal="right" vertical="center"/>
    </xf>
    <xf numFmtId="43" fontId="18" fillId="0" borderId="14" xfId="0" applyNumberFormat="1" applyFont="1" applyBorder="1" applyAlignment="1">
      <alignment horizontal="right" vertical="center"/>
    </xf>
    <xf numFmtId="43" fontId="22" fillId="14" borderId="46" xfId="0" applyNumberFormat="1" applyFont="1" applyFill="1" applyBorder="1"/>
    <xf numFmtId="9" fontId="22" fillId="14" borderId="47" xfId="1" applyFont="1" applyFill="1" applyBorder="1" applyAlignment="1">
      <alignment horizontal="right"/>
    </xf>
    <xf numFmtId="10" fontId="22" fillId="14" borderId="9" xfId="1" applyNumberFormat="1" applyFont="1" applyFill="1" applyBorder="1" applyAlignment="1">
      <alignment horizontal="right"/>
    </xf>
    <xf numFmtId="164" fontId="21" fillId="7" borderId="42" xfId="0" applyNumberFormat="1" applyFont="1" applyFill="1" applyBorder="1"/>
    <xf numFmtId="1" fontId="24" fillId="4" borderId="15" xfId="0" applyNumberFormat="1" applyFont="1" applyFill="1" applyBorder="1"/>
    <xf numFmtId="174" fontId="24" fillId="4" borderId="22" xfId="0" applyNumberFormat="1" applyFont="1" applyFill="1" applyBorder="1"/>
    <xf numFmtId="171" fontId="24" fillId="4" borderId="38" xfId="0" applyNumberFormat="1" applyFont="1" applyFill="1" applyBorder="1"/>
    <xf numFmtId="1" fontId="24" fillId="4" borderId="0" xfId="0" applyNumberFormat="1" applyFont="1" applyFill="1"/>
    <xf numFmtId="0" fontId="18" fillId="0" borderId="0" xfId="0" applyFont="1"/>
    <xf numFmtId="43" fontId="18" fillId="0" borderId="0" xfId="0" applyNumberFormat="1" applyFont="1" applyAlignment="1">
      <alignment horizontal="right" vertical="center"/>
    </xf>
    <xf numFmtId="43" fontId="22" fillId="0" borderId="0" xfId="0" applyNumberFormat="1" applyFont="1"/>
    <xf numFmtId="9" fontId="22" fillId="0" borderId="0" xfId="1" applyFont="1" applyBorder="1" applyAlignment="1">
      <alignment horizontal="right"/>
    </xf>
    <xf numFmtId="10" fontId="22" fillId="0" borderId="0" xfId="1" applyNumberFormat="1" applyFont="1" applyBorder="1" applyAlignment="1">
      <alignment horizontal="right"/>
    </xf>
    <xf numFmtId="0" fontId="0" fillId="11" borderId="0" xfId="0" applyFill="1"/>
    <xf numFmtId="0" fontId="0" fillId="12" borderId="0" xfId="0" applyFill="1"/>
    <xf numFmtId="0" fontId="21" fillId="2" borderId="7" xfId="0" applyFont="1" applyFill="1" applyBorder="1"/>
    <xf numFmtId="0" fontId="10" fillId="10" borderId="28" xfId="0" applyFont="1" applyFill="1" applyBorder="1"/>
    <xf numFmtId="0" fontId="2" fillId="9" borderId="29" xfId="0" applyFont="1" applyFill="1" applyBorder="1" applyAlignment="1">
      <alignment horizontal="center"/>
    </xf>
    <xf numFmtId="164" fontId="2" fillId="9" borderId="3" xfId="0" applyNumberFormat="1" applyFont="1" applyFill="1" applyBorder="1" applyAlignment="1">
      <alignment horizontal="center"/>
    </xf>
    <xf numFmtId="0" fontId="2" fillId="9" borderId="4" xfId="0" applyFont="1" applyFill="1" applyBorder="1" applyAlignment="1">
      <alignment horizontal="center"/>
    </xf>
    <xf numFmtId="164" fontId="21" fillId="2" borderId="9" xfId="0" applyNumberFormat="1" applyFont="1" applyFill="1" applyBorder="1"/>
    <xf numFmtId="0" fontId="10" fillId="10" borderId="15" xfId="0" applyFont="1" applyFill="1" applyBorder="1"/>
    <xf numFmtId="0" fontId="0" fillId="0" borderId="17" xfId="0" applyBorder="1" applyAlignment="1">
      <alignment horizontal="center"/>
    </xf>
    <xf numFmtId="164" fontId="23" fillId="2" borderId="11" xfId="0" applyNumberFormat="1" applyFont="1" applyFill="1" applyBorder="1"/>
    <xf numFmtId="170" fontId="24" fillId="9" borderId="5" xfId="0" applyNumberFormat="1" applyFont="1" applyFill="1" applyBorder="1"/>
    <xf numFmtId="168" fontId="32" fillId="9" borderId="4" xfId="0" applyNumberFormat="1" applyFont="1" applyFill="1" applyBorder="1"/>
    <xf numFmtId="0" fontId="0" fillId="0" borderId="48" xfId="0" applyBorder="1" applyAlignment="1">
      <alignment horizontal="center"/>
    </xf>
    <xf numFmtId="0" fontId="33" fillId="0" borderId="27" xfId="0" applyFont="1" applyBorder="1" applyAlignment="1">
      <alignment wrapText="1"/>
    </xf>
    <xf numFmtId="172" fontId="24" fillId="10" borderId="3" xfId="0" applyNumberFormat="1" applyFont="1" applyFill="1" applyBorder="1"/>
    <xf numFmtId="164" fontId="23" fillId="6" borderId="1" xfId="0" applyNumberFormat="1" applyFont="1" applyFill="1" applyBorder="1"/>
    <xf numFmtId="0" fontId="0" fillId="0" borderId="27" xfId="0" applyBorder="1" applyAlignment="1">
      <alignment wrapText="1"/>
    </xf>
    <xf numFmtId="164" fontId="21" fillId="7" borderId="1" xfId="0" applyNumberFormat="1" applyFont="1" applyFill="1" applyBorder="1"/>
    <xf numFmtId="173" fontId="24" fillId="4" borderId="3" xfId="0" applyNumberFormat="1" applyFont="1" applyFill="1" applyBorder="1"/>
    <xf numFmtId="38" fontId="24" fillId="4" borderId="3" xfId="0" applyNumberFormat="1" applyFont="1" applyFill="1" applyBorder="1"/>
    <xf numFmtId="2" fontId="24" fillId="6" borderId="0" xfId="0" applyNumberFormat="1" applyFont="1" applyFill="1"/>
    <xf numFmtId="170" fontId="24" fillId="4" borderId="3" xfId="0" applyNumberFormat="1" applyFont="1" applyFill="1" applyBorder="1"/>
    <xf numFmtId="173" fontId="31" fillId="9" borderId="3" xfId="0" applyNumberFormat="1" applyFont="1" applyFill="1" applyBorder="1"/>
    <xf numFmtId="169" fontId="24" fillId="4" borderId="3" xfId="0" applyNumberFormat="1" applyFont="1" applyFill="1" applyBorder="1"/>
    <xf numFmtId="171" fontId="24" fillId="4" borderId="4" xfId="0" applyNumberFormat="1" applyFont="1" applyFill="1" applyBorder="1"/>
    <xf numFmtId="170" fontId="31" fillId="9" borderId="3" xfId="0" applyNumberFormat="1" applyFont="1" applyFill="1" applyBorder="1"/>
    <xf numFmtId="169" fontId="32" fillId="9" borderId="3" xfId="0" applyNumberFormat="1" applyFont="1" applyFill="1" applyBorder="1"/>
    <xf numFmtId="164" fontId="23" fillId="0" borderId="1" xfId="0" applyNumberFormat="1" applyFont="1" applyBorder="1"/>
    <xf numFmtId="0" fontId="23" fillId="2" borderId="1" xfId="0" applyFont="1" applyFill="1" applyBorder="1"/>
    <xf numFmtId="164" fontId="25" fillId="7" borderId="1" xfId="0" applyNumberFormat="1" applyFont="1" applyFill="1" applyBorder="1"/>
    <xf numFmtId="1" fontId="22" fillId="4" borderId="3" xfId="0" applyNumberFormat="1" applyFont="1" applyFill="1" applyBorder="1"/>
    <xf numFmtId="0" fontId="22" fillId="5" borderId="3" xfId="0" applyFont="1" applyFill="1" applyBorder="1"/>
    <xf numFmtId="170" fontId="22" fillId="5" borderId="3" xfId="0" applyNumberFormat="1" applyFont="1" applyFill="1" applyBorder="1"/>
    <xf numFmtId="1" fontId="22" fillId="6" borderId="0" xfId="0" applyNumberFormat="1" applyFont="1" applyFill="1"/>
    <xf numFmtId="0" fontId="24" fillId="10" borderId="3" xfId="0" applyFont="1" applyFill="1" applyBorder="1"/>
    <xf numFmtId="0" fontId="33" fillId="0" borderId="9" xfId="0" applyFont="1" applyBorder="1" applyAlignment="1">
      <alignment wrapText="1"/>
    </xf>
    <xf numFmtId="173" fontId="24" fillId="5" borderId="3" xfId="0" applyNumberFormat="1" applyFont="1" applyFill="1" applyBorder="1"/>
    <xf numFmtId="169" fontId="22" fillId="4" borderId="3" xfId="0" applyNumberFormat="1" applyFont="1" applyFill="1" applyBorder="1"/>
    <xf numFmtId="175" fontId="22" fillId="4" borderId="3" xfId="0" applyNumberFormat="1" applyFont="1" applyFill="1" applyBorder="1"/>
    <xf numFmtId="164" fontId="25" fillId="0" borderId="1" xfId="0" applyNumberFormat="1" applyFont="1" applyBorder="1"/>
    <xf numFmtId="38" fontId="22" fillId="10" borderId="12" xfId="0" applyNumberFormat="1" applyFont="1" applyFill="1" applyBorder="1"/>
    <xf numFmtId="170" fontId="22" fillId="9" borderId="3" xfId="0" applyNumberFormat="1" applyFont="1" applyFill="1" applyBorder="1"/>
    <xf numFmtId="1" fontId="22" fillId="3" borderId="3" xfId="0" applyNumberFormat="1" applyFont="1" applyFill="1" applyBorder="1"/>
    <xf numFmtId="0" fontId="22" fillId="7" borderId="1" xfId="0" applyFont="1" applyFill="1" applyBorder="1"/>
    <xf numFmtId="169" fontId="24" fillId="10" borderId="3" xfId="0" applyNumberFormat="1" applyFont="1" applyFill="1" applyBorder="1"/>
    <xf numFmtId="0" fontId="0" fillId="2" borderId="1" xfId="0" applyFill="1" applyBorder="1"/>
    <xf numFmtId="0" fontId="24" fillId="10" borderId="12" xfId="0" applyFont="1" applyFill="1" applyBorder="1"/>
    <xf numFmtId="171" fontId="24" fillId="9" borderId="13" xfId="0" applyNumberFormat="1" applyFont="1" applyFill="1" applyBorder="1"/>
    <xf numFmtId="173" fontId="22" fillId="4" borderId="2" xfId="0" applyNumberFormat="1" applyFont="1" applyFill="1" applyBorder="1"/>
    <xf numFmtId="170" fontId="22" fillId="4" borderId="2" xfId="0" applyNumberFormat="1" applyFont="1" applyFill="1" applyBorder="1"/>
    <xf numFmtId="1" fontId="24" fillId="6" borderId="3" xfId="0" applyNumberFormat="1" applyFont="1" applyFill="1" applyBorder="1"/>
    <xf numFmtId="1" fontId="24" fillId="6" borderId="0" xfId="0" applyNumberFormat="1" applyFont="1" applyFill="1"/>
    <xf numFmtId="1" fontId="22" fillId="10" borderId="3" xfId="0" applyNumberFormat="1" applyFont="1" applyFill="1" applyBorder="1"/>
    <xf numFmtId="1" fontId="22" fillId="6" borderId="3" xfId="0" applyNumberFormat="1" applyFont="1" applyFill="1" applyBorder="1"/>
    <xf numFmtId="164" fontId="25" fillId="2" borderId="14" xfId="0" applyNumberFormat="1" applyFont="1" applyFill="1" applyBorder="1"/>
    <xf numFmtId="2" fontId="22" fillId="10" borderId="3" xfId="0" applyNumberFormat="1" applyFont="1" applyFill="1" applyBorder="1"/>
    <xf numFmtId="173" fontId="22" fillId="4" borderId="10" xfId="0" applyNumberFormat="1" applyFont="1" applyFill="1" applyBorder="1"/>
    <xf numFmtId="170" fontId="22" fillId="4" borderId="10" xfId="0" applyNumberFormat="1" applyFont="1" applyFill="1" applyBorder="1"/>
    <xf numFmtId="2" fontId="22" fillId="3" borderId="3" xfId="0" applyNumberFormat="1" applyFont="1" applyFill="1" applyBorder="1"/>
    <xf numFmtId="0" fontId="0" fillId="2" borderId="0" xfId="0" applyFill="1"/>
    <xf numFmtId="170" fontId="22" fillId="10" borderId="10" xfId="0" applyNumberFormat="1" applyFont="1" applyFill="1" applyBorder="1"/>
    <xf numFmtId="170" fontId="22" fillId="9" borderId="2" xfId="0" applyNumberFormat="1" applyFont="1" applyFill="1" applyBorder="1"/>
    <xf numFmtId="0" fontId="0" fillId="9" borderId="2" xfId="0" applyFill="1" applyBorder="1"/>
    <xf numFmtId="168" fontId="24" fillId="9" borderId="2" xfId="0" applyNumberFormat="1" applyFont="1" applyFill="1" applyBorder="1"/>
    <xf numFmtId="0" fontId="25" fillId="2" borderId="1" xfId="0" applyFont="1" applyFill="1" applyBorder="1"/>
    <xf numFmtId="170" fontId="22" fillId="10" borderId="15" xfId="0" applyNumberFormat="1" applyFont="1" applyFill="1" applyBorder="1"/>
    <xf numFmtId="3" fontId="17" fillId="9" borderId="3" xfId="0" applyNumberFormat="1" applyFont="1" applyFill="1" applyBorder="1"/>
    <xf numFmtId="168" fontId="24" fillId="9" borderId="3" xfId="0" applyNumberFormat="1" applyFont="1" applyFill="1" applyBorder="1"/>
    <xf numFmtId="170" fontId="24" fillId="10" borderId="3" xfId="0" applyNumberFormat="1" applyFont="1" applyFill="1" applyBorder="1"/>
    <xf numFmtId="0" fontId="17" fillId="9" borderId="3" xfId="0" applyFont="1" applyFill="1" applyBorder="1"/>
    <xf numFmtId="171" fontId="24" fillId="9" borderId="16" xfId="0" applyNumberFormat="1" applyFont="1" applyFill="1" applyBorder="1"/>
    <xf numFmtId="0" fontId="25" fillId="2" borderId="0" xfId="0" applyFont="1" applyFill="1"/>
    <xf numFmtId="0" fontId="0" fillId="9" borderId="3" xfId="0" applyFill="1" applyBorder="1"/>
    <xf numFmtId="170" fontId="24" fillId="10" borderId="15" xfId="0" applyNumberFormat="1" applyFont="1" applyFill="1" applyBorder="1"/>
    <xf numFmtId="0" fontId="34" fillId="2" borderId="0" xfId="0" applyFont="1" applyFill="1"/>
    <xf numFmtId="0" fontId="2" fillId="10" borderId="2" xfId="0" applyFont="1" applyFill="1" applyBorder="1" applyAlignment="1">
      <alignment horizontal="center"/>
    </xf>
    <xf numFmtId="0" fontId="2" fillId="9" borderId="3" xfId="0" applyFont="1" applyFill="1" applyBorder="1" applyAlignment="1">
      <alignment horizontal="center"/>
    </xf>
    <xf numFmtId="164" fontId="35" fillId="9" borderId="3" xfId="0" applyNumberFormat="1" applyFont="1" applyFill="1" applyBorder="1" applyAlignment="1">
      <alignment horizontal="center"/>
    </xf>
    <xf numFmtId="0" fontId="22" fillId="10" borderId="3" xfId="0" applyFont="1" applyFill="1" applyBorder="1" applyAlignment="1">
      <alignment horizontal="center"/>
    </xf>
    <xf numFmtId="0" fontId="22" fillId="9" borderId="3" xfId="0" applyFont="1" applyFill="1" applyBorder="1" applyAlignment="1">
      <alignment horizontal="center"/>
    </xf>
    <xf numFmtId="165" fontId="35" fillId="9" borderId="3" xfId="0" applyNumberFormat="1" applyFont="1" applyFill="1" applyBorder="1" applyAlignment="1">
      <alignment horizontal="center"/>
    </xf>
    <xf numFmtId="0" fontId="25" fillId="0" borderId="17" xfId="0" applyFont="1" applyBorder="1"/>
    <xf numFmtId="3" fontId="24" fillId="9" borderId="3" xfId="0" applyNumberFormat="1" applyFont="1" applyFill="1" applyBorder="1"/>
    <xf numFmtId="0" fontId="23" fillId="2" borderId="18" xfId="0" applyFont="1" applyFill="1" applyBorder="1"/>
    <xf numFmtId="3" fontId="24" fillId="9" borderId="12" xfId="0" applyNumberFormat="1" applyFont="1" applyFill="1" applyBorder="1"/>
    <xf numFmtId="0" fontId="23" fillId="7" borderId="20" xfId="0" applyFont="1" applyFill="1" applyBorder="1"/>
    <xf numFmtId="3" fontId="24" fillId="4" borderId="10" xfId="0" applyNumberFormat="1" applyFont="1" applyFill="1" applyBorder="1"/>
    <xf numFmtId="168" fontId="22" fillId="4" borderId="21" xfId="0" applyNumberFormat="1" applyFont="1" applyFill="1" applyBorder="1"/>
    <xf numFmtId="0" fontId="25" fillId="6" borderId="18" xfId="0" applyFont="1" applyFill="1" applyBorder="1"/>
    <xf numFmtId="170" fontId="24" fillId="9" borderId="2" xfId="0" applyNumberFormat="1" applyFont="1" applyFill="1" applyBorder="1"/>
    <xf numFmtId="0" fontId="23" fillId="8" borderId="20" xfId="0" applyFont="1" applyFill="1" applyBorder="1"/>
    <xf numFmtId="0" fontId="25" fillId="2" borderId="18" xfId="0" applyFont="1" applyFill="1" applyBorder="1"/>
    <xf numFmtId="0" fontId="25" fillId="2" borderId="11" xfId="0" applyFont="1" applyFill="1" applyBorder="1"/>
    <xf numFmtId="0" fontId="22" fillId="2" borderId="1" xfId="0" applyFont="1" applyFill="1" applyBorder="1"/>
    <xf numFmtId="0" fontId="25" fillId="8" borderId="1" xfId="0" applyFont="1" applyFill="1" applyBorder="1"/>
    <xf numFmtId="0" fontId="23" fillId="2" borderId="0" xfId="0" applyFont="1" applyFill="1"/>
    <xf numFmtId="0" fontId="0" fillId="0" borderId="10" xfId="0" applyBorder="1"/>
    <xf numFmtId="168" fontId="24" fillId="2" borderId="21" xfId="0" applyNumberFormat="1" applyFont="1" applyFill="1" applyBorder="1"/>
    <xf numFmtId="0" fontId="25" fillId="2" borderId="17" xfId="0" applyFont="1" applyFill="1" applyBorder="1"/>
    <xf numFmtId="170" fontId="0" fillId="10" borderId="3" xfId="0" applyNumberFormat="1" applyFill="1" applyBorder="1"/>
    <xf numFmtId="170" fontId="22" fillId="2" borderId="2" xfId="0" applyNumberFormat="1" applyFont="1" applyFill="1" applyBorder="1"/>
    <xf numFmtId="3" fontId="24" fillId="2" borderId="24" xfId="0" applyNumberFormat="1" applyFont="1" applyFill="1" applyBorder="1"/>
    <xf numFmtId="0" fontId="25" fillId="2" borderId="25" xfId="0" applyFont="1" applyFill="1" applyBorder="1"/>
    <xf numFmtId="170" fontId="0" fillId="10" borderId="12" xfId="0" applyNumberFormat="1" applyFill="1" applyBorder="1"/>
    <xf numFmtId="170" fontId="22" fillId="2" borderId="12" xfId="0" applyNumberFormat="1" applyFont="1" applyFill="1" applyBorder="1"/>
    <xf numFmtId="0" fontId="25" fillId="8" borderId="26" xfId="0" applyFont="1" applyFill="1" applyBorder="1"/>
    <xf numFmtId="170" fontId="0" fillId="4" borderId="8" xfId="0" applyNumberFormat="1" applyFill="1" applyBorder="1"/>
    <xf numFmtId="0" fontId="25" fillId="5" borderId="0" xfId="0" applyFont="1" applyFill="1"/>
    <xf numFmtId="170" fontId="24" fillId="4" borderId="15" xfId="0" applyNumberFormat="1" applyFont="1" applyFill="1" applyBorder="1"/>
    <xf numFmtId="0" fontId="23" fillId="5" borderId="26" xfId="0" applyFont="1" applyFill="1" applyBorder="1"/>
    <xf numFmtId="170" fontId="24" fillId="4" borderId="8" xfId="0" applyNumberFormat="1" applyFont="1" applyFill="1" applyBorder="1"/>
    <xf numFmtId="170" fontId="22" fillId="4" borderId="8" xfId="0" applyNumberFormat="1" applyFont="1" applyFill="1" applyBorder="1"/>
    <xf numFmtId="3" fontId="24" fillId="2" borderId="15" xfId="0" applyNumberFormat="1" applyFont="1" applyFill="1" applyBorder="1"/>
    <xf numFmtId="170" fontId="24" fillId="2" borderId="15" xfId="0" applyNumberFormat="1" applyFont="1" applyFill="1" applyBorder="1"/>
    <xf numFmtId="0" fontId="0" fillId="0" borderId="15" xfId="0" applyBorder="1"/>
    <xf numFmtId="0" fontId="2" fillId="0" borderId="0" xfId="0" applyFont="1" applyAlignment="1">
      <alignment horizontal="center"/>
    </xf>
    <xf numFmtId="0" fontId="13" fillId="0" borderId="0" xfId="0" applyFont="1" applyAlignment="1">
      <alignment horizontal="center" vertical="center"/>
    </xf>
    <xf numFmtId="6" fontId="18" fillId="0" borderId="0" xfId="0" applyNumberFormat="1" applyFont="1" applyAlignment="1">
      <alignment horizontal="center" vertical="center" wrapText="1"/>
    </xf>
    <xf numFmtId="0" fontId="0" fillId="0" borderId="0" xfId="0" applyAlignment="1">
      <alignment horizontal="center" vertical="center" wrapText="1"/>
    </xf>
    <xf numFmtId="176" fontId="17" fillId="0" borderId="0" xfId="0" applyNumberFormat="1" applyFont="1" applyAlignment="1">
      <alignment horizontal="center" vertical="center"/>
    </xf>
    <xf numFmtId="0" fontId="0" fillId="0" borderId="0" xfId="0" applyAlignment="1">
      <alignment horizontal="center" vertical="center"/>
    </xf>
    <xf numFmtId="0" fontId="14" fillId="0" borderId="0" xfId="0" applyFont="1" applyAlignment="1">
      <alignment horizontal="left" vertical="center" wrapText="1"/>
    </xf>
  </cellXfs>
  <cellStyles count="3">
    <cellStyle name="Currency" xfId="2" builtinId="4"/>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rockhamparish-my.sharepoint.com/personal/clerk_brockhamparish_onmicrosoft_com/Documents/BPC%20Finance%20&amp;%20Audit/Finance/2024_25%20Accounts/Accounts/accounts-24-25.xlsx" TargetMode="External"/><Relationship Id="rId1" Type="http://schemas.openxmlformats.org/officeDocument/2006/relationships/externalLinkPath" Target="/personal/clerk_brockhamparish_onmicrosoft_com/Documents/BPC%20Finance%20&amp;%20Audit/Finance/2024_25%20Accounts/Accounts/accounts-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 &amp; E 2024 to 25"/>
      <sheetName val="Receipts-All"/>
      <sheetName val="Payments-All"/>
      <sheetName val="Expenditure pivot"/>
      <sheetName val="Summary"/>
      <sheetName val="March 202 - Next"/>
      <sheetName val="Lookups"/>
      <sheetName val="Settings"/>
      <sheetName val="accounts-24-25"/>
    </sheetNames>
    <sheetDataSet>
      <sheetData sheetId="0">
        <row r="5">
          <cell r="B5">
            <v>2160</v>
          </cell>
        </row>
        <row r="6">
          <cell r="B6">
            <v>0</v>
          </cell>
        </row>
        <row r="9">
          <cell r="B9">
            <v>1992.5</v>
          </cell>
        </row>
        <row r="10">
          <cell r="B10">
            <v>646.5</v>
          </cell>
        </row>
        <row r="11">
          <cell r="B11">
            <v>43389</v>
          </cell>
        </row>
        <row r="12">
          <cell r="B12">
            <v>2301.6799999999998</v>
          </cell>
        </row>
        <row r="18">
          <cell r="B18">
            <v>0</v>
          </cell>
        </row>
        <row r="20">
          <cell r="B20">
            <v>2285.63</v>
          </cell>
        </row>
        <row r="23">
          <cell r="B23">
            <v>357</v>
          </cell>
        </row>
        <row r="25">
          <cell r="B25">
            <v>585.29</v>
          </cell>
        </row>
        <row r="26">
          <cell r="B26">
            <v>280.75</v>
          </cell>
        </row>
        <row r="27">
          <cell r="B27">
            <v>390</v>
          </cell>
        </row>
        <row r="28">
          <cell r="B28">
            <v>251.06</v>
          </cell>
        </row>
        <row r="29">
          <cell r="B29">
            <v>154.22</v>
          </cell>
        </row>
        <row r="30">
          <cell r="B30">
            <v>1003.39</v>
          </cell>
        </row>
        <row r="31">
          <cell r="B31">
            <v>54</v>
          </cell>
        </row>
        <row r="35">
          <cell r="B35">
            <v>175.5</v>
          </cell>
        </row>
        <row r="36">
          <cell r="B36">
            <v>0</v>
          </cell>
        </row>
        <row r="37">
          <cell r="B37">
            <v>0</v>
          </cell>
        </row>
        <row r="38">
          <cell r="B38">
            <v>0</v>
          </cell>
        </row>
        <row r="39">
          <cell r="B39">
            <v>355.14</v>
          </cell>
        </row>
        <row r="40">
          <cell r="B40">
            <v>86.4</v>
          </cell>
        </row>
        <row r="41">
          <cell r="B41">
            <v>420</v>
          </cell>
        </row>
        <row r="42">
          <cell r="B42">
            <v>1205</v>
          </cell>
        </row>
        <row r="43">
          <cell r="B43">
            <v>90</v>
          </cell>
        </row>
        <row r="44">
          <cell r="B44">
            <v>0</v>
          </cell>
        </row>
        <row r="45">
          <cell r="B45">
            <v>0</v>
          </cell>
        </row>
        <row r="46">
          <cell r="B46">
            <v>2791.63</v>
          </cell>
        </row>
        <row r="47">
          <cell r="B47">
            <v>0</v>
          </cell>
        </row>
        <row r="48">
          <cell r="B48">
            <v>332.02</v>
          </cell>
        </row>
        <row r="50">
          <cell r="B50">
            <v>0</v>
          </cell>
        </row>
        <row r="51">
          <cell r="B51">
            <v>0</v>
          </cell>
        </row>
        <row r="55">
          <cell r="B55">
            <v>5184.57</v>
          </cell>
        </row>
      </sheetData>
      <sheetData sheetId="1"/>
      <sheetData sheetId="2"/>
      <sheetData sheetId="3"/>
      <sheetData sheetId="4"/>
      <sheetData sheetId="5"/>
      <sheetData sheetId="6"/>
      <sheetData sheetId="7"/>
      <sheetData sheetId="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CA6D-1AF5-4D5F-B69E-DC0294AA9179}">
  <sheetPr>
    <pageSetUpPr fitToPage="1"/>
  </sheetPr>
  <dimension ref="A1:G33"/>
  <sheetViews>
    <sheetView workbookViewId="0">
      <selection activeCell="F9" sqref="F9"/>
    </sheetView>
  </sheetViews>
  <sheetFormatPr defaultRowHeight="15" x14ac:dyDescent="0.25"/>
  <cols>
    <col min="1" max="1" width="44.5703125" bestFit="1" customWidth="1"/>
    <col min="2" max="2" width="12.42578125" bestFit="1" customWidth="1"/>
    <col min="5" max="5" width="31.42578125" bestFit="1" customWidth="1"/>
    <col min="6" max="6" width="12.28515625" bestFit="1" customWidth="1"/>
    <col min="7" max="7" width="22.5703125" customWidth="1"/>
    <col min="14" max="14" width="10.7109375" customWidth="1"/>
  </cols>
  <sheetData>
    <row r="1" spans="1:7" x14ac:dyDescent="0.25">
      <c r="A1" s="344" t="s">
        <v>197</v>
      </c>
      <c r="B1" s="344"/>
      <c r="C1" s="344"/>
      <c r="E1" t="s">
        <v>200</v>
      </c>
    </row>
    <row r="2" spans="1:7" x14ac:dyDescent="0.25">
      <c r="A2" s="32"/>
      <c r="B2" s="33"/>
      <c r="C2" s="32"/>
    </row>
    <row r="3" spans="1:7" x14ac:dyDescent="0.25">
      <c r="A3" s="32"/>
      <c r="B3" s="34" t="s">
        <v>75</v>
      </c>
      <c r="C3" s="35"/>
      <c r="E3" s="60" t="s">
        <v>124</v>
      </c>
      <c r="F3" s="61">
        <v>9774.02</v>
      </c>
      <c r="G3" s="60" t="s">
        <v>133</v>
      </c>
    </row>
    <row r="4" spans="1:7" x14ac:dyDescent="0.25">
      <c r="A4" s="32"/>
      <c r="B4" s="33"/>
      <c r="C4" s="32"/>
      <c r="E4" s="60" t="s">
        <v>125</v>
      </c>
      <c r="F4" s="61">
        <v>0</v>
      </c>
      <c r="G4" s="60" t="s">
        <v>131</v>
      </c>
    </row>
    <row r="5" spans="1:7" x14ac:dyDescent="0.25">
      <c r="A5" s="35"/>
      <c r="B5" s="36" t="s">
        <v>76</v>
      </c>
      <c r="C5" s="35"/>
      <c r="E5" s="60" t="s">
        <v>126</v>
      </c>
      <c r="F5" s="61">
        <v>200877.23</v>
      </c>
      <c r="G5" s="60" t="s">
        <v>132</v>
      </c>
    </row>
    <row r="6" spans="1:7" x14ac:dyDescent="0.25">
      <c r="A6" s="63" t="s">
        <v>242</v>
      </c>
      <c r="B6" s="34">
        <f>F9</f>
        <v>222135.41999999998</v>
      </c>
      <c r="C6" s="35"/>
      <c r="E6" s="60" t="s">
        <v>127</v>
      </c>
      <c r="F6" s="61">
        <v>1508.75</v>
      </c>
      <c r="G6" s="60" t="s">
        <v>131</v>
      </c>
    </row>
    <row r="7" spans="1:7" x14ac:dyDescent="0.25">
      <c r="A7" s="63" t="s">
        <v>150</v>
      </c>
      <c r="B7" s="65">
        <f>'Draft Budget 2025-2026 No chang'!L11</f>
        <v>2250</v>
      </c>
      <c r="C7" s="35"/>
      <c r="E7" s="60" t="s">
        <v>128</v>
      </c>
      <c r="F7" s="61">
        <v>7.33</v>
      </c>
      <c r="G7" s="60" t="s">
        <v>130</v>
      </c>
    </row>
    <row r="8" spans="1:7" x14ac:dyDescent="0.25">
      <c r="A8" s="63" t="s">
        <v>149</v>
      </c>
      <c r="B8" s="34">
        <f>'Draft Budget 2025-2026 No chang'!L41</f>
        <v>15894.279999999999</v>
      </c>
      <c r="C8" s="35"/>
      <c r="E8" s="60" t="s">
        <v>129</v>
      </c>
      <c r="F8" s="61">
        <v>9968.09</v>
      </c>
      <c r="G8" s="60" t="s">
        <v>170</v>
      </c>
    </row>
    <row r="9" spans="1:7" ht="15.75" thickBot="1" x14ac:dyDescent="0.3">
      <c r="A9" s="37" t="s">
        <v>201</v>
      </c>
      <c r="B9" s="38">
        <f>B6+B7-B8</f>
        <v>208491.13999999998</v>
      </c>
      <c r="C9" s="32"/>
      <c r="E9" s="60" t="s">
        <v>134</v>
      </c>
      <c r="F9" s="62">
        <f>SUM(F3:F8)</f>
        <v>222135.41999999998</v>
      </c>
    </row>
    <row r="10" spans="1:7" ht="15.75" thickTop="1" x14ac:dyDescent="0.25">
      <c r="A10" s="37"/>
      <c r="C10" s="32"/>
    </row>
    <row r="11" spans="1:7" x14ac:dyDescent="0.25">
      <c r="A11" s="39" t="s">
        <v>198</v>
      </c>
      <c r="B11" s="40"/>
      <c r="C11" s="32"/>
      <c r="D11" s="84" t="s">
        <v>177</v>
      </c>
      <c r="E11" t="s">
        <v>246</v>
      </c>
    </row>
    <row r="12" spans="1:7" x14ac:dyDescent="0.25">
      <c r="A12" s="32" t="s">
        <v>6</v>
      </c>
      <c r="B12" s="33">
        <f>'Draft Budget 2025-2026 No chang'!N3</f>
        <v>41417</v>
      </c>
      <c r="C12" s="32"/>
      <c r="D12" s="83" t="s">
        <v>178</v>
      </c>
      <c r="E12" t="s">
        <v>194</v>
      </c>
    </row>
    <row r="13" spans="1:7" x14ac:dyDescent="0.25">
      <c r="A13" s="32" t="s">
        <v>122</v>
      </c>
      <c r="B13" s="33">
        <v>3985</v>
      </c>
      <c r="C13" s="32"/>
      <c r="D13" s="82" t="s">
        <v>179</v>
      </c>
      <c r="E13" t="s">
        <v>195</v>
      </c>
    </row>
    <row r="14" spans="1:7" x14ac:dyDescent="0.25">
      <c r="A14" s="32" t="s">
        <v>123</v>
      </c>
      <c r="B14" s="33">
        <v>1293</v>
      </c>
      <c r="C14" s="32"/>
    </row>
    <row r="15" spans="1:7" x14ac:dyDescent="0.25">
      <c r="A15" s="32" t="s">
        <v>121</v>
      </c>
      <c r="B15" s="33">
        <v>0</v>
      </c>
      <c r="C15" s="32"/>
    </row>
    <row r="16" spans="1:7" x14ac:dyDescent="0.25">
      <c r="A16" s="32" t="s">
        <v>175</v>
      </c>
      <c r="B16" s="64">
        <f>'Draft Budget 2025-2026 No chang'!N6</f>
        <v>250</v>
      </c>
      <c r="C16" s="32"/>
    </row>
    <row r="17" spans="1:5" x14ac:dyDescent="0.25">
      <c r="A17" s="32" t="s">
        <v>176</v>
      </c>
      <c r="B17" s="64">
        <f>'Draft Budget 2025-2026 No chang'!N10</f>
        <v>2250</v>
      </c>
      <c r="C17" s="32"/>
    </row>
    <row r="18" spans="1:5" x14ac:dyDescent="0.25">
      <c r="A18" s="32"/>
      <c r="B18" s="41">
        <f>SUM(B12:B17)</f>
        <v>49195</v>
      </c>
      <c r="C18" s="32"/>
    </row>
    <row r="19" spans="1:5" x14ac:dyDescent="0.25">
      <c r="A19" s="32"/>
      <c r="B19" s="33"/>
      <c r="C19" s="32"/>
    </row>
    <row r="20" spans="1:5" x14ac:dyDescent="0.25">
      <c r="A20" s="39" t="s">
        <v>199</v>
      </c>
      <c r="B20" s="33"/>
      <c r="C20" s="32"/>
    </row>
    <row r="21" spans="1:5" x14ac:dyDescent="0.25">
      <c r="A21" s="32" t="s">
        <v>78</v>
      </c>
      <c r="B21" s="33">
        <f>'Draft Budget 2025-2026 No chang'!N41</f>
        <v>46151</v>
      </c>
      <c r="C21" s="32"/>
    </row>
    <row r="22" spans="1:5" x14ac:dyDescent="0.25">
      <c r="A22" s="32" t="s">
        <v>79</v>
      </c>
      <c r="B22" s="33">
        <v>10000</v>
      </c>
      <c r="C22" s="32"/>
    </row>
    <row r="23" spans="1:5" x14ac:dyDescent="0.25">
      <c r="A23" s="32" t="s">
        <v>244</v>
      </c>
      <c r="B23" s="33">
        <v>80000</v>
      </c>
      <c r="C23" s="32"/>
    </row>
    <row r="24" spans="1:5" x14ac:dyDescent="0.25">
      <c r="A24" s="32" t="s">
        <v>245</v>
      </c>
      <c r="B24" s="33">
        <v>80000</v>
      </c>
      <c r="C24" s="32"/>
    </row>
    <row r="25" spans="1:5" x14ac:dyDescent="0.25">
      <c r="A25" s="32" t="s">
        <v>243</v>
      </c>
      <c r="B25" s="33">
        <v>1750</v>
      </c>
      <c r="C25" s="32"/>
    </row>
    <row r="26" spans="1:5" x14ac:dyDescent="0.25">
      <c r="A26" s="32" t="s">
        <v>180</v>
      </c>
      <c r="B26" s="33">
        <v>10000</v>
      </c>
      <c r="C26" s="32"/>
      <c r="D26" s="84"/>
    </row>
    <row r="27" spans="1:5" x14ac:dyDescent="0.25">
      <c r="A27" s="32" t="s">
        <v>151</v>
      </c>
      <c r="B27" s="33">
        <v>5000</v>
      </c>
      <c r="C27" s="32"/>
      <c r="D27" s="83" t="s">
        <v>178</v>
      </c>
      <c r="E27" t="s">
        <v>181</v>
      </c>
    </row>
    <row r="28" spans="1:5" x14ac:dyDescent="0.25">
      <c r="A28" s="32" t="s">
        <v>80</v>
      </c>
      <c r="B28" s="41">
        <f>SUM(B21:B27)</f>
        <v>232901</v>
      </c>
      <c r="C28" s="32"/>
    </row>
    <row r="29" spans="1:5" x14ac:dyDescent="0.25">
      <c r="A29" s="32"/>
      <c r="B29" s="33"/>
      <c r="C29" s="32"/>
    </row>
    <row r="30" spans="1:5" ht="15.75" thickBot="1" x14ac:dyDescent="0.3">
      <c r="A30" s="37" t="s">
        <v>241</v>
      </c>
      <c r="B30" s="38">
        <f>SUM(B9+B18-B28)</f>
        <v>24785.139999999985</v>
      </c>
      <c r="C30" s="32"/>
    </row>
    <row r="31" spans="1:5" ht="15.75" thickTop="1" x14ac:dyDescent="0.25">
      <c r="A31" s="32"/>
      <c r="B31" s="33"/>
      <c r="C31" s="32"/>
    </row>
    <row r="32" spans="1:5" ht="15.75" thickBot="1" x14ac:dyDescent="0.3">
      <c r="A32" s="37" t="s">
        <v>202</v>
      </c>
      <c r="B32" s="38">
        <f>SUM(B9+B18-B30)</f>
        <v>232901</v>
      </c>
      <c r="C32" s="37" t="s">
        <v>77</v>
      </c>
    </row>
    <row r="33" ht="15.75" thickTop="1" x14ac:dyDescent="0.25"/>
  </sheetData>
  <mergeCells count="1">
    <mergeCell ref="A1:C1"/>
  </mergeCells>
  <phoneticPr fontId="11" type="noConversion"/>
  <pageMargins left="0.70866141732283472" right="0.70866141732283472" top="0.74803149606299213" bottom="0.74803149606299213" header="0.31496062992125984" footer="0.31496062992125984"/>
  <pageSetup paperSize="9" scale="66"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3"/>
  <sheetViews>
    <sheetView tabSelected="1" topLeftCell="H1" zoomScale="80" zoomScaleNormal="80" workbookViewId="0">
      <selection activeCell="N2" sqref="N2"/>
    </sheetView>
  </sheetViews>
  <sheetFormatPr defaultRowHeight="15" x14ac:dyDescent="0.25"/>
  <cols>
    <col min="1" max="1" width="57.85546875" hidden="1" customWidth="1"/>
    <col min="2" max="2" width="11" hidden="1" customWidth="1"/>
    <col min="3" max="3" width="17.7109375" hidden="1" customWidth="1"/>
    <col min="4" max="4" width="10.28515625" hidden="1" customWidth="1"/>
    <col min="5" max="5" width="11.85546875" hidden="1" customWidth="1"/>
    <col min="6" max="6" width="21.7109375" hidden="1" customWidth="1"/>
    <col min="7" max="7" width="0" hidden="1" customWidth="1"/>
    <col min="8" max="8" width="8.85546875" style="96"/>
    <col min="9" max="9" width="76.7109375" bestFit="1" customWidth="1"/>
    <col min="10" max="13" width="15.7109375" hidden="1" customWidth="1"/>
    <col min="14" max="18" width="15.7109375" customWidth="1"/>
    <col min="21" max="21" width="65.28515625" bestFit="1" customWidth="1"/>
  </cols>
  <sheetData>
    <row r="1" spans="1:21" ht="16.5" thickBot="1" x14ac:dyDescent="0.3">
      <c r="A1" s="90"/>
      <c r="B1" s="91" t="s">
        <v>50</v>
      </c>
      <c r="C1" s="92" t="s">
        <v>55</v>
      </c>
      <c r="D1" s="93" t="s">
        <v>3</v>
      </c>
      <c r="E1" s="94" t="s">
        <v>4</v>
      </c>
      <c r="F1" s="95" t="s">
        <v>53</v>
      </c>
    </row>
    <row r="2" spans="1:21" ht="102.6" customHeight="1" thickBot="1" x14ac:dyDescent="0.3">
      <c r="A2" s="97"/>
      <c r="B2" s="98"/>
      <c r="C2" s="92" t="s">
        <v>54</v>
      </c>
      <c r="D2" s="99"/>
      <c r="E2" s="100"/>
      <c r="F2" s="101"/>
      <c r="H2" s="102" t="s">
        <v>116</v>
      </c>
      <c r="I2" s="103" t="s">
        <v>59</v>
      </c>
      <c r="J2" s="104" t="s">
        <v>196</v>
      </c>
      <c r="K2" s="105" t="s">
        <v>209</v>
      </c>
      <c r="L2" s="106" t="s">
        <v>210</v>
      </c>
      <c r="M2" s="107" t="s">
        <v>247</v>
      </c>
      <c r="N2" s="108" t="s">
        <v>205</v>
      </c>
      <c r="O2" s="109" t="s">
        <v>206</v>
      </c>
      <c r="P2" s="109" t="s">
        <v>207</v>
      </c>
      <c r="Q2" s="109" t="s">
        <v>208</v>
      </c>
      <c r="R2" s="110" t="s">
        <v>119</v>
      </c>
    </row>
    <row r="3" spans="1:21" ht="15.75" x14ac:dyDescent="0.25">
      <c r="A3" s="111" t="s">
        <v>5</v>
      </c>
      <c r="B3" s="98"/>
      <c r="C3" s="112"/>
      <c r="D3" s="99"/>
      <c r="E3" s="113"/>
      <c r="F3" s="101"/>
      <c r="H3" s="114">
        <v>1</v>
      </c>
      <c r="I3" s="115" t="s">
        <v>60</v>
      </c>
      <c r="J3" s="116">
        <v>40750</v>
      </c>
      <c r="K3" s="117">
        <f>'[1]I &amp; E 2024 to 25'!$B$11</f>
        <v>43389</v>
      </c>
      <c r="L3" s="117"/>
      <c r="M3" s="116">
        <v>40750</v>
      </c>
      <c r="N3" s="116">
        <v>41417</v>
      </c>
      <c r="O3" s="118">
        <f t="shared" ref="O3:O11" si="0">N3-J3</f>
        <v>667</v>
      </c>
      <c r="P3" s="119">
        <f t="shared" ref="P3:P41" si="1">IF(J3=0,"", N3/J3-1)</f>
        <v>1.6368098159509126E-2</v>
      </c>
      <c r="Q3" s="118">
        <f>N3-M3</f>
        <v>667</v>
      </c>
      <c r="R3" s="120">
        <f>IF(M3=0,"", N3/M3-1)</f>
        <v>1.6368098159509126E-2</v>
      </c>
      <c r="U3" s="121"/>
    </row>
    <row r="4" spans="1:21" ht="15.75" x14ac:dyDescent="0.25">
      <c r="A4" s="111"/>
      <c r="B4" s="122"/>
      <c r="C4" s="112"/>
      <c r="D4" s="99"/>
      <c r="E4" s="123"/>
      <c r="F4" s="124"/>
      <c r="H4" s="125">
        <v>2</v>
      </c>
      <c r="I4" s="126" t="s">
        <v>72</v>
      </c>
      <c r="J4" s="117">
        <v>3985</v>
      </c>
      <c r="K4" s="117">
        <f>'[1]I &amp; E 2024 to 25'!$B$9</f>
        <v>1992.5</v>
      </c>
      <c r="L4" s="117"/>
      <c r="M4" s="117">
        <v>3985</v>
      </c>
      <c r="N4" s="117">
        <v>3985</v>
      </c>
      <c r="O4" s="118">
        <f t="shared" si="0"/>
        <v>0</v>
      </c>
      <c r="P4" s="127">
        <f t="shared" si="1"/>
        <v>0</v>
      </c>
      <c r="Q4" s="118">
        <f t="shared" ref="Q4:Q45" si="2">N4-M4</f>
        <v>0</v>
      </c>
      <c r="R4" s="128">
        <f t="shared" ref="R4:R45" si="3">IF(M4=0,"", N4/M4-1)</f>
        <v>0</v>
      </c>
    </row>
    <row r="5" spans="1:21" ht="15.75" x14ac:dyDescent="0.25">
      <c r="A5" s="111"/>
      <c r="B5" s="122"/>
      <c r="C5" s="112"/>
      <c r="D5" s="99"/>
      <c r="E5" s="123"/>
      <c r="F5" s="124"/>
      <c r="H5" s="114">
        <v>3</v>
      </c>
      <c r="I5" s="126" t="s">
        <v>73</v>
      </c>
      <c r="J5" s="116">
        <v>1293</v>
      </c>
      <c r="K5" s="117">
        <f>'[1]I &amp; E 2024 to 25'!$B$10</f>
        <v>646.5</v>
      </c>
      <c r="L5" s="117"/>
      <c r="M5" s="116">
        <v>1293</v>
      </c>
      <c r="N5" s="116">
        <v>1293</v>
      </c>
      <c r="O5" s="118">
        <f t="shared" si="0"/>
        <v>0</v>
      </c>
      <c r="P5" s="127">
        <f t="shared" si="1"/>
        <v>0</v>
      </c>
      <c r="Q5" s="118">
        <f t="shared" si="2"/>
        <v>0</v>
      </c>
      <c r="R5" s="128">
        <f t="shared" si="3"/>
        <v>0</v>
      </c>
    </row>
    <row r="6" spans="1:21" ht="15.75" x14ac:dyDescent="0.25">
      <c r="A6" s="97" t="s">
        <v>6</v>
      </c>
      <c r="B6" s="129">
        <v>75298</v>
      </c>
      <c r="C6" s="130">
        <v>75298</v>
      </c>
      <c r="D6" s="131">
        <v>0</v>
      </c>
      <c r="E6" s="130">
        <v>75298</v>
      </c>
      <c r="F6" s="132">
        <v>76500</v>
      </c>
      <c r="H6" s="125">
        <v>4</v>
      </c>
      <c r="I6" s="126" t="s">
        <v>61</v>
      </c>
      <c r="J6" s="133">
        <v>250</v>
      </c>
      <c r="K6" s="134">
        <f>'[1]I &amp; E 2024 to 25'!$B$6</f>
        <v>0</v>
      </c>
      <c r="L6" s="117">
        <v>250</v>
      </c>
      <c r="M6" s="116">
        <f t="shared" ref="M6:M8" si="4">K6+L6</f>
        <v>250</v>
      </c>
      <c r="N6" s="133">
        <v>250</v>
      </c>
      <c r="O6" s="118">
        <f t="shared" si="0"/>
        <v>0</v>
      </c>
      <c r="P6" s="119">
        <f t="shared" si="1"/>
        <v>0</v>
      </c>
      <c r="Q6" s="118">
        <f t="shared" si="2"/>
        <v>0</v>
      </c>
      <c r="R6" s="135">
        <f t="shared" si="3"/>
        <v>0</v>
      </c>
    </row>
    <row r="7" spans="1:21" ht="15.75" x14ac:dyDescent="0.25">
      <c r="A7" s="97" t="s">
        <v>7</v>
      </c>
      <c r="B7" s="136">
        <v>11000</v>
      </c>
      <c r="C7" s="137">
        <v>11151</v>
      </c>
      <c r="D7" s="131">
        <v>0</v>
      </c>
      <c r="E7" s="138">
        <v>11151</v>
      </c>
      <c r="F7" s="139">
        <v>11500</v>
      </c>
      <c r="H7" s="114">
        <v>5</v>
      </c>
      <c r="I7" s="126" t="s">
        <v>62</v>
      </c>
      <c r="J7" s="133"/>
      <c r="K7" s="140"/>
      <c r="L7" s="141"/>
      <c r="M7" s="116">
        <f t="shared" si="4"/>
        <v>0</v>
      </c>
      <c r="N7" s="133"/>
      <c r="O7" s="118">
        <f t="shared" si="0"/>
        <v>0</v>
      </c>
      <c r="P7" s="127" t="str">
        <f t="shared" si="1"/>
        <v/>
      </c>
      <c r="Q7" s="118">
        <f t="shared" si="2"/>
        <v>0</v>
      </c>
      <c r="R7" s="135" t="str">
        <f t="shared" si="3"/>
        <v/>
      </c>
    </row>
    <row r="8" spans="1:21" ht="15.75" x14ac:dyDescent="0.25">
      <c r="A8" s="97" t="s">
        <v>52</v>
      </c>
      <c r="B8" s="136">
        <v>4200</v>
      </c>
      <c r="C8" s="137">
        <v>4200</v>
      </c>
      <c r="D8" s="131">
        <v>0</v>
      </c>
      <c r="E8" s="138">
        <v>4200</v>
      </c>
      <c r="F8" s="139">
        <v>1755</v>
      </c>
      <c r="H8" s="125">
        <v>6</v>
      </c>
      <c r="I8" s="126" t="s">
        <v>63</v>
      </c>
      <c r="J8" s="133">
        <v>0</v>
      </c>
      <c r="K8" s="140"/>
      <c r="L8" s="141"/>
      <c r="M8" s="116">
        <f t="shared" si="4"/>
        <v>0</v>
      </c>
      <c r="N8" s="133"/>
      <c r="O8" s="118">
        <f t="shared" si="0"/>
        <v>0</v>
      </c>
      <c r="P8" s="127" t="str">
        <f t="shared" si="1"/>
        <v/>
      </c>
      <c r="Q8" s="118">
        <f t="shared" si="2"/>
        <v>0</v>
      </c>
      <c r="R8" s="135" t="str">
        <f t="shared" si="3"/>
        <v/>
      </c>
    </row>
    <row r="9" spans="1:21" ht="15.75" x14ac:dyDescent="0.25">
      <c r="A9" s="97" t="s">
        <v>47</v>
      </c>
      <c r="B9" s="136">
        <v>4800</v>
      </c>
      <c r="C9" s="142">
        <v>11845.02</v>
      </c>
      <c r="D9" s="131">
        <v>0</v>
      </c>
      <c r="E9" s="143">
        <v>11845.02</v>
      </c>
      <c r="F9" s="139">
        <v>4800</v>
      </c>
      <c r="H9" s="114">
        <v>7</v>
      </c>
      <c r="I9" s="126" t="s">
        <v>64</v>
      </c>
      <c r="J9" s="133"/>
      <c r="K9" s="134">
        <f>'[1]I &amp; E 2024 to 25'!$B$12</f>
        <v>2301.6799999999998</v>
      </c>
      <c r="L9" s="144">
        <v>2000</v>
      </c>
      <c r="M9" s="116">
        <v>2500</v>
      </c>
      <c r="N9" s="133">
        <v>2500</v>
      </c>
      <c r="O9" s="118">
        <f t="shared" si="0"/>
        <v>2500</v>
      </c>
      <c r="P9" s="119" t="str">
        <f t="shared" si="1"/>
        <v/>
      </c>
      <c r="Q9" s="118">
        <f t="shared" si="2"/>
        <v>0</v>
      </c>
      <c r="R9" s="145">
        <f t="shared" si="3"/>
        <v>0</v>
      </c>
    </row>
    <row r="10" spans="1:21" ht="16.5" thickBot="1" x14ac:dyDescent="0.3">
      <c r="A10" s="97" t="s">
        <v>48</v>
      </c>
      <c r="B10" s="146"/>
      <c r="C10" s="137"/>
      <c r="D10" s="131"/>
      <c r="E10" s="113"/>
      <c r="F10" s="101"/>
      <c r="H10" s="125">
        <v>8</v>
      </c>
      <c r="I10" s="147" t="s">
        <v>74</v>
      </c>
      <c r="J10" s="148">
        <v>2500</v>
      </c>
      <c r="K10" s="149">
        <f>'[1]I &amp; E 2024 to 25'!$B$5</f>
        <v>2160</v>
      </c>
      <c r="L10" s="150"/>
      <c r="M10" s="116">
        <f>K10+L10</f>
        <v>2160</v>
      </c>
      <c r="N10" s="148">
        <v>2250</v>
      </c>
      <c r="O10" s="118">
        <f t="shared" si="0"/>
        <v>-250</v>
      </c>
      <c r="P10" s="127">
        <f t="shared" si="1"/>
        <v>-9.9999999999999978E-2</v>
      </c>
      <c r="Q10" s="118">
        <f t="shared" si="2"/>
        <v>90</v>
      </c>
      <c r="R10" s="151">
        <f t="shared" si="3"/>
        <v>4.1666666666666741E-2</v>
      </c>
    </row>
    <row r="11" spans="1:21" ht="16.5" thickBot="1" x14ac:dyDescent="0.3">
      <c r="A11" s="97"/>
      <c r="B11" s="146"/>
      <c r="C11" s="137"/>
      <c r="D11" s="131"/>
      <c r="E11" s="113"/>
      <c r="F11" s="101"/>
      <c r="H11" s="125"/>
      <c r="I11" s="103" t="s">
        <v>65</v>
      </c>
      <c r="J11" s="152">
        <f>SUM(J3:J10)</f>
        <v>48778</v>
      </c>
      <c r="K11" s="153">
        <f>SUM(K3:K10)</f>
        <v>50489.68</v>
      </c>
      <c r="L11" s="153">
        <f>SUM(L3:L10)</f>
        <v>2250</v>
      </c>
      <c r="M11" s="154">
        <f>SUM(M3:M10)</f>
        <v>50938</v>
      </c>
      <c r="N11" s="152">
        <f>SUM(N3:N10)</f>
        <v>51695</v>
      </c>
      <c r="O11" s="155">
        <f t="shared" si="0"/>
        <v>2917</v>
      </c>
      <c r="P11" s="156">
        <f t="shared" si="1"/>
        <v>5.9801549879043847E-2</v>
      </c>
      <c r="Q11" s="155">
        <f t="shared" si="2"/>
        <v>757</v>
      </c>
      <c r="R11" s="156">
        <f t="shared" si="3"/>
        <v>1.4861203816404212E-2</v>
      </c>
    </row>
    <row r="12" spans="1:21" ht="15.75" x14ac:dyDescent="0.25">
      <c r="A12" s="97"/>
      <c r="B12" s="98"/>
      <c r="C12" s="137"/>
      <c r="D12" s="131"/>
      <c r="E12" s="113"/>
      <c r="F12" s="101"/>
      <c r="H12" s="125"/>
      <c r="I12" s="157" t="s">
        <v>67</v>
      </c>
      <c r="J12" s="158"/>
      <c r="K12" s="159"/>
      <c r="L12" s="160"/>
      <c r="M12" s="160"/>
      <c r="N12" s="158"/>
      <c r="O12" s="118" t="str">
        <f>IF(J12=0,IF(N12=0, "", N12-J12), N12-J12)</f>
        <v/>
      </c>
      <c r="P12" s="161" t="str">
        <f t="shared" si="1"/>
        <v/>
      </c>
      <c r="Q12" s="118" t="str">
        <f t="shared" ref="Q12" si="5">IF(M12=0,IF(N12=0, "", N12-M12), N12-M12)</f>
        <v/>
      </c>
      <c r="R12" s="135"/>
    </row>
    <row r="13" spans="1:21" ht="15.75" x14ac:dyDescent="0.25">
      <c r="A13" s="111" t="s">
        <v>8</v>
      </c>
      <c r="B13" s="162">
        <f>SUM(B6:B12)</f>
        <v>95298</v>
      </c>
      <c r="C13" s="163">
        <v>118516.69</v>
      </c>
      <c r="D13" s="164">
        <v>5815</v>
      </c>
      <c r="E13" s="165">
        <f>C13+D13</f>
        <v>124331.69</v>
      </c>
      <c r="F13" s="166">
        <f>SUM(F6:F12)</f>
        <v>94555</v>
      </c>
      <c r="H13" s="167">
        <v>9</v>
      </c>
      <c r="I13" s="168" t="s">
        <v>248</v>
      </c>
      <c r="J13" s="169">
        <v>16000</v>
      </c>
      <c r="K13" s="170">
        <f>'[1]I &amp; E 2024 to 25'!$B$20</f>
        <v>2285.63</v>
      </c>
      <c r="L13" s="171">
        <v>5470</v>
      </c>
      <c r="M13" s="171">
        <f>K13+L13</f>
        <v>7755.63</v>
      </c>
      <c r="N13" s="169">
        <v>17160</v>
      </c>
      <c r="O13" s="118">
        <f t="shared" ref="O13:O41" si="6">N13-J13</f>
        <v>1160</v>
      </c>
      <c r="P13" s="161">
        <f t="shared" si="1"/>
        <v>7.2500000000000009E-2</v>
      </c>
      <c r="Q13" s="118">
        <f t="shared" si="2"/>
        <v>9404.369999999999</v>
      </c>
      <c r="R13" s="135">
        <f t="shared" si="3"/>
        <v>1.2125862115650179</v>
      </c>
    </row>
    <row r="14" spans="1:21" ht="15.75" x14ac:dyDescent="0.25">
      <c r="A14" s="97"/>
      <c r="B14" s="98"/>
      <c r="C14" s="137"/>
      <c r="D14" s="131"/>
      <c r="E14" s="113"/>
      <c r="F14" s="101"/>
      <c r="H14" s="167">
        <v>10</v>
      </c>
      <c r="I14" s="172" t="s">
        <v>97</v>
      </c>
      <c r="J14" s="169">
        <v>1500</v>
      </c>
      <c r="K14" s="173">
        <f>'[1]I &amp; E 2024 to 25'!$B$18</f>
        <v>0</v>
      </c>
      <c r="L14" s="171">
        <v>800</v>
      </c>
      <c r="M14" s="171">
        <f>K14+L14</f>
        <v>800</v>
      </c>
      <c r="N14" s="169">
        <v>1500</v>
      </c>
      <c r="O14" s="118">
        <f t="shared" si="6"/>
        <v>0</v>
      </c>
      <c r="P14" s="161">
        <f t="shared" si="1"/>
        <v>0</v>
      </c>
      <c r="Q14" s="118">
        <f t="shared" si="2"/>
        <v>700</v>
      </c>
      <c r="R14" s="135">
        <f t="shared" si="3"/>
        <v>0.875</v>
      </c>
    </row>
    <row r="15" spans="1:21" ht="15.75" x14ac:dyDescent="0.25">
      <c r="A15" s="111" t="s">
        <v>56</v>
      </c>
      <c r="B15" s="166">
        <v>34800</v>
      </c>
      <c r="C15" s="174">
        <v>20036.64</v>
      </c>
      <c r="D15" s="175">
        <v>12000</v>
      </c>
      <c r="E15" s="174">
        <v>32000</v>
      </c>
      <c r="F15" s="166">
        <v>40000</v>
      </c>
      <c r="H15" s="125">
        <v>11</v>
      </c>
      <c r="I15" s="176" t="s">
        <v>98</v>
      </c>
      <c r="J15" s="148">
        <v>180</v>
      </c>
      <c r="K15" s="177">
        <f>'[1]I &amp; E 2024 to 25'!$B$23</f>
        <v>357</v>
      </c>
      <c r="L15" s="178">
        <v>180</v>
      </c>
      <c r="M15" s="179">
        <f>K15+L15</f>
        <v>537</v>
      </c>
      <c r="N15" s="148">
        <f>18*12</f>
        <v>216</v>
      </c>
      <c r="O15" s="118">
        <f t="shared" si="6"/>
        <v>36</v>
      </c>
      <c r="P15" s="161">
        <f t="shared" si="1"/>
        <v>0.19999999999999996</v>
      </c>
      <c r="Q15" s="118">
        <f t="shared" si="2"/>
        <v>-321</v>
      </c>
      <c r="R15" s="135">
        <f t="shared" si="3"/>
        <v>-0.5977653631284916</v>
      </c>
    </row>
    <row r="16" spans="1:21" ht="15.75" x14ac:dyDescent="0.25">
      <c r="A16" s="97"/>
      <c r="B16" s="98"/>
      <c r="C16" s="142"/>
      <c r="D16" s="131"/>
      <c r="E16" s="113"/>
      <c r="F16" s="101"/>
      <c r="H16" s="125">
        <v>12</v>
      </c>
      <c r="I16" s="176" t="s">
        <v>100</v>
      </c>
      <c r="J16" s="148">
        <v>300</v>
      </c>
      <c r="K16" s="177">
        <f>'[1]I &amp; E 2024 to 25'!$B$29</f>
        <v>154.22</v>
      </c>
      <c r="L16" s="178">
        <f t="shared" ref="L16:L39" si="7">M16-K16</f>
        <v>0.78000000000000114</v>
      </c>
      <c r="M16" s="179">
        <v>155</v>
      </c>
      <c r="N16" s="148">
        <v>175</v>
      </c>
      <c r="O16" s="118">
        <f t="shared" si="6"/>
        <v>-125</v>
      </c>
      <c r="P16" s="161">
        <f t="shared" si="1"/>
        <v>-0.41666666666666663</v>
      </c>
      <c r="Q16" s="118">
        <f t="shared" si="2"/>
        <v>20</v>
      </c>
      <c r="R16" s="135">
        <f t="shared" si="3"/>
        <v>0.12903225806451624</v>
      </c>
    </row>
    <row r="17" spans="1:18" ht="15.75" x14ac:dyDescent="0.25">
      <c r="A17" s="97"/>
      <c r="B17" s="98"/>
      <c r="C17" s="142"/>
      <c r="D17" s="131"/>
      <c r="E17" s="113"/>
      <c r="F17" s="101"/>
      <c r="H17" s="125">
        <v>13</v>
      </c>
      <c r="I17" s="176" t="s">
        <v>101</v>
      </c>
      <c r="J17" s="148">
        <v>850</v>
      </c>
      <c r="L17" s="178">
        <v>100</v>
      </c>
      <c r="M17" s="179">
        <v>200</v>
      </c>
      <c r="N17" s="148">
        <v>250</v>
      </c>
      <c r="O17" s="118">
        <f t="shared" si="6"/>
        <v>-600</v>
      </c>
      <c r="P17" s="161">
        <f t="shared" si="1"/>
        <v>-0.70588235294117641</v>
      </c>
      <c r="Q17" s="118">
        <f t="shared" si="2"/>
        <v>50</v>
      </c>
      <c r="R17" s="135">
        <f t="shared" si="3"/>
        <v>0.25</v>
      </c>
    </row>
    <row r="18" spans="1:18" ht="15.75" x14ac:dyDescent="0.25">
      <c r="A18" s="97"/>
      <c r="B18" s="98"/>
      <c r="C18" s="142"/>
      <c r="D18" s="131"/>
      <c r="E18" s="113"/>
      <c r="F18" s="101"/>
      <c r="H18" s="125">
        <v>14</v>
      </c>
      <c r="I18" s="176" t="s">
        <v>99</v>
      </c>
      <c r="J18" s="148">
        <v>1000</v>
      </c>
      <c r="K18" s="177">
        <f>'[1]I &amp; E 2024 to 25'!$B$26</f>
        <v>280.75</v>
      </c>
      <c r="L18" s="178">
        <f t="shared" si="7"/>
        <v>69.25</v>
      </c>
      <c r="M18" s="179">
        <v>350</v>
      </c>
      <c r="N18" s="148">
        <v>500</v>
      </c>
      <c r="O18" s="118">
        <f t="shared" si="6"/>
        <v>-500</v>
      </c>
      <c r="P18" s="161">
        <f t="shared" si="1"/>
        <v>-0.5</v>
      </c>
      <c r="Q18" s="118">
        <f t="shared" si="2"/>
        <v>150</v>
      </c>
      <c r="R18" s="135">
        <f t="shared" si="3"/>
        <v>0.4285714285714286</v>
      </c>
    </row>
    <row r="19" spans="1:18" ht="15.75" x14ac:dyDescent="0.25">
      <c r="A19" s="97"/>
      <c r="B19" s="98"/>
      <c r="C19" s="142"/>
      <c r="D19" s="131"/>
      <c r="E19" s="113"/>
      <c r="F19" s="101"/>
      <c r="H19" s="125">
        <v>15</v>
      </c>
      <c r="I19" s="180" t="s">
        <v>120</v>
      </c>
      <c r="J19" s="148">
        <v>600</v>
      </c>
      <c r="K19" s="181">
        <f>'[1]I &amp; E 2024 to 25'!$B$27</f>
        <v>390</v>
      </c>
      <c r="L19" s="178">
        <f t="shared" si="7"/>
        <v>210</v>
      </c>
      <c r="M19" s="182">
        <v>600</v>
      </c>
      <c r="N19" s="148">
        <v>1200</v>
      </c>
      <c r="O19" s="118">
        <f t="shared" si="6"/>
        <v>600</v>
      </c>
      <c r="P19" s="161">
        <f t="shared" si="1"/>
        <v>1</v>
      </c>
      <c r="Q19" s="118">
        <f t="shared" si="2"/>
        <v>600</v>
      </c>
      <c r="R19" s="135">
        <f t="shared" si="3"/>
        <v>1</v>
      </c>
    </row>
    <row r="20" spans="1:18" ht="15.75" x14ac:dyDescent="0.25">
      <c r="A20" s="111" t="s">
        <v>9</v>
      </c>
      <c r="B20" s="98"/>
      <c r="C20" s="137"/>
      <c r="D20" s="131"/>
      <c r="E20" s="183"/>
      <c r="F20" s="101"/>
      <c r="H20" s="125">
        <v>16</v>
      </c>
      <c r="I20" s="180" t="s">
        <v>10</v>
      </c>
      <c r="J20" s="148">
        <v>1000</v>
      </c>
      <c r="K20" s="181">
        <f>'[1]I &amp; E 2024 to 25'!$B$28</f>
        <v>251.06</v>
      </c>
      <c r="L20" s="178">
        <f t="shared" si="7"/>
        <v>48.94</v>
      </c>
      <c r="M20" s="182">
        <v>300</v>
      </c>
      <c r="N20" s="148">
        <v>500</v>
      </c>
      <c r="O20" s="118">
        <f t="shared" si="6"/>
        <v>-500</v>
      </c>
      <c r="P20" s="161">
        <f t="shared" si="1"/>
        <v>-0.5</v>
      </c>
      <c r="Q20" s="118">
        <f t="shared" si="2"/>
        <v>200</v>
      </c>
      <c r="R20" s="135">
        <f t="shared" si="3"/>
        <v>0.66666666666666674</v>
      </c>
    </row>
    <row r="21" spans="1:18" ht="15.75" x14ac:dyDescent="0.25">
      <c r="A21" s="111"/>
      <c r="B21" s="122"/>
      <c r="C21" s="137"/>
      <c r="D21" s="131"/>
      <c r="E21" s="183"/>
      <c r="F21" s="101"/>
      <c r="H21" s="125">
        <v>17</v>
      </c>
      <c r="I21" s="126" t="s">
        <v>66</v>
      </c>
      <c r="J21" s="148">
        <v>800</v>
      </c>
      <c r="K21" s="177">
        <f>'[1]I &amp; E 2024 to 25'!$B$25</f>
        <v>585.29</v>
      </c>
      <c r="L21" s="178">
        <f t="shared" si="7"/>
        <v>0</v>
      </c>
      <c r="M21" s="144">
        <v>585.29</v>
      </c>
      <c r="N21" s="148">
        <v>600</v>
      </c>
      <c r="O21" s="118">
        <f t="shared" si="6"/>
        <v>-200</v>
      </c>
      <c r="P21" s="161">
        <f t="shared" si="1"/>
        <v>-0.25</v>
      </c>
      <c r="Q21" s="118">
        <f t="shared" si="2"/>
        <v>14.710000000000036</v>
      </c>
      <c r="R21" s="135">
        <f t="shared" si="3"/>
        <v>2.513284013053374E-2</v>
      </c>
    </row>
    <row r="22" spans="1:18" ht="15.75" x14ac:dyDescent="0.25">
      <c r="A22" s="111"/>
      <c r="B22" s="122"/>
      <c r="C22" s="137"/>
      <c r="D22" s="131"/>
      <c r="E22" s="183"/>
      <c r="F22" s="101"/>
      <c r="H22" s="125">
        <v>18</v>
      </c>
      <c r="I22" s="180" t="s">
        <v>249</v>
      </c>
      <c r="J22" s="148">
        <v>1000</v>
      </c>
      <c r="K22" s="181">
        <f>'[1]I &amp; E 2024 to 25'!$B$31</f>
        <v>54</v>
      </c>
      <c r="L22" s="178">
        <f t="shared" si="7"/>
        <v>96</v>
      </c>
      <c r="M22" s="182">
        <v>150</v>
      </c>
      <c r="N22" s="148">
        <v>2000</v>
      </c>
      <c r="O22" s="118">
        <f t="shared" si="6"/>
        <v>1000</v>
      </c>
      <c r="P22" s="161">
        <f t="shared" si="1"/>
        <v>1</v>
      </c>
      <c r="Q22" s="118">
        <f t="shared" si="2"/>
        <v>1850</v>
      </c>
      <c r="R22" s="135">
        <f t="shared" si="3"/>
        <v>12.333333333333334</v>
      </c>
    </row>
    <row r="23" spans="1:18" ht="15.75" x14ac:dyDescent="0.25">
      <c r="A23" s="111"/>
      <c r="B23" s="122"/>
      <c r="C23" s="137"/>
      <c r="D23" s="131"/>
      <c r="E23" s="183"/>
      <c r="F23" s="101"/>
      <c r="H23" s="125">
        <v>19</v>
      </c>
      <c r="I23" s="176" t="s">
        <v>102</v>
      </c>
      <c r="J23" s="148">
        <v>1100</v>
      </c>
      <c r="K23" s="177">
        <f>'[1]I &amp; E 2024 to 25'!$B$30</f>
        <v>1003.39</v>
      </c>
      <c r="L23" s="178">
        <f t="shared" si="7"/>
        <v>0</v>
      </c>
      <c r="M23" s="144">
        <v>1003.39</v>
      </c>
      <c r="N23" s="148">
        <v>1150</v>
      </c>
      <c r="O23" s="118">
        <f t="shared" si="6"/>
        <v>50</v>
      </c>
      <c r="P23" s="161">
        <f t="shared" si="1"/>
        <v>4.5454545454545414E-2</v>
      </c>
      <c r="Q23" s="118">
        <f t="shared" si="2"/>
        <v>146.61000000000001</v>
      </c>
      <c r="R23" s="135">
        <f t="shared" si="3"/>
        <v>0.14611467126441369</v>
      </c>
    </row>
    <row r="24" spans="1:18" ht="15.75" x14ac:dyDescent="0.25">
      <c r="A24" s="111"/>
      <c r="B24" s="122"/>
      <c r="C24" s="137"/>
      <c r="D24" s="131"/>
      <c r="E24" s="183"/>
      <c r="F24" s="101"/>
      <c r="H24" s="125">
        <v>20</v>
      </c>
      <c r="I24" s="184" t="s">
        <v>103</v>
      </c>
      <c r="J24" s="169">
        <v>750</v>
      </c>
      <c r="K24" s="185">
        <f>'[1]I &amp; E 2024 to 25'!$B$35</f>
        <v>175.5</v>
      </c>
      <c r="L24" s="171">
        <f t="shared" si="7"/>
        <v>124.5</v>
      </c>
      <c r="M24" s="171">
        <v>300</v>
      </c>
      <c r="N24" s="169">
        <v>400</v>
      </c>
      <c r="O24" s="118">
        <f t="shared" si="6"/>
        <v>-350</v>
      </c>
      <c r="P24" s="161">
        <f t="shared" si="1"/>
        <v>-0.46666666666666667</v>
      </c>
      <c r="Q24" s="118">
        <f t="shared" si="2"/>
        <v>100</v>
      </c>
      <c r="R24" s="135">
        <f t="shared" si="3"/>
        <v>0.33333333333333326</v>
      </c>
    </row>
    <row r="25" spans="1:18" ht="15.75" x14ac:dyDescent="0.25">
      <c r="A25" s="111"/>
      <c r="B25" s="122"/>
      <c r="C25" s="137"/>
      <c r="D25" s="131"/>
      <c r="E25" s="183"/>
      <c r="F25" s="101"/>
      <c r="H25" s="125">
        <v>21</v>
      </c>
      <c r="I25" s="184" t="s">
        <v>117</v>
      </c>
      <c r="J25" s="169">
        <v>1000</v>
      </c>
      <c r="K25" s="185">
        <f>'[1]I &amp; E 2024 to 25'!$B$36</f>
        <v>0</v>
      </c>
      <c r="L25" s="171">
        <v>1450</v>
      </c>
      <c r="M25" s="171">
        <v>0</v>
      </c>
      <c r="N25" s="169">
        <v>1000</v>
      </c>
      <c r="O25" s="118">
        <f t="shared" si="6"/>
        <v>0</v>
      </c>
      <c r="P25" s="161">
        <f t="shared" si="1"/>
        <v>0</v>
      </c>
      <c r="Q25" s="118">
        <f t="shared" si="2"/>
        <v>1000</v>
      </c>
      <c r="R25" s="135" t="str">
        <f t="shared" si="3"/>
        <v/>
      </c>
    </row>
    <row r="26" spans="1:18" ht="15.75" x14ac:dyDescent="0.25">
      <c r="A26" s="111"/>
      <c r="B26" s="122"/>
      <c r="C26" s="137"/>
      <c r="D26" s="131"/>
      <c r="E26" s="183"/>
      <c r="F26" s="101"/>
      <c r="H26" s="125">
        <v>22</v>
      </c>
      <c r="I26" s="172" t="s">
        <v>238</v>
      </c>
      <c r="J26" s="169">
        <v>2000</v>
      </c>
      <c r="K26" s="185">
        <f>'[1]I &amp; E 2024 to 25'!$B$55</f>
        <v>5184.57</v>
      </c>
      <c r="L26" s="171">
        <v>1200</v>
      </c>
      <c r="M26" s="186">
        <f>K26+L26</f>
        <v>6384.57</v>
      </c>
      <c r="N26" s="169">
        <v>2000</v>
      </c>
      <c r="O26" s="118">
        <f t="shared" si="6"/>
        <v>0</v>
      </c>
      <c r="P26" s="161">
        <f t="shared" si="1"/>
        <v>0</v>
      </c>
      <c r="Q26" s="118">
        <f t="shared" si="2"/>
        <v>-4384.57</v>
      </c>
      <c r="R26" s="135">
        <f t="shared" si="3"/>
        <v>-0.6867447611977</v>
      </c>
    </row>
    <row r="27" spans="1:18" ht="15.75" x14ac:dyDescent="0.25">
      <c r="A27" s="97"/>
      <c r="B27" s="136"/>
      <c r="C27" s="137"/>
      <c r="D27" s="131"/>
      <c r="E27" s="138"/>
      <c r="F27" s="101"/>
      <c r="H27" s="125">
        <v>23</v>
      </c>
      <c r="I27" s="184" t="s">
        <v>104</v>
      </c>
      <c r="J27" s="169">
        <v>1300</v>
      </c>
      <c r="K27" s="185">
        <f>'[1]I &amp; E 2024 to 25'!$B$38</f>
        <v>0</v>
      </c>
      <c r="L27" s="171">
        <f t="shared" si="7"/>
        <v>0</v>
      </c>
      <c r="M27" s="171"/>
      <c r="N27" s="169">
        <v>1300</v>
      </c>
      <c r="O27" s="118">
        <f t="shared" si="6"/>
        <v>0</v>
      </c>
      <c r="P27" s="161">
        <f t="shared" si="1"/>
        <v>0</v>
      </c>
      <c r="Q27" s="118">
        <f t="shared" si="2"/>
        <v>1300</v>
      </c>
      <c r="R27" s="135" t="str">
        <f t="shared" si="3"/>
        <v/>
      </c>
    </row>
    <row r="28" spans="1:18" ht="15.75" x14ac:dyDescent="0.25">
      <c r="A28" s="97" t="s">
        <v>41</v>
      </c>
      <c r="B28" s="187">
        <v>4500</v>
      </c>
      <c r="C28" s="137">
        <v>2261.8200000000002</v>
      </c>
      <c r="D28" s="131">
        <v>1400</v>
      </c>
      <c r="E28" s="138">
        <v>3600</v>
      </c>
      <c r="F28" s="188">
        <v>4000</v>
      </c>
      <c r="H28" s="125">
        <v>24</v>
      </c>
      <c r="I28" s="184" t="s">
        <v>105</v>
      </c>
      <c r="J28" s="169">
        <v>2000</v>
      </c>
      <c r="K28" s="185">
        <f>'[1]I &amp; E 2024 to 25'!$B$39</f>
        <v>355.14</v>
      </c>
      <c r="L28" s="171">
        <f t="shared" si="7"/>
        <v>244.86</v>
      </c>
      <c r="M28" s="171">
        <v>600</v>
      </c>
      <c r="N28" s="169">
        <v>1000</v>
      </c>
      <c r="O28" s="118">
        <f t="shared" si="6"/>
        <v>-1000</v>
      </c>
      <c r="P28" s="161">
        <f t="shared" si="1"/>
        <v>-0.5</v>
      </c>
      <c r="Q28" s="118">
        <f t="shared" si="2"/>
        <v>400</v>
      </c>
      <c r="R28" s="135">
        <f t="shared" si="3"/>
        <v>0.66666666666666674</v>
      </c>
    </row>
    <row r="29" spans="1:18" ht="15.75" x14ac:dyDescent="0.25">
      <c r="A29" s="97"/>
      <c r="B29" s="187"/>
      <c r="C29" s="137"/>
      <c r="D29" s="131"/>
      <c r="E29" s="138"/>
      <c r="F29" s="188"/>
      <c r="H29" s="125">
        <v>25</v>
      </c>
      <c r="I29" s="184" t="s">
        <v>106</v>
      </c>
      <c r="J29" s="169">
        <v>1000</v>
      </c>
      <c r="K29" s="185">
        <f>'[1]I &amp; E 2024 to 25'!$B$40</f>
        <v>86.4</v>
      </c>
      <c r="L29" s="171">
        <f t="shared" si="7"/>
        <v>913.6</v>
      </c>
      <c r="M29" s="171">
        <v>1000</v>
      </c>
      <c r="N29" s="169">
        <v>1000</v>
      </c>
      <c r="O29" s="118">
        <f t="shared" si="6"/>
        <v>0</v>
      </c>
      <c r="P29" s="161">
        <f t="shared" si="1"/>
        <v>0</v>
      </c>
      <c r="Q29" s="118">
        <f t="shared" si="2"/>
        <v>0</v>
      </c>
      <c r="R29" s="135">
        <f t="shared" si="3"/>
        <v>0</v>
      </c>
    </row>
    <row r="30" spans="1:18" ht="15.75" x14ac:dyDescent="0.25">
      <c r="A30" s="97"/>
      <c r="B30" s="187"/>
      <c r="C30" s="137"/>
      <c r="D30" s="131"/>
      <c r="E30" s="138"/>
      <c r="F30" s="188"/>
      <c r="H30" s="125">
        <v>26</v>
      </c>
      <c r="I30" s="172" t="s">
        <v>250</v>
      </c>
      <c r="J30" s="169">
        <v>3985</v>
      </c>
      <c r="K30" s="173">
        <f>'[1]I &amp; E 2024 to 25'!$B$41</f>
        <v>420</v>
      </c>
      <c r="L30" s="171">
        <f t="shared" si="7"/>
        <v>3565</v>
      </c>
      <c r="M30" s="189">
        <v>3985</v>
      </c>
      <c r="N30" s="169">
        <v>4000</v>
      </c>
      <c r="O30" s="118">
        <f t="shared" si="6"/>
        <v>15</v>
      </c>
      <c r="P30" s="161">
        <f t="shared" si="1"/>
        <v>3.7641154328733606E-3</v>
      </c>
      <c r="Q30" s="118">
        <f t="shared" si="2"/>
        <v>15</v>
      </c>
      <c r="R30" s="135">
        <f t="shared" si="3"/>
        <v>3.7641154328733606E-3</v>
      </c>
    </row>
    <row r="31" spans="1:18" ht="15.75" x14ac:dyDescent="0.25">
      <c r="A31" s="97"/>
      <c r="B31" s="187"/>
      <c r="C31" s="137"/>
      <c r="D31" s="131"/>
      <c r="E31" s="138"/>
      <c r="F31" s="188"/>
      <c r="H31" s="125">
        <v>27</v>
      </c>
      <c r="I31" s="184" t="s">
        <v>107</v>
      </c>
      <c r="J31" s="169">
        <v>2000</v>
      </c>
      <c r="K31" s="185">
        <f>'[1]I &amp; E 2024 to 25'!$B$42</f>
        <v>1205</v>
      </c>
      <c r="L31" s="171">
        <f t="shared" si="7"/>
        <v>795</v>
      </c>
      <c r="M31" s="171">
        <v>2000</v>
      </c>
      <c r="N31" s="169">
        <v>2000</v>
      </c>
      <c r="O31" s="118">
        <f t="shared" si="6"/>
        <v>0</v>
      </c>
      <c r="P31" s="161">
        <f t="shared" si="1"/>
        <v>0</v>
      </c>
      <c r="Q31" s="118">
        <f t="shared" si="2"/>
        <v>0</v>
      </c>
      <c r="R31" s="135">
        <f t="shared" si="3"/>
        <v>0</v>
      </c>
    </row>
    <row r="32" spans="1:18" ht="15.75" x14ac:dyDescent="0.25">
      <c r="A32" s="97"/>
      <c r="B32" s="187"/>
      <c r="C32" s="137"/>
      <c r="D32" s="131"/>
      <c r="E32" s="138"/>
      <c r="F32" s="188"/>
      <c r="H32" s="125">
        <v>28</v>
      </c>
      <c r="I32" s="184" t="s">
        <v>108</v>
      </c>
      <c r="J32" s="169">
        <v>200</v>
      </c>
      <c r="K32" s="185">
        <f>'[1]I &amp; E 2024 to 25'!$B$44</f>
        <v>0</v>
      </c>
      <c r="L32" s="171">
        <f t="shared" si="7"/>
        <v>200</v>
      </c>
      <c r="M32" s="171">
        <v>200</v>
      </c>
      <c r="N32" s="169">
        <v>200</v>
      </c>
      <c r="O32" s="118">
        <f t="shared" si="6"/>
        <v>0</v>
      </c>
      <c r="P32" s="161">
        <f t="shared" si="1"/>
        <v>0</v>
      </c>
      <c r="Q32" s="118">
        <f t="shared" si="2"/>
        <v>0</v>
      </c>
      <c r="R32" s="135">
        <f t="shared" si="3"/>
        <v>0</v>
      </c>
    </row>
    <row r="33" spans="1:18" ht="15.75" x14ac:dyDescent="0.25">
      <c r="A33" s="97"/>
      <c r="B33" s="187"/>
      <c r="C33" s="137"/>
      <c r="D33" s="131"/>
      <c r="E33" s="138"/>
      <c r="F33" s="188"/>
      <c r="H33" s="125">
        <v>29</v>
      </c>
      <c r="I33" s="184" t="s">
        <v>109</v>
      </c>
      <c r="J33" s="169">
        <v>200</v>
      </c>
      <c r="K33" s="185">
        <f>'[1]I &amp; E 2024 to 25'!$B$45</f>
        <v>0</v>
      </c>
      <c r="L33" s="171">
        <f t="shared" si="7"/>
        <v>200</v>
      </c>
      <c r="M33" s="171">
        <v>200</v>
      </c>
      <c r="N33" s="169">
        <v>200</v>
      </c>
      <c r="O33" s="118">
        <f t="shared" si="6"/>
        <v>0</v>
      </c>
      <c r="P33" s="161">
        <f t="shared" si="1"/>
        <v>0</v>
      </c>
      <c r="Q33" s="118">
        <f t="shared" si="2"/>
        <v>0</v>
      </c>
      <c r="R33" s="135">
        <f t="shared" si="3"/>
        <v>0</v>
      </c>
    </row>
    <row r="34" spans="1:18" ht="15.75" x14ac:dyDescent="0.25">
      <c r="A34" s="97"/>
      <c r="B34" s="187"/>
      <c r="C34" s="137"/>
      <c r="D34" s="131"/>
      <c r="E34" s="138"/>
      <c r="F34" s="188"/>
      <c r="H34" s="125">
        <v>30</v>
      </c>
      <c r="I34" s="184" t="s">
        <v>110</v>
      </c>
      <c r="J34" s="169">
        <v>2000</v>
      </c>
      <c r="K34" s="185">
        <f>'[1]I &amp; E 2024 to 25'!$B$47</f>
        <v>0</v>
      </c>
      <c r="L34" s="171">
        <f t="shared" si="7"/>
        <v>0</v>
      </c>
      <c r="M34" s="171">
        <v>0</v>
      </c>
      <c r="N34" s="169">
        <v>2000</v>
      </c>
      <c r="O34" s="118">
        <f t="shared" si="6"/>
        <v>0</v>
      </c>
      <c r="P34" s="161">
        <f t="shared" si="1"/>
        <v>0</v>
      </c>
      <c r="Q34" s="118">
        <f t="shared" si="2"/>
        <v>2000</v>
      </c>
      <c r="R34" s="135" t="str">
        <f t="shared" si="3"/>
        <v/>
      </c>
    </row>
    <row r="35" spans="1:18" ht="15.75" x14ac:dyDescent="0.25">
      <c r="A35" s="97"/>
      <c r="B35" s="187"/>
      <c r="C35" s="137"/>
      <c r="D35" s="131"/>
      <c r="E35" s="138"/>
      <c r="F35" s="188"/>
      <c r="H35" s="125">
        <v>31</v>
      </c>
      <c r="I35" s="184" t="s">
        <v>111</v>
      </c>
      <c r="J35" s="169">
        <v>300</v>
      </c>
      <c r="K35" s="185">
        <f>'[1]I &amp; E 2024 to 25'!$B$48</f>
        <v>332.02</v>
      </c>
      <c r="L35" s="171">
        <f t="shared" si="7"/>
        <v>17.980000000000018</v>
      </c>
      <c r="M35" s="171">
        <v>350</v>
      </c>
      <c r="N35" s="169">
        <v>300</v>
      </c>
      <c r="O35" s="118">
        <f t="shared" si="6"/>
        <v>0</v>
      </c>
      <c r="P35" s="161">
        <f t="shared" si="1"/>
        <v>0</v>
      </c>
      <c r="Q35" s="118">
        <f t="shared" si="2"/>
        <v>-50</v>
      </c>
      <c r="R35" s="135">
        <f t="shared" si="3"/>
        <v>-0.1428571428571429</v>
      </c>
    </row>
    <row r="36" spans="1:18" ht="15.75" x14ac:dyDescent="0.25">
      <c r="A36" s="97" t="s">
        <v>42</v>
      </c>
      <c r="B36" s="187"/>
      <c r="C36" s="137"/>
      <c r="D36" s="131"/>
      <c r="E36" s="138"/>
      <c r="F36" s="188"/>
      <c r="H36" s="125">
        <v>32</v>
      </c>
      <c r="I36" s="184" t="s">
        <v>112</v>
      </c>
      <c r="J36" s="169">
        <v>1000</v>
      </c>
      <c r="K36" s="185">
        <f>'[1]I &amp; E 2024 to 25'!$B$50</f>
        <v>0</v>
      </c>
      <c r="L36" s="171">
        <f t="shared" si="7"/>
        <v>0</v>
      </c>
      <c r="M36" s="186">
        <v>0</v>
      </c>
      <c r="N36" s="169">
        <v>1000</v>
      </c>
      <c r="O36" s="118">
        <f t="shared" si="6"/>
        <v>0</v>
      </c>
      <c r="P36" s="161">
        <f t="shared" si="1"/>
        <v>0</v>
      </c>
      <c r="Q36" s="118">
        <f t="shared" si="2"/>
        <v>1000</v>
      </c>
      <c r="R36" s="135" t="str">
        <f t="shared" si="3"/>
        <v/>
      </c>
    </row>
    <row r="37" spans="1:18" ht="15.75" x14ac:dyDescent="0.25">
      <c r="A37" s="97" t="s">
        <v>43</v>
      </c>
      <c r="B37" s="187"/>
      <c r="C37" s="137"/>
      <c r="D37" s="131"/>
      <c r="E37" s="138"/>
      <c r="F37" s="188"/>
      <c r="H37" s="125">
        <v>33</v>
      </c>
      <c r="I37" s="184" t="s">
        <v>113</v>
      </c>
      <c r="J37" s="169">
        <v>0</v>
      </c>
      <c r="K37" s="185">
        <f>'[1]I &amp; E 2024 to 25'!$B$51</f>
        <v>0</v>
      </c>
      <c r="L37" s="171">
        <f t="shared" si="7"/>
        <v>0</v>
      </c>
      <c r="M37" s="190">
        <v>0</v>
      </c>
      <c r="N37" s="169">
        <v>0</v>
      </c>
      <c r="O37" s="118">
        <f t="shared" si="6"/>
        <v>0</v>
      </c>
      <c r="P37" s="161" t="str">
        <f t="shared" si="1"/>
        <v/>
      </c>
      <c r="Q37" s="118">
        <f t="shared" si="2"/>
        <v>0</v>
      </c>
      <c r="R37" s="135" t="str">
        <f t="shared" si="3"/>
        <v/>
      </c>
    </row>
    <row r="38" spans="1:18" ht="15.75" x14ac:dyDescent="0.25">
      <c r="A38" s="97"/>
      <c r="B38" s="187"/>
      <c r="C38" s="137"/>
      <c r="D38" s="131"/>
      <c r="E38" s="138"/>
      <c r="F38" s="188"/>
      <c r="H38" s="125">
        <v>34</v>
      </c>
      <c r="I38" s="184" t="s">
        <v>118</v>
      </c>
      <c r="J38" s="169">
        <v>1500</v>
      </c>
      <c r="K38" s="185">
        <f>'[1]I &amp; E 2024 to 25'!$B$46</f>
        <v>2791.63</v>
      </c>
      <c r="L38" s="171">
        <f t="shared" si="7"/>
        <v>208.36999999999989</v>
      </c>
      <c r="M38" s="190">
        <v>3000</v>
      </c>
      <c r="N38" s="169">
        <v>3000</v>
      </c>
      <c r="O38" s="118">
        <f t="shared" si="6"/>
        <v>1500</v>
      </c>
      <c r="P38" s="161">
        <f t="shared" si="1"/>
        <v>1</v>
      </c>
      <c r="Q38" s="118">
        <f t="shared" si="2"/>
        <v>0</v>
      </c>
      <c r="R38" s="135">
        <f t="shared" si="3"/>
        <v>0</v>
      </c>
    </row>
    <row r="39" spans="1:18" ht="15.75" x14ac:dyDescent="0.25">
      <c r="A39" s="97"/>
      <c r="B39" s="187"/>
      <c r="C39" s="137"/>
      <c r="D39" s="131"/>
      <c r="E39" s="138"/>
      <c r="F39" s="188"/>
      <c r="H39" s="125">
        <v>35</v>
      </c>
      <c r="I39" s="184" t="s">
        <v>114</v>
      </c>
      <c r="J39" s="169">
        <v>1000</v>
      </c>
      <c r="K39" s="191">
        <f>'[1]I &amp; E 2024 to 25'!$B$37</f>
        <v>0</v>
      </c>
      <c r="L39" s="171">
        <f t="shared" si="7"/>
        <v>0</v>
      </c>
      <c r="M39" s="186">
        <v>0</v>
      </c>
      <c r="N39" s="169">
        <v>1000</v>
      </c>
      <c r="O39" s="118">
        <f t="shared" si="6"/>
        <v>0</v>
      </c>
      <c r="P39" s="161">
        <f t="shared" si="1"/>
        <v>0</v>
      </c>
      <c r="Q39" s="118">
        <f t="shared" si="2"/>
        <v>1000</v>
      </c>
      <c r="R39" s="135" t="str">
        <f t="shared" si="3"/>
        <v/>
      </c>
    </row>
    <row r="40" spans="1:18" ht="16.5" thickBot="1" x14ac:dyDescent="0.3">
      <c r="A40" s="97"/>
      <c r="B40" s="187"/>
      <c r="C40" s="137"/>
      <c r="D40" s="131"/>
      <c r="E40" s="138"/>
      <c r="F40" s="188"/>
      <c r="H40" s="125">
        <v>36</v>
      </c>
      <c r="I40" s="184" t="s">
        <v>115</v>
      </c>
      <c r="J40" s="169">
        <v>1500</v>
      </c>
      <c r="K40" s="185">
        <f>'[1]I &amp; E 2024 to 25'!$B$43</f>
        <v>90</v>
      </c>
      <c r="L40" s="171">
        <v>0</v>
      </c>
      <c r="M40" s="186">
        <v>250</v>
      </c>
      <c r="N40" s="169">
        <v>500</v>
      </c>
      <c r="O40" s="118">
        <f t="shared" si="6"/>
        <v>-1000</v>
      </c>
      <c r="P40" s="161">
        <f t="shared" si="1"/>
        <v>-0.66666666666666674</v>
      </c>
      <c r="Q40" s="118">
        <f t="shared" si="2"/>
        <v>250</v>
      </c>
      <c r="R40" s="135">
        <f t="shared" si="3"/>
        <v>1</v>
      </c>
    </row>
    <row r="41" spans="1:18" ht="16.5" thickBot="1" x14ac:dyDescent="0.3">
      <c r="A41" s="97"/>
      <c r="B41" s="192"/>
      <c r="C41" s="137"/>
      <c r="D41" s="131"/>
      <c r="E41" s="138"/>
      <c r="F41" s="188"/>
      <c r="H41" s="125"/>
      <c r="I41" s="103" t="s">
        <v>68</v>
      </c>
      <c r="J41" s="193">
        <f>SUM(J13:J40)</f>
        <v>46065</v>
      </c>
      <c r="K41" s="153">
        <f>SUM(K13:K40)</f>
        <v>16001.599999999999</v>
      </c>
      <c r="L41" s="194">
        <f>SUM(L13:L40)</f>
        <v>15894.279999999999</v>
      </c>
      <c r="M41" s="194">
        <f>SUM(M13:M40)</f>
        <v>30705.88</v>
      </c>
      <c r="N41" s="193">
        <f>SUM(N13:N40)</f>
        <v>46151</v>
      </c>
      <c r="O41" s="155">
        <f t="shared" si="6"/>
        <v>86</v>
      </c>
      <c r="P41" s="156">
        <f t="shared" si="1"/>
        <v>1.866927168131971E-3</v>
      </c>
      <c r="Q41" s="155">
        <f t="shared" si="2"/>
        <v>15445.119999999999</v>
      </c>
      <c r="R41" s="156">
        <f t="shared" si="3"/>
        <v>0.50300203088138162</v>
      </c>
    </row>
    <row r="42" spans="1:18" ht="15.75" x14ac:dyDescent="0.25">
      <c r="A42" s="97" t="s">
        <v>11</v>
      </c>
      <c r="B42" s="187">
        <v>5000</v>
      </c>
      <c r="C42" s="142">
        <v>3474.69</v>
      </c>
      <c r="D42" s="131">
        <v>2000</v>
      </c>
      <c r="E42" s="138">
        <v>5474</v>
      </c>
      <c r="F42" s="188">
        <v>3500</v>
      </c>
      <c r="H42" s="125"/>
      <c r="I42" s="195"/>
      <c r="J42" s="196"/>
      <c r="K42" s="197"/>
      <c r="L42" s="197"/>
      <c r="M42" s="197"/>
      <c r="N42" s="196"/>
      <c r="O42" s="198"/>
      <c r="P42" s="199"/>
      <c r="Q42" s="198"/>
      <c r="R42" s="200"/>
    </row>
    <row r="43" spans="1:18" ht="15.75" x14ac:dyDescent="0.25">
      <c r="A43" s="97" t="s">
        <v>12</v>
      </c>
      <c r="B43" s="187">
        <v>4000</v>
      </c>
      <c r="C43" s="142">
        <v>3957.02</v>
      </c>
      <c r="D43" s="131">
        <v>3000</v>
      </c>
      <c r="E43" s="138">
        <v>7000</v>
      </c>
      <c r="F43" s="188">
        <v>10000</v>
      </c>
      <c r="H43" s="125"/>
      <c r="I43" s="157" t="s">
        <v>69</v>
      </c>
      <c r="J43" s="201">
        <f>SUM(J11)</f>
        <v>48778</v>
      </c>
      <c r="K43" s="202">
        <f>SUM(K11)</f>
        <v>50489.68</v>
      </c>
      <c r="L43" s="202">
        <f>SUM(L11)</f>
        <v>2250</v>
      </c>
      <c r="M43" s="203">
        <f>SUM(M11)</f>
        <v>50938</v>
      </c>
      <c r="N43" s="201">
        <f>SUM(N11)</f>
        <v>51695</v>
      </c>
      <c r="O43" s="204">
        <f>N43-J43</f>
        <v>2917</v>
      </c>
      <c r="P43" s="205">
        <f>IF(J43=0,"", N43/J43-1)</f>
        <v>5.9801549879043847E-2</v>
      </c>
      <c r="Q43" s="204">
        <f t="shared" si="2"/>
        <v>757</v>
      </c>
      <c r="R43" s="206">
        <f t="shared" si="3"/>
        <v>1.4861203816404212E-2</v>
      </c>
    </row>
    <row r="44" spans="1:18" ht="15.75" x14ac:dyDescent="0.25">
      <c r="A44" s="97"/>
      <c r="B44" s="187"/>
      <c r="C44" s="137"/>
      <c r="D44" s="131"/>
      <c r="E44" s="138"/>
      <c r="F44" s="188"/>
      <c r="H44" s="125"/>
      <c r="I44" s="157" t="s">
        <v>70</v>
      </c>
      <c r="J44" s="201">
        <f t="shared" ref="J44" si="8">SUM(J41)</f>
        <v>46065</v>
      </c>
      <c r="K44" s="202">
        <f t="shared" ref="K44:M44" si="9">SUM(K41)</f>
        <v>16001.599999999999</v>
      </c>
      <c r="L44" s="202">
        <f t="shared" ref="L44" si="10">SUM(L41)</f>
        <v>15894.279999999999</v>
      </c>
      <c r="M44" s="203">
        <f t="shared" si="9"/>
        <v>30705.88</v>
      </c>
      <c r="N44" s="201">
        <f t="shared" ref="N44" si="11">SUM(N41)</f>
        <v>46151</v>
      </c>
      <c r="O44" s="204">
        <f>N44-J44</f>
        <v>86</v>
      </c>
      <c r="P44" s="205">
        <f>IF(J44=0,"", N44/J44-1)</f>
        <v>1.866927168131971E-3</v>
      </c>
      <c r="Q44" s="204">
        <f t="shared" si="2"/>
        <v>15445.119999999999</v>
      </c>
      <c r="R44" s="206">
        <f t="shared" si="3"/>
        <v>0.50300203088138162</v>
      </c>
    </row>
    <row r="45" spans="1:18" ht="16.5" thickBot="1" x14ac:dyDescent="0.3">
      <c r="A45" s="207" t="s">
        <v>13</v>
      </c>
      <c r="B45" s="166">
        <v>9000</v>
      </c>
      <c r="C45" s="208">
        <v>7430</v>
      </c>
      <c r="D45" s="209">
        <v>5000</v>
      </c>
      <c r="E45" s="209">
        <v>12430</v>
      </c>
      <c r="F45" s="166">
        <v>13500</v>
      </c>
      <c r="H45" s="210"/>
      <c r="I45" s="211" t="s">
        <v>71</v>
      </c>
      <c r="J45" s="212">
        <f t="shared" ref="J45" si="12">SUM(J43)-J44</f>
        <v>2713</v>
      </c>
      <c r="K45" s="213">
        <f t="shared" ref="K45:N45" si="13">SUM(K43)-K44</f>
        <v>34488.080000000002</v>
      </c>
      <c r="L45" s="213">
        <f t="shared" ref="L45" si="14">SUM(L43)-L44</f>
        <v>-13644.279999999999</v>
      </c>
      <c r="M45" s="214">
        <f t="shared" si="13"/>
        <v>20232.12</v>
      </c>
      <c r="N45" s="212">
        <f t="shared" si="13"/>
        <v>5544</v>
      </c>
      <c r="O45" s="215">
        <f>N45-J45</f>
        <v>2831</v>
      </c>
      <c r="P45" s="216">
        <f>IF(J45=0,"", N45/J45-1)</f>
        <v>1.043494286767416</v>
      </c>
      <c r="Q45" s="215">
        <f t="shared" si="2"/>
        <v>-14688.119999999999</v>
      </c>
      <c r="R45" s="217">
        <f t="shared" si="3"/>
        <v>-0.72598027295211764</v>
      </c>
    </row>
    <row r="46" spans="1:18" ht="15.75" x14ac:dyDescent="0.25">
      <c r="A46" s="218"/>
      <c r="B46" s="219"/>
      <c r="C46" s="220"/>
      <c r="D46" s="209"/>
      <c r="E46" s="221"/>
      <c r="F46" s="222"/>
      <c r="I46" s="223"/>
      <c r="J46" s="224"/>
      <c r="K46" s="224"/>
      <c r="L46" s="224"/>
      <c r="M46" s="224"/>
      <c r="N46" s="224"/>
      <c r="O46" s="225"/>
      <c r="P46" s="226"/>
      <c r="Q46" s="225"/>
      <c r="R46" s="227"/>
    </row>
    <row r="47" spans="1:18" ht="15.75" x14ac:dyDescent="0.25">
      <c r="A47" s="218"/>
      <c r="B47" s="219"/>
      <c r="C47" s="220"/>
      <c r="D47" s="209"/>
      <c r="E47" s="221"/>
      <c r="F47" s="222"/>
      <c r="H47" s="228"/>
      <c r="I47" t="s">
        <v>189</v>
      </c>
      <c r="M47" s="224"/>
      <c r="N47" s="224"/>
      <c r="O47" s="225"/>
      <c r="P47" s="226"/>
      <c r="Q47" s="225"/>
      <c r="R47" s="227"/>
    </row>
    <row r="48" spans="1:18" ht="15.75" x14ac:dyDescent="0.25">
      <c r="A48" s="218"/>
      <c r="B48" s="219"/>
      <c r="C48" s="220"/>
      <c r="D48" s="209"/>
      <c r="E48" s="221"/>
      <c r="F48" s="222"/>
      <c r="H48" s="229"/>
      <c r="I48" t="s">
        <v>190</v>
      </c>
      <c r="M48" s="224"/>
      <c r="N48" s="224"/>
      <c r="O48" s="225"/>
      <c r="P48" s="226"/>
      <c r="Q48" s="225"/>
      <c r="R48" s="227"/>
    </row>
    <row r="49" spans="1:18" ht="16.5" thickBot="1" x14ac:dyDescent="0.3">
      <c r="A49" s="218"/>
      <c r="B49" s="219"/>
      <c r="C49" s="220"/>
      <c r="D49" s="209"/>
      <c r="E49" s="221"/>
      <c r="F49" s="222"/>
      <c r="H49" s="85"/>
      <c r="I49" t="s">
        <v>191</v>
      </c>
      <c r="M49" s="224"/>
      <c r="N49" s="224"/>
      <c r="O49" s="225"/>
      <c r="P49" s="226"/>
      <c r="Q49" s="225"/>
      <c r="R49" s="227"/>
    </row>
    <row r="50" spans="1:18" ht="15.75" thickBot="1" x14ac:dyDescent="0.3">
      <c r="A50" s="230"/>
      <c r="B50" s="231" t="s">
        <v>57</v>
      </c>
      <c r="C50" s="232" t="s">
        <v>0</v>
      </c>
      <c r="D50" s="233" t="s">
        <v>1</v>
      </c>
      <c r="E50" s="234" t="s">
        <v>2</v>
      </c>
      <c r="F50" s="95" t="s">
        <v>51</v>
      </c>
    </row>
    <row r="51" spans="1:18" ht="16.5" thickBot="1" x14ac:dyDescent="0.3">
      <c r="A51" s="235"/>
      <c r="B51" s="236" t="s">
        <v>50</v>
      </c>
      <c r="C51" s="92" t="s">
        <v>55</v>
      </c>
      <c r="D51" s="93" t="s">
        <v>3</v>
      </c>
      <c r="E51" s="94" t="s">
        <v>4</v>
      </c>
      <c r="F51" s="95" t="s">
        <v>53</v>
      </c>
      <c r="H51" s="237"/>
      <c r="I51" s="80" t="s">
        <v>239</v>
      </c>
    </row>
    <row r="52" spans="1:18" ht="39" x14ac:dyDescent="0.25">
      <c r="A52" s="238" t="s">
        <v>58</v>
      </c>
      <c r="B52" s="98"/>
      <c r="C52" s="239"/>
      <c r="D52" s="131"/>
      <c r="E52" s="240"/>
      <c r="F52" s="188"/>
      <c r="H52" s="241">
        <v>8</v>
      </c>
      <c r="I52" s="242" t="s">
        <v>136</v>
      </c>
    </row>
    <row r="53" spans="1:18" ht="39" x14ac:dyDescent="0.25">
      <c r="A53" s="97"/>
      <c r="B53" s="243"/>
      <c r="C53" s="137"/>
      <c r="D53" s="131"/>
      <c r="E53" s="138"/>
      <c r="F53" s="188"/>
      <c r="H53" s="241">
        <v>9</v>
      </c>
      <c r="I53" s="242" t="s">
        <v>184</v>
      </c>
    </row>
    <row r="54" spans="1:18" ht="15.75" x14ac:dyDescent="0.25">
      <c r="A54" s="97" t="s">
        <v>44</v>
      </c>
      <c r="B54" s="187">
        <v>11000</v>
      </c>
      <c r="C54" s="142">
        <v>5332.24</v>
      </c>
      <c r="D54" s="131">
        <v>4500</v>
      </c>
      <c r="E54" s="138">
        <v>9800</v>
      </c>
      <c r="F54" s="188">
        <v>7000</v>
      </c>
      <c r="H54" s="241">
        <v>10</v>
      </c>
      <c r="I54" s="242" t="s">
        <v>135</v>
      </c>
    </row>
    <row r="55" spans="1:18" ht="26.25" x14ac:dyDescent="0.25">
      <c r="A55" s="244" t="s">
        <v>45</v>
      </c>
      <c r="B55" s="187"/>
      <c r="C55" s="137"/>
      <c r="D55" s="131"/>
      <c r="E55" s="138"/>
      <c r="F55" s="188"/>
      <c r="H55" s="241">
        <v>11</v>
      </c>
      <c r="I55" s="242" t="s">
        <v>182</v>
      </c>
    </row>
    <row r="56" spans="1:18" ht="15.75" x14ac:dyDescent="0.25">
      <c r="A56" s="97" t="s">
        <v>46</v>
      </c>
      <c r="B56" s="187"/>
      <c r="C56" s="137"/>
      <c r="D56" s="131"/>
      <c r="E56" s="138"/>
      <c r="F56" s="188"/>
      <c r="H56" s="241">
        <v>12</v>
      </c>
      <c r="I56" s="245"/>
    </row>
    <row r="57" spans="1:18" ht="26.25" x14ac:dyDescent="0.25">
      <c r="A57" s="246" t="s">
        <v>14</v>
      </c>
      <c r="B57" s="166">
        <v>11000</v>
      </c>
      <c r="C57" s="247">
        <v>5332.24</v>
      </c>
      <c r="D57" s="248">
        <v>4500</v>
      </c>
      <c r="E57" s="248">
        <v>9800</v>
      </c>
      <c r="F57" s="166">
        <v>7000</v>
      </c>
      <c r="H57" s="241">
        <v>13</v>
      </c>
      <c r="I57" s="242" t="s">
        <v>192</v>
      </c>
      <c r="L57" s="249"/>
    </row>
    <row r="58" spans="1:18" ht="15.75" x14ac:dyDescent="0.25">
      <c r="A58" s="97" t="s">
        <v>15</v>
      </c>
      <c r="B58" s="187"/>
      <c r="C58" s="137"/>
      <c r="D58" s="131"/>
      <c r="E58" s="138"/>
      <c r="F58" s="188"/>
      <c r="H58" s="241">
        <v>14</v>
      </c>
      <c r="I58" s="242" t="s">
        <v>137</v>
      </c>
    </row>
    <row r="59" spans="1:18" ht="39" x14ac:dyDescent="0.25">
      <c r="A59" s="97" t="s">
        <v>16</v>
      </c>
      <c r="B59" s="187">
        <v>7200</v>
      </c>
      <c r="C59" s="142">
        <v>10473.6</v>
      </c>
      <c r="D59" s="131">
        <v>10000</v>
      </c>
      <c r="E59" s="138">
        <v>20473</v>
      </c>
      <c r="F59" s="188">
        <v>7200</v>
      </c>
      <c r="H59" s="241">
        <v>15</v>
      </c>
      <c r="I59" s="242" t="s">
        <v>138</v>
      </c>
    </row>
    <row r="60" spans="1:18" ht="15.75" x14ac:dyDescent="0.25">
      <c r="A60" s="246" t="s">
        <v>17</v>
      </c>
      <c r="B60" s="166">
        <v>7200</v>
      </c>
      <c r="C60" s="247">
        <v>10473.6</v>
      </c>
      <c r="D60" s="250">
        <v>10000</v>
      </c>
      <c r="E60" s="250">
        <v>20473</v>
      </c>
      <c r="F60" s="166">
        <v>7200</v>
      </c>
      <c r="H60" s="241">
        <v>16</v>
      </c>
      <c r="I60" s="242" t="s">
        <v>139</v>
      </c>
    </row>
    <row r="61" spans="1:18" ht="15.75" x14ac:dyDescent="0.25">
      <c r="A61" s="97" t="s">
        <v>18</v>
      </c>
      <c r="B61" s="187"/>
      <c r="C61" s="137"/>
      <c r="D61" s="131"/>
      <c r="E61" s="138"/>
      <c r="F61" s="188"/>
      <c r="H61" s="241">
        <v>17</v>
      </c>
      <c r="I61" s="242" t="s">
        <v>140</v>
      </c>
    </row>
    <row r="62" spans="1:18" ht="26.25" x14ac:dyDescent="0.25">
      <c r="A62" s="97"/>
      <c r="B62" s="187"/>
      <c r="C62" s="251"/>
      <c r="D62" s="131"/>
      <c r="E62" s="138"/>
      <c r="F62" s="188"/>
      <c r="H62" s="241">
        <v>18</v>
      </c>
      <c r="I62" s="242" t="s">
        <v>141</v>
      </c>
    </row>
    <row r="63" spans="1:18" ht="15.75" x14ac:dyDescent="0.25">
      <c r="A63" s="97" t="s">
        <v>11</v>
      </c>
      <c r="B63" s="187">
        <v>4500</v>
      </c>
      <c r="C63" s="142">
        <v>5706.8</v>
      </c>
      <c r="D63" s="131">
        <v>7200</v>
      </c>
      <c r="E63" s="138">
        <v>12900</v>
      </c>
      <c r="F63" s="188">
        <v>5000</v>
      </c>
      <c r="H63" s="241">
        <v>19</v>
      </c>
      <c r="I63" s="242" t="s">
        <v>142</v>
      </c>
    </row>
    <row r="64" spans="1:18" ht="15.75" x14ac:dyDescent="0.25">
      <c r="A64" s="246" t="s">
        <v>17</v>
      </c>
      <c r="B64" s="166">
        <v>4500</v>
      </c>
      <c r="C64" s="247">
        <v>5706.8</v>
      </c>
      <c r="D64" s="252">
        <v>7200</v>
      </c>
      <c r="E64" s="253">
        <v>12900</v>
      </c>
      <c r="F64" s="166">
        <v>5000</v>
      </c>
      <c r="H64" s="241">
        <v>20</v>
      </c>
      <c r="I64" s="242" t="s">
        <v>142</v>
      </c>
    </row>
    <row r="65" spans="1:12" ht="15.75" x14ac:dyDescent="0.25">
      <c r="A65" s="97" t="s">
        <v>19</v>
      </c>
      <c r="B65" s="187"/>
      <c r="C65" s="137"/>
      <c r="D65" s="131"/>
      <c r="E65" s="138"/>
      <c r="F65" s="188"/>
      <c r="H65" s="241">
        <v>21</v>
      </c>
      <c r="I65" s="242" t="s">
        <v>183</v>
      </c>
    </row>
    <row r="66" spans="1:12" ht="15.75" x14ac:dyDescent="0.25">
      <c r="A66" s="97" t="s">
        <v>16</v>
      </c>
      <c r="B66" s="187">
        <v>7734</v>
      </c>
      <c r="C66" s="137">
        <v>5013.6000000000004</v>
      </c>
      <c r="D66" s="131">
        <v>0</v>
      </c>
      <c r="E66" s="138">
        <v>5013.6000000000004</v>
      </c>
      <c r="F66" s="188">
        <v>7500</v>
      </c>
      <c r="H66" s="241">
        <v>22</v>
      </c>
      <c r="I66" s="242" t="s">
        <v>193</v>
      </c>
    </row>
    <row r="67" spans="1:12" ht="28.15" customHeight="1" x14ac:dyDescent="0.25">
      <c r="A67" s="246" t="s">
        <v>17</v>
      </c>
      <c r="B67" s="166">
        <v>7734</v>
      </c>
      <c r="C67" s="250">
        <v>5013.6000000000004</v>
      </c>
      <c r="D67" s="252">
        <v>0</v>
      </c>
      <c r="E67" s="253">
        <v>5013.6000000000004</v>
      </c>
      <c r="F67" s="166">
        <v>7500</v>
      </c>
      <c r="H67" s="241">
        <v>23</v>
      </c>
      <c r="I67" s="242" t="s">
        <v>185</v>
      </c>
    </row>
    <row r="68" spans="1:12" ht="90" x14ac:dyDescent="0.25">
      <c r="A68" s="97" t="s">
        <v>20</v>
      </c>
      <c r="B68" s="187"/>
      <c r="C68" s="137"/>
      <c r="D68" s="131"/>
      <c r="E68" s="138"/>
      <c r="F68" s="188"/>
      <c r="H68" s="241">
        <v>24</v>
      </c>
      <c r="I68" s="242" t="s">
        <v>186</v>
      </c>
    </row>
    <row r="69" spans="1:12" ht="26.25" x14ac:dyDescent="0.25">
      <c r="A69" s="97"/>
      <c r="B69" s="187"/>
      <c r="C69" s="254"/>
      <c r="D69" s="131"/>
      <c r="E69" s="138"/>
      <c r="F69" s="188"/>
      <c r="H69" s="241">
        <v>25</v>
      </c>
      <c r="I69" s="242" t="s">
        <v>143</v>
      </c>
    </row>
    <row r="70" spans="1:12" ht="15.75" x14ac:dyDescent="0.25">
      <c r="A70" s="97" t="s">
        <v>21</v>
      </c>
      <c r="B70" s="187">
        <v>3000</v>
      </c>
      <c r="C70" s="142">
        <v>0</v>
      </c>
      <c r="D70" s="131">
        <v>2000</v>
      </c>
      <c r="E70" s="138">
        <v>2000</v>
      </c>
      <c r="F70" s="188">
        <v>3000</v>
      </c>
      <c r="H70" s="241">
        <v>26</v>
      </c>
      <c r="I70" s="242" t="s">
        <v>144</v>
      </c>
    </row>
    <row r="71" spans="1:12" ht="15.75" x14ac:dyDescent="0.25">
      <c r="A71" s="246" t="s">
        <v>14</v>
      </c>
      <c r="B71" s="166">
        <v>3000</v>
      </c>
      <c r="C71" s="250">
        <v>0</v>
      </c>
      <c r="D71" s="250">
        <v>2000</v>
      </c>
      <c r="E71" s="250">
        <v>2000</v>
      </c>
      <c r="F71" s="166">
        <v>3000</v>
      </c>
      <c r="H71" s="241">
        <v>27</v>
      </c>
      <c r="I71" s="242"/>
    </row>
    <row r="72" spans="1:12" ht="15.75" x14ac:dyDescent="0.25">
      <c r="A72" s="244" t="s">
        <v>22</v>
      </c>
      <c r="B72" s="187"/>
      <c r="C72" s="137"/>
      <c r="D72" s="255"/>
      <c r="E72" s="138"/>
      <c r="F72" s="188"/>
      <c r="H72" s="241">
        <v>28</v>
      </c>
      <c r="I72" s="242" t="s">
        <v>145</v>
      </c>
    </row>
    <row r="73" spans="1:12" ht="15.75" x14ac:dyDescent="0.25">
      <c r="A73" s="256" t="s">
        <v>23</v>
      </c>
      <c r="B73" s="187">
        <v>500</v>
      </c>
      <c r="C73" s="137">
        <v>0</v>
      </c>
      <c r="D73" s="131">
        <v>400</v>
      </c>
      <c r="E73" s="138">
        <v>400</v>
      </c>
      <c r="F73" s="188">
        <v>500</v>
      </c>
      <c r="H73" s="241">
        <v>29</v>
      </c>
      <c r="I73" s="242" t="s">
        <v>145</v>
      </c>
    </row>
    <row r="74" spans="1:12" ht="15.75" x14ac:dyDescent="0.25">
      <c r="A74" s="256" t="s">
        <v>24</v>
      </c>
      <c r="B74" s="187">
        <v>1500</v>
      </c>
      <c r="C74" s="137">
        <v>2100</v>
      </c>
      <c r="D74" s="131">
        <v>3000</v>
      </c>
      <c r="E74" s="138">
        <v>5100</v>
      </c>
      <c r="F74" s="188">
        <v>1500</v>
      </c>
      <c r="H74" s="241">
        <v>30</v>
      </c>
      <c r="I74" s="242" t="s">
        <v>146</v>
      </c>
    </row>
    <row r="75" spans="1:12" ht="15.75" x14ac:dyDescent="0.25">
      <c r="A75" s="246" t="s">
        <v>14</v>
      </c>
      <c r="B75" s="166">
        <v>2000</v>
      </c>
      <c r="C75" s="250">
        <v>2100</v>
      </c>
      <c r="D75" s="250">
        <v>3400</v>
      </c>
      <c r="E75" s="250">
        <v>5500</v>
      </c>
      <c r="F75" s="166">
        <v>2000</v>
      </c>
      <c r="H75" s="241">
        <v>31</v>
      </c>
      <c r="I75" s="242" t="s">
        <v>146</v>
      </c>
    </row>
    <row r="76" spans="1:12" ht="15.75" x14ac:dyDescent="0.25">
      <c r="A76" s="257" t="s">
        <v>49</v>
      </c>
      <c r="B76" s="187"/>
      <c r="C76" s="142"/>
      <c r="D76" s="131"/>
      <c r="E76" s="138"/>
      <c r="F76" s="188"/>
      <c r="H76" s="241">
        <v>32</v>
      </c>
      <c r="I76" s="242" t="s">
        <v>146</v>
      </c>
    </row>
    <row r="77" spans="1:12" ht="15.75" x14ac:dyDescent="0.25">
      <c r="A77" s="258" t="s">
        <v>25</v>
      </c>
      <c r="B77" s="259">
        <f>B45+B57+B60+B64+B67+B71+B75</f>
        <v>44434</v>
      </c>
      <c r="C77" s="260">
        <v>36056.239999999998</v>
      </c>
      <c r="D77" s="261">
        <v>32100</v>
      </c>
      <c r="E77" s="261">
        <v>68156</v>
      </c>
      <c r="F77" s="259">
        <f>F45+F57+F60+F64+F67+F71+F75</f>
        <v>45200</v>
      </c>
      <c r="H77" s="241">
        <v>33</v>
      </c>
      <c r="I77" s="242" t="s">
        <v>147</v>
      </c>
      <c r="L77" s="262"/>
    </row>
    <row r="78" spans="1:12" ht="15.75" x14ac:dyDescent="0.25">
      <c r="A78" s="111" t="s">
        <v>26</v>
      </c>
      <c r="B78" s="263"/>
      <c r="C78" s="137"/>
      <c r="D78" s="131"/>
      <c r="E78" s="138"/>
      <c r="F78" s="188"/>
      <c r="H78" s="241">
        <v>34</v>
      </c>
      <c r="I78" s="242" t="s">
        <v>187</v>
      </c>
    </row>
    <row r="79" spans="1:12" ht="26.25" x14ac:dyDescent="0.25">
      <c r="A79" s="244" t="s">
        <v>27</v>
      </c>
      <c r="B79" s="187">
        <v>1000</v>
      </c>
      <c r="C79" s="142">
        <v>390</v>
      </c>
      <c r="D79" s="131">
        <v>400</v>
      </c>
      <c r="E79" s="143">
        <v>790</v>
      </c>
      <c r="F79" s="188">
        <v>1000</v>
      </c>
      <c r="H79" s="241">
        <v>35</v>
      </c>
      <c r="I79" s="242" t="s">
        <v>148</v>
      </c>
    </row>
    <row r="80" spans="1:12" ht="39.75" thickBot="1" x14ac:dyDescent="0.3">
      <c r="A80" s="97" t="s">
        <v>28</v>
      </c>
      <c r="B80" s="187">
        <v>1000</v>
      </c>
      <c r="C80" s="137">
        <v>1314</v>
      </c>
      <c r="D80" s="131">
        <v>0</v>
      </c>
      <c r="E80" s="138">
        <v>1314</v>
      </c>
      <c r="F80" s="188">
        <v>500</v>
      </c>
      <c r="H80" s="241">
        <v>36</v>
      </c>
      <c r="I80" s="264" t="s">
        <v>188</v>
      </c>
    </row>
    <row r="81" spans="1:12" ht="15.75" x14ac:dyDescent="0.25">
      <c r="A81" s="97" t="s">
        <v>29</v>
      </c>
      <c r="B81" s="187">
        <v>1000</v>
      </c>
      <c r="C81" s="137">
        <v>0</v>
      </c>
      <c r="D81" s="131"/>
      <c r="E81" s="138"/>
      <c r="F81" s="188">
        <v>0</v>
      </c>
    </row>
    <row r="82" spans="1:12" ht="15.75" x14ac:dyDescent="0.25">
      <c r="A82" s="258" t="s">
        <v>30</v>
      </c>
      <c r="B82" s="166">
        <v>3000</v>
      </c>
      <c r="C82" s="265">
        <v>1704</v>
      </c>
      <c r="D82" s="266">
        <v>400</v>
      </c>
      <c r="E82" s="267">
        <v>2104</v>
      </c>
      <c r="F82" s="166">
        <v>1500</v>
      </c>
    </row>
    <row r="83" spans="1:12" ht="15.75" x14ac:dyDescent="0.25">
      <c r="A83" s="97"/>
      <c r="B83" s="187"/>
      <c r="C83" s="137"/>
      <c r="D83" s="131"/>
      <c r="E83" s="138"/>
      <c r="F83" s="188"/>
    </row>
    <row r="84" spans="1:12" ht="15.75" x14ac:dyDescent="0.25">
      <c r="A84" s="97" t="s">
        <v>31</v>
      </c>
      <c r="B84" s="187"/>
      <c r="C84" s="137"/>
      <c r="D84" s="131"/>
      <c r="E84" s="138"/>
      <c r="F84" s="188"/>
    </row>
    <row r="85" spans="1:12" ht="15.75" x14ac:dyDescent="0.25">
      <c r="A85" s="97" t="s">
        <v>32</v>
      </c>
      <c r="B85" s="187">
        <v>100</v>
      </c>
      <c r="C85" s="137">
        <v>0</v>
      </c>
      <c r="D85" s="131">
        <v>0</v>
      </c>
      <c r="E85" s="138">
        <v>0</v>
      </c>
      <c r="F85" s="188">
        <v>100</v>
      </c>
    </row>
    <row r="86" spans="1:12" ht="15.75" x14ac:dyDescent="0.25">
      <c r="A86" s="244" t="s">
        <v>33</v>
      </c>
      <c r="B86" s="187">
        <v>500</v>
      </c>
      <c r="C86" s="137">
        <v>0</v>
      </c>
      <c r="D86" s="131">
        <v>0</v>
      </c>
      <c r="E86" s="138">
        <f>SUM(C86:D86)</f>
        <v>0</v>
      </c>
      <c r="F86" s="188">
        <v>500</v>
      </c>
    </row>
    <row r="87" spans="1:12" ht="15.75" x14ac:dyDescent="0.25">
      <c r="A87" s="97" t="s">
        <v>34</v>
      </c>
      <c r="B87" s="187">
        <v>1000</v>
      </c>
      <c r="C87" s="137">
        <v>0</v>
      </c>
      <c r="D87" s="131">
        <v>0</v>
      </c>
      <c r="E87" s="138">
        <f>SUM(C87:D87)</f>
        <v>0</v>
      </c>
      <c r="F87" s="188">
        <v>1000</v>
      </c>
    </row>
    <row r="88" spans="1:12" ht="15.75" x14ac:dyDescent="0.25">
      <c r="A88" s="97" t="s">
        <v>35</v>
      </c>
      <c r="B88" s="187">
        <v>1000</v>
      </c>
      <c r="C88" s="137">
        <v>0</v>
      </c>
      <c r="D88" s="131">
        <v>0</v>
      </c>
      <c r="E88" s="138">
        <f>SUM(C88:D88)</f>
        <v>0</v>
      </c>
      <c r="F88" s="188">
        <v>1000</v>
      </c>
    </row>
    <row r="89" spans="1:12" ht="15.75" x14ac:dyDescent="0.25">
      <c r="A89" s="258" t="s">
        <v>36</v>
      </c>
      <c r="B89" s="259">
        <v>2600</v>
      </c>
      <c r="C89" s="175">
        <f>SUM(C85:C88)</f>
        <v>0</v>
      </c>
      <c r="D89" s="175">
        <v>0</v>
      </c>
      <c r="E89" s="175">
        <v>0</v>
      </c>
      <c r="F89" s="259">
        <v>2600</v>
      </c>
    </row>
    <row r="90" spans="1:12" ht="15.75" x14ac:dyDescent="0.25">
      <c r="A90" s="268"/>
      <c r="B90" s="269"/>
      <c r="C90" s="270"/>
      <c r="D90" s="131"/>
      <c r="E90" s="138"/>
      <c r="F90" s="271"/>
    </row>
    <row r="91" spans="1:12" ht="15.75" x14ac:dyDescent="0.25">
      <c r="A91" s="272" t="s">
        <v>37</v>
      </c>
      <c r="B91" s="273"/>
      <c r="C91" s="270"/>
      <c r="D91" s="131"/>
      <c r="E91" s="138"/>
      <c r="F91" s="188"/>
    </row>
    <row r="92" spans="1:12" ht="16.5" thickBot="1" x14ac:dyDescent="0.3">
      <c r="A92" s="274"/>
      <c r="B92" s="275"/>
      <c r="C92" s="270"/>
      <c r="D92" s="131"/>
      <c r="E92" s="276"/>
      <c r="F92" s="188"/>
    </row>
    <row r="93" spans="1:12" ht="15.75" x14ac:dyDescent="0.25">
      <c r="A93" s="111" t="s">
        <v>38</v>
      </c>
      <c r="B93" s="146">
        <f>B13</f>
        <v>95298</v>
      </c>
      <c r="C93" s="277">
        <f>C13</f>
        <v>118516.69</v>
      </c>
      <c r="D93" s="278">
        <f>D13</f>
        <v>5815</v>
      </c>
      <c r="E93" s="278">
        <f>E13</f>
        <v>124331.69</v>
      </c>
      <c r="F93" s="188">
        <f>F13</f>
        <v>94555</v>
      </c>
      <c r="K93" s="279"/>
      <c r="L93" s="280"/>
    </row>
    <row r="94" spans="1:12" ht="15.75" x14ac:dyDescent="0.25">
      <c r="A94" s="111" t="s">
        <v>39</v>
      </c>
      <c r="B94" s="281" t="e">
        <f>#REF!+#REF!+#REF!+B77+B82+B89+B15</f>
        <v>#REF!</v>
      </c>
      <c r="C94" s="174">
        <v>36056.239999999998</v>
      </c>
      <c r="D94" s="175">
        <v>47390</v>
      </c>
      <c r="E94" s="175">
        <v>83446.240000000005</v>
      </c>
      <c r="F94" s="271">
        <v>108400</v>
      </c>
      <c r="K94" s="282"/>
      <c r="L94" s="262"/>
    </row>
    <row r="95" spans="1:12" ht="16.5" thickBot="1" x14ac:dyDescent="0.3">
      <c r="A95" s="283" t="s">
        <v>40</v>
      </c>
      <c r="B95" s="284" t="e">
        <f>B93-B94</f>
        <v>#REF!</v>
      </c>
      <c r="C95" s="285"/>
      <c r="D95" s="286"/>
      <c r="E95" s="286"/>
      <c r="F95" s="287">
        <v>0</v>
      </c>
      <c r="K95" s="282"/>
      <c r="L95" s="262"/>
    </row>
    <row r="96" spans="1:12" ht="16.5" thickBot="1" x14ac:dyDescent="0.3">
      <c r="A96" s="288"/>
      <c r="B96" s="289"/>
      <c r="C96" s="290"/>
      <c r="D96" s="291"/>
      <c r="E96" s="292"/>
      <c r="F96" s="188"/>
    </row>
    <row r="97" spans="1:6" ht="15.75" x14ac:dyDescent="0.25">
      <c r="A97" s="293"/>
      <c r="B97" s="294"/>
      <c r="C97" s="270"/>
      <c r="D97" s="295"/>
      <c r="E97" s="296"/>
      <c r="F97" s="188"/>
    </row>
    <row r="98" spans="1:6" ht="15.75" x14ac:dyDescent="0.25">
      <c r="A98" s="293"/>
      <c r="B98" s="297"/>
      <c r="C98" s="270"/>
      <c r="D98" s="298"/>
      <c r="E98" s="299"/>
      <c r="F98" s="188"/>
    </row>
    <row r="99" spans="1:6" ht="15.75" x14ac:dyDescent="0.25">
      <c r="A99" s="300"/>
      <c r="B99" s="297"/>
      <c r="C99" s="137"/>
      <c r="D99" s="301"/>
      <c r="E99" s="296"/>
      <c r="F99" s="188"/>
    </row>
    <row r="100" spans="1:6" ht="16.5" thickBot="1" x14ac:dyDescent="0.3">
      <c r="A100" s="300"/>
      <c r="B100" s="302"/>
      <c r="C100" s="137"/>
      <c r="D100" s="301"/>
      <c r="E100" s="296"/>
      <c r="F100" s="188"/>
    </row>
    <row r="101" spans="1:6" ht="18.75" x14ac:dyDescent="0.3">
      <c r="A101" s="303"/>
      <c r="B101" s="304"/>
      <c r="C101" s="305"/>
      <c r="D101" s="306"/>
      <c r="E101" s="305"/>
      <c r="F101" s="188"/>
    </row>
    <row r="102" spans="1:6" ht="19.5" thickBot="1" x14ac:dyDescent="0.35">
      <c r="A102" s="303"/>
      <c r="B102" s="307"/>
      <c r="C102" s="308"/>
      <c r="D102" s="309"/>
      <c r="E102" s="94"/>
      <c r="F102" s="188"/>
    </row>
    <row r="103" spans="1:6" ht="15.75" x14ac:dyDescent="0.25">
      <c r="A103" s="310"/>
      <c r="B103" s="307"/>
      <c r="C103" s="19"/>
      <c r="D103" s="311"/>
      <c r="E103" s="8"/>
      <c r="F103" s="188"/>
    </row>
    <row r="104" spans="1:6" ht="15.75" x14ac:dyDescent="0.25">
      <c r="A104" s="312"/>
      <c r="B104" s="297"/>
      <c r="C104" s="12"/>
      <c r="D104" s="311"/>
      <c r="E104" s="8"/>
      <c r="F104" s="188"/>
    </row>
    <row r="105" spans="1:6" ht="15.75" x14ac:dyDescent="0.25">
      <c r="B105" s="297"/>
      <c r="C105" s="12"/>
      <c r="D105" s="311"/>
      <c r="E105" s="8"/>
      <c r="F105" s="188"/>
    </row>
    <row r="106" spans="1:6" ht="15.75" x14ac:dyDescent="0.25">
      <c r="A106" s="312"/>
      <c r="B106" s="297"/>
      <c r="C106" s="12"/>
      <c r="D106" s="313"/>
      <c r="E106" s="9"/>
      <c r="F106" s="188"/>
    </row>
    <row r="107" spans="1:6" ht="16.5" thickBot="1" x14ac:dyDescent="0.3">
      <c r="A107" s="314"/>
      <c r="B107" s="286"/>
      <c r="C107" s="286"/>
      <c r="D107" s="315"/>
      <c r="E107" s="316"/>
      <c r="F107" s="188"/>
    </row>
    <row r="108" spans="1:6" ht="15.75" x14ac:dyDescent="0.25">
      <c r="A108" s="317"/>
      <c r="B108" s="307"/>
      <c r="C108" s="318"/>
      <c r="D108" s="10"/>
      <c r="E108" s="11"/>
      <c r="F108" s="188"/>
    </row>
    <row r="109" spans="1:6" ht="15.75" x14ac:dyDescent="0.25">
      <c r="A109" s="312"/>
      <c r="B109" s="2"/>
      <c r="C109" s="12"/>
      <c r="D109" s="13"/>
      <c r="E109" s="14"/>
      <c r="F109" s="188"/>
    </row>
    <row r="110" spans="1:6" ht="15.75" x14ac:dyDescent="0.25">
      <c r="A110" s="312"/>
      <c r="B110" s="2"/>
      <c r="C110" s="12"/>
      <c r="D110" s="13"/>
      <c r="E110" s="14"/>
      <c r="F110" s="188"/>
    </row>
    <row r="111" spans="1:6" ht="15.75" x14ac:dyDescent="0.25">
      <c r="A111" s="312"/>
      <c r="B111" s="2"/>
      <c r="C111" s="12"/>
      <c r="D111" s="15"/>
      <c r="E111" s="14"/>
      <c r="F111" s="188"/>
    </row>
    <row r="112" spans="1:6" ht="16.5" thickBot="1" x14ac:dyDescent="0.3">
      <c r="A112" s="319"/>
      <c r="B112" s="23"/>
      <c r="C112" s="23"/>
      <c r="D112" s="24"/>
      <c r="E112" s="25"/>
      <c r="F112" s="188"/>
    </row>
    <row r="113" spans="1:6" ht="15.75" x14ac:dyDescent="0.25">
      <c r="A113" s="310"/>
      <c r="B113" s="2"/>
      <c r="C113" s="16"/>
      <c r="D113" s="10"/>
      <c r="E113" s="11"/>
      <c r="F113" s="188"/>
    </row>
    <row r="114" spans="1:6" ht="15.75" x14ac:dyDescent="0.25">
      <c r="A114" s="312"/>
      <c r="B114" s="3"/>
      <c r="C114" s="17"/>
      <c r="D114" s="13"/>
      <c r="E114" s="14"/>
      <c r="F114" s="188"/>
    </row>
    <row r="115" spans="1:6" ht="15.75" x14ac:dyDescent="0.25">
      <c r="A115" s="312"/>
      <c r="B115" s="2"/>
      <c r="C115" s="12"/>
      <c r="D115" s="13"/>
      <c r="E115" s="14"/>
      <c r="F115" s="188"/>
    </row>
    <row r="116" spans="1:6" ht="15.75" x14ac:dyDescent="0.25">
      <c r="A116" s="312"/>
      <c r="B116" s="4"/>
      <c r="C116" s="12"/>
      <c r="D116" s="13"/>
      <c r="E116" s="14"/>
      <c r="F116" s="188"/>
    </row>
    <row r="117" spans="1:6" ht="16.5" thickBot="1" x14ac:dyDescent="0.3">
      <c r="A117" s="314"/>
      <c r="B117" s="26"/>
      <c r="C117" s="23"/>
      <c r="D117" s="27"/>
      <c r="E117" s="25"/>
      <c r="F117" s="188"/>
    </row>
    <row r="118" spans="1:6" ht="15.75" x14ac:dyDescent="0.25">
      <c r="A118" s="320"/>
      <c r="B118" s="2"/>
      <c r="C118" s="16"/>
      <c r="D118" s="13"/>
      <c r="E118" s="14"/>
      <c r="F118" s="188"/>
    </row>
    <row r="119" spans="1:6" ht="15.75" x14ac:dyDescent="0.25">
      <c r="A119" s="312"/>
      <c r="B119" s="4"/>
      <c r="C119" s="17"/>
      <c r="D119" s="13"/>
      <c r="E119" s="14"/>
      <c r="F119" s="188"/>
    </row>
    <row r="120" spans="1:6" ht="15.75" x14ac:dyDescent="0.25">
      <c r="A120" s="312"/>
      <c r="B120" s="4"/>
      <c r="C120" s="12"/>
      <c r="D120" s="13"/>
      <c r="E120" s="14"/>
      <c r="F120" s="188"/>
    </row>
    <row r="121" spans="1:6" ht="15.75" x14ac:dyDescent="0.25">
      <c r="A121" s="312"/>
      <c r="B121" s="4"/>
      <c r="C121" s="12"/>
      <c r="D121" s="13"/>
      <c r="E121" s="14"/>
      <c r="F121" s="188"/>
    </row>
    <row r="122" spans="1:6" ht="16.5" thickBot="1" x14ac:dyDescent="0.3">
      <c r="A122" s="314"/>
      <c r="B122" s="23"/>
      <c r="C122" s="23"/>
      <c r="D122" s="28"/>
      <c r="E122" s="25"/>
      <c r="F122" s="188"/>
    </row>
    <row r="123" spans="1:6" ht="15.75" x14ac:dyDescent="0.25">
      <c r="A123" s="320"/>
      <c r="B123" s="5"/>
      <c r="C123" s="16"/>
      <c r="D123" s="18"/>
      <c r="E123" s="11"/>
      <c r="F123" s="188"/>
    </row>
    <row r="124" spans="1:6" ht="15.75" x14ac:dyDescent="0.25">
      <c r="A124" s="312"/>
      <c r="B124" s="4"/>
      <c r="C124" s="17"/>
      <c r="D124" s="13"/>
      <c r="E124" s="14"/>
      <c r="F124" s="188"/>
    </row>
    <row r="125" spans="1:6" ht="15.75" x14ac:dyDescent="0.25">
      <c r="A125" s="312"/>
      <c r="B125" s="4"/>
      <c r="C125" s="12"/>
      <c r="D125" s="13"/>
      <c r="E125" s="14"/>
      <c r="F125" s="188"/>
    </row>
    <row r="126" spans="1:6" ht="15.75" x14ac:dyDescent="0.25">
      <c r="A126" s="312"/>
      <c r="B126" s="4"/>
      <c r="C126" s="12"/>
      <c r="D126" s="13"/>
      <c r="E126" s="14"/>
      <c r="F126" s="188"/>
    </row>
    <row r="127" spans="1:6" ht="16.5" thickBot="1" x14ac:dyDescent="0.3">
      <c r="A127" s="314"/>
      <c r="B127" s="23"/>
      <c r="C127" s="23"/>
      <c r="D127" s="24"/>
      <c r="E127" s="25"/>
      <c r="F127" s="188"/>
    </row>
    <row r="128" spans="1:6" ht="15.75" x14ac:dyDescent="0.25">
      <c r="A128" s="310"/>
      <c r="B128" s="2"/>
      <c r="C128" s="19"/>
      <c r="D128" s="18"/>
      <c r="E128" s="20"/>
      <c r="F128" s="188"/>
    </row>
    <row r="129" spans="1:6" ht="15.75" x14ac:dyDescent="0.25">
      <c r="A129" s="312"/>
      <c r="B129" s="4"/>
      <c r="C129" s="12"/>
      <c r="D129" s="13"/>
      <c r="E129" s="14"/>
      <c r="F129" s="188"/>
    </row>
    <row r="130" spans="1:6" ht="15.75" x14ac:dyDescent="0.25">
      <c r="A130" s="312"/>
      <c r="B130" s="4"/>
      <c r="C130" s="21"/>
      <c r="D130" s="13"/>
      <c r="E130" s="14"/>
      <c r="F130" s="188"/>
    </row>
    <row r="131" spans="1:6" ht="15.75" x14ac:dyDescent="0.25">
      <c r="A131" s="312"/>
      <c r="B131" s="2"/>
      <c r="C131" s="12"/>
      <c r="D131" s="13"/>
      <c r="E131" s="14"/>
      <c r="F131" s="188"/>
    </row>
    <row r="132" spans="1:6" ht="16.5" thickBot="1" x14ac:dyDescent="0.3">
      <c r="A132" s="314"/>
      <c r="B132" s="29"/>
      <c r="C132" s="23"/>
      <c r="D132" s="23"/>
      <c r="E132" s="23"/>
      <c r="F132" s="188"/>
    </row>
    <row r="133" spans="1:6" ht="15.75" x14ac:dyDescent="0.25">
      <c r="A133" s="321"/>
      <c r="B133" s="6"/>
      <c r="C133" s="22"/>
      <c r="D133" s="18"/>
      <c r="E133" s="14"/>
      <c r="F133" s="188"/>
    </row>
    <row r="134" spans="1:6" ht="15.75" x14ac:dyDescent="0.25">
      <c r="A134" s="322"/>
      <c r="B134" s="2"/>
      <c r="C134" s="12"/>
      <c r="D134" s="12"/>
      <c r="E134" s="14"/>
      <c r="F134" s="188"/>
    </row>
    <row r="135" spans="1:6" ht="15.75" x14ac:dyDescent="0.25">
      <c r="A135" s="293"/>
      <c r="B135" s="2"/>
      <c r="C135" s="12"/>
      <c r="D135" s="12"/>
      <c r="E135" s="14"/>
      <c r="F135" s="188"/>
    </row>
    <row r="136" spans="1:6" ht="15.75" x14ac:dyDescent="0.25">
      <c r="A136" s="323"/>
      <c r="B136" s="30"/>
      <c r="C136" s="30"/>
      <c r="D136" s="30"/>
      <c r="E136" s="31"/>
      <c r="F136" s="188"/>
    </row>
    <row r="137" spans="1:6" ht="16.5" thickBot="1" x14ac:dyDescent="0.3">
      <c r="A137" s="324"/>
      <c r="B137" s="7"/>
      <c r="C137" s="1"/>
      <c r="D137" s="325"/>
      <c r="E137" s="326"/>
      <c r="F137" s="188"/>
    </row>
    <row r="138" spans="1:6" ht="15.75" x14ac:dyDescent="0.25">
      <c r="A138" s="327"/>
      <c r="B138" s="328"/>
      <c r="C138" s="329"/>
      <c r="D138" s="329"/>
      <c r="E138" s="330"/>
      <c r="F138" s="188"/>
    </row>
    <row r="139" spans="1:6" ht="16.5" thickBot="1" x14ac:dyDescent="0.3">
      <c r="A139" s="331"/>
      <c r="B139" s="332"/>
      <c r="C139" s="333"/>
      <c r="D139" s="333"/>
      <c r="E139" s="330"/>
      <c r="F139" s="188"/>
    </row>
    <row r="140" spans="1:6" ht="16.5" thickBot="1" x14ac:dyDescent="0.3">
      <c r="A140" s="334"/>
      <c r="B140" s="30"/>
      <c r="C140" s="335"/>
      <c r="D140" s="335"/>
      <c r="E140" s="335"/>
      <c r="F140" s="188"/>
    </row>
    <row r="141" spans="1:6" ht="16.5" thickBot="1" x14ac:dyDescent="0.3">
      <c r="A141" s="336"/>
      <c r="B141" s="337"/>
      <c r="C141" s="337"/>
      <c r="D141" s="337"/>
      <c r="E141" s="337"/>
      <c r="F141" s="188"/>
    </row>
    <row r="142" spans="1:6" ht="16.5" thickBot="1" x14ac:dyDescent="0.3">
      <c r="A142" s="338"/>
      <c r="B142" s="339"/>
      <c r="C142" s="340"/>
      <c r="D142" s="340"/>
      <c r="E142" s="340"/>
      <c r="F142" s="188"/>
    </row>
    <row r="143" spans="1:6" ht="15.75" x14ac:dyDescent="0.25">
      <c r="A143" s="324"/>
      <c r="B143" s="341"/>
      <c r="C143" s="342"/>
      <c r="D143" s="343"/>
      <c r="E143" s="343"/>
      <c r="F143" s="188"/>
    </row>
  </sheetData>
  <phoneticPr fontId="11" type="noConversion"/>
  <pageMargins left="0.7" right="0.7" top="0.75" bottom="0.75" header="0.3" footer="0.3"/>
  <pageSetup paperSize="9" scale="8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217A-CAFD-4B92-A3BF-C1AAF17362BC}">
  <dimension ref="A1"/>
  <sheetViews>
    <sheetView workbookViewId="0">
      <selection activeCell="N24" sqref="N24"/>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1F86-D52D-4784-A75B-106BAFFF870F}">
  <dimension ref="A1"/>
  <sheetViews>
    <sheetView workbookViewId="0">
      <selection activeCell="N24" sqref="N24"/>
    </sheetView>
  </sheetViews>
  <sheetFormatPr defaultRowHeight="15" x14ac:dyDescent="0.25"/>
  <cols>
    <col min="2" max="3" width="19.7109375"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3092-0A2E-4AEE-8B92-381435AC8CD4}">
  <dimension ref="A1:C18"/>
  <sheetViews>
    <sheetView workbookViewId="0">
      <selection activeCell="N24" sqref="N24"/>
    </sheetView>
  </sheetViews>
  <sheetFormatPr defaultRowHeight="15" x14ac:dyDescent="0.25"/>
  <cols>
    <col min="1" max="1" width="9.7109375" bestFit="1" customWidth="1"/>
    <col min="2" max="2" width="21.7109375" customWidth="1"/>
    <col min="3" max="3" width="13.140625" bestFit="1" customWidth="1"/>
  </cols>
  <sheetData>
    <row r="1" spans="1:3" x14ac:dyDescent="0.25">
      <c r="B1" t="s">
        <v>224</v>
      </c>
      <c r="C1" t="s">
        <v>223</v>
      </c>
    </row>
    <row r="2" spans="1:3" x14ac:dyDescent="0.25">
      <c r="A2" t="s">
        <v>211</v>
      </c>
      <c r="B2">
        <v>995.17</v>
      </c>
    </row>
    <row r="3" spans="1:3" x14ac:dyDescent="0.25">
      <c r="A3" t="s">
        <v>212</v>
      </c>
      <c r="B3">
        <v>0</v>
      </c>
      <c r="C3">
        <v>600</v>
      </c>
    </row>
    <row r="4" spans="1:3" x14ac:dyDescent="0.25">
      <c r="A4" t="s">
        <v>213</v>
      </c>
      <c r="B4">
        <v>250</v>
      </c>
      <c r="C4">
        <v>600</v>
      </c>
    </row>
    <row r="5" spans="1:3" x14ac:dyDescent="0.25">
      <c r="A5" t="s">
        <v>214</v>
      </c>
      <c r="B5">
        <v>325</v>
      </c>
      <c r="C5">
        <v>600</v>
      </c>
    </row>
    <row r="6" spans="1:3" x14ac:dyDescent="0.25">
      <c r="A6" t="s">
        <v>215</v>
      </c>
      <c r="B6">
        <v>125</v>
      </c>
      <c r="C6">
        <v>600</v>
      </c>
    </row>
    <row r="7" spans="1:3" x14ac:dyDescent="0.25">
      <c r="A7" t="s">
        <v>216</v>
      </c>
      <c r="B7">
        <v>125</v>
      </c>
      <c r="C7">
        <v>600</v>
      </c>
    </row>
    <row r="8" spans="1:3" x14ac:dyDescent="0.25">
      <c r="A8" t="s">
        <v>217</v>
      </c>
      <c r="B8">
        <v>125</v>
      </c>
      <c r="C8">
        <v>600</v>
      </c>
    </row>
    <row r="9" spans="1:3" x14ac:dyDescent="0.25">
      <c r="A9" t="s">
        <v>218</v>
      </c>
      <c r="B9">
        <v>1367.74</v>
      </c>
      <c r="C9">
        <v>600</v>
      </c>
    </row>
    <row r="10" spans="1:3" x14ac:dyDescent="0.25">
      <c r="A10" t="s">
        <v>219</v>
      </c>
      <c r="B10">
        <v>1367.74</v>
      </c>
      <c r="C10">
        <v>600</v>
      </c>
    </row>
    <row r="11" spans="1:3" x14ac:dyDescent="0.25">
      <c r="A11" t="s">
        <v>220</v>
      </c>
      <c r="B11">
        <v>1367.74</v>
      </c>
      <c r="C11">
        <v>600</v>
      </c>
    </row>
    <row r="12" spans="1:3" x14ac:dyDescent="0.25">
      <c r="A12" t="s">
        <v>221</v>
      </c>
      <c r="B12">
        <v>1367.74</v>
      </c>
    </row>
    <row r="13" spans="1:3" x14ac:dyDescent="0.25">
      <c r="A13" t="s">
        <v>222</v>
      </c>
      <c r="B13">
        <v>1367.74</v>
      </c>
    </row>
    <row r="14" spans="1:3" x14ac:dyDescent="0.25">
      <c r="B14">
        <f>SUM(B2:B13)</f>
        <v>8783.869999999999</v>
      </c>
      <c r="C14">
        <f>SUM(C2:C13)</f>
        <v>5400</v>
      </c>
    </row>
    <row r="18" spans="2:2" x14ac:dyDescent="0.25">
      <c r="B18">
        <f>B9*12</f>
        <v>16412.88</v>
      </c>
    </row>
  </sheetData>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AECB-4B89-4284-9421-E6D5E92DC5C0}">
  <dimension ref="A2:D20"/>
  <sheetViews>
    <sheetView workbookViewId="0">
      <selection activeCell="N24" sqref="N24"/>
    </sheetView>
  </sheetViews>
  <sheetFormatPr defaultRowHeight="15" x14ac:dyDescent="0.25"/>
  <cols>
    <col min="1" max="1" width="42.5703125" bestFit="1" customWidth="1"/>
    <col min="2" max="2" width="18.42578125" bestFit="1" customWidth="1"/>
  </cols>
  <sheetData>
    <row r="2" spans="1:4" x14ac:dyDescent="0.25">
      <c r="A2" s="86" t="s">
        <v>225</v>
      </c>
    </row>
    <row r="3" spans="1:4" x14ac:dyDescent="0.25">
      <c r="A3" s="86" t="s">
        <v>226</v>
      </c>
    </row>
    <row r="4" spans="1:4" x14ac:dyDescent="0.25">
      <c r="A4" s="86" t="s">
        <v>227</v>
      </c>
    </row>
    <row r="7" spans="1:4" x14ac:dyDescent="0.25">
      <c r="A7" s="87" t="s">
        <v>228</v>
      </c>
      <c r="B7" t="s">
        <v>229</v>
      </c>
    </row>
    <row r="8" spans="1:4" x14ac:dyDescent="0.25">
      <c r="A8" s="86" t="s">
        <v>230</v>
      </c>
      <c r="B8">
        <v>12</v>
      </c>
      <c r="C8">
        <f>B8*16</f>
        <v>192</v>
      </c>
      <c r="D8">
        <f>C8*0.45</f>
        <v>86.4</v>
      </c>
    </row>
    <row r="9" spans="1:4" x14ac:dyDescent="0.25">
      <c r="A9" s="86" t="s">
        <v>231</v>
      </c>
      <c r="B9">
        <v>11</v>
      </c>
      <c r="C9">
        <f t="shared" ref="C9:C10" si="0">B9*16</f>
        <v>176</v>
      </c>
      <c r="D9">
        <f t="shared" ref="D9:D10" si="1">C9*0.45</f>
        <v>79.2</v>
      </c>
    </row>
    <row r="10" spans="1:4" x14ac:dyDescent="0.25">
      <c r="A10" s="86" t="s">
        <v>232</v>
      </c>
      <c r="B10">
        <v>6</v>
      </c>
      <c r="C10">
        <f t="shared" si="0"/>
        <v>96</v>
      </c>
      <c r="D10">
        <f t="shared" si="1"/>
        <v>43.2</v>
      </c>
    </row>
    <row r="11" spans="1:4" x14ac:dyDescent="0.25">
      <c r="D11">
        <f>SUM(D8:D10)</f>
        <v>208.8</v>
      </c>
    </row>
    <row r="12" spans="1:4" x14ac:dyDescent="0.25">
      <c r="A12" s="86" t="s">
        <v>235</v>
      </c>
    </row>
    <row r="13" spans="1:4" x14ac:dyDescent="0.25">
      <c r="A13" s="86" t="s">
        <v>233</v>
      </c>
      <c r="D13">
        <v>30</v>
      </c>
    </row>
    <row r="14" spans="1:4" x14ac:dyDescent="0.25">
      <c r="A14" s="86" t="s">
        <v>234</v>
      </c>
      <c r="D14">
        <v>45</v>
      </c>
    </row>
    <row r="15" spans="1:4" x14ac:dyDescent="0.25">
      <c r="D15">
        <f>SUM(D13:D14)</f>
        <v>75</v>
      </c>
    </row>
    <row r="17" spans="1:4" x14ac:dyDescent="0.25">
      <c r="A17" s="86" t="s">
        <v>236</v>
      </c>
      <c r="D17">
        <v>100</v>
      </c>
    </row>
    <row r="20" spans="1:4" x14ac:dyDescent="0.25">
      <c r="A20" t="s">
        <v>237</v>
      </c>
      <c r="D20">
        <f>D17+D15+D11</f>
        <v>383.8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896A-2307-40B3-B7B9-BBCEE1D41E84}">
  <dimension ref="B3:O17"/>
  <sheetViews>
    <sheetView topLeftCell="A2" workbookViewId="0">
      <selection activeCell="L19" sqref="L19"/>
    </sheetView>
  </sheetViews>
  <sheetFormatPr defaultRowHeight="15" x14ac:dyDescent="0.25"/>
  <cols>
    <col min="1" max="1" width="8.85546875" customWidth="1"/>
    <col min="3" max="4" width="22.7109375" customWidth="1"/>
    <col min="5" max="5" width="18.42578125" customWidth="1"/>
    <col min="11" max="11" width="11" bestFit="1" customWidth="1"/>
    <col min="13" max="13" width="11.7109375" bestFit="1" customWidth="1"/>
    <col min="15" max="15" width="11.7109375" bestFit="1" customWidth="1"/>
  </cols>
  <sheetData>
    <row r="3" spans="2:15" ht="27" x14ac:dyDescent="0.3">
      <c r="B3" s="42"/>
      <c r="C3" s="42" t="s">
        <v>81</v>
      </c>
      <c r="D3" s="42"/>
      <c r="E3" s="43" t="s">
        <v>94</v>
      </c>
      <c r="F3" s="44"/>
      <c r="G3" s="45"/>
      <c r="H3" s="32"/>
    </row>
    <row r="4" spans="2:15" ht="16.5" x14ac:dyDescent="0.3">
      <c r="B4" s="42">
        <v>1</v>
      </c>
      <c r="C4" s="42" t="s">
        <v>82</v>
      </c>
      <c r="D4" s="42" t="s">
        <v>95</v>
      </c>
      <c r="E4" s="46">
        <v>9840</v>
      </c>
      <c r="F4" s="44"/>
      <c r="G4" s="45"/>
      <c r="H4" s="32"/>
      <c r="K4">
        <v>80650.45</v>
      </c>
      <c r="M4">
        <v>141140</v>
      </c>
      <c r="O4">
        <v>14833.45</v>
      </c>
    </row>
    <row r="5" spans="2:15" ht="16.5" x14ac:dyDescent="0.3">
      <c r="B5" s="42">
        <v>2</v>
      </c>
      <c r="C5" s="42" t="s">
        <v>83</v>
      </c>
      <c r="D5" s="42" t="s">
        <v>96</v>
      </c>
      <c r="E5" s="46">
        <v>1050</v>
      </c>
      <c r="F5" s="44"/>
      <c r="G5" s="45"/>
      <c r="H5" s="32"/>
    </row>
    <row r="6" spans="2:15" ht="16.5" x14ac:dyDescent="0.3">
      <c r="B6" s="42">
        <v>3</v>
      </c>
      <c r="C6" s="42" t="s">
        <v>84</v>
      </c>
      <c r="D6" s="42"/>
      <c r="E6" s="46">
        <v>4000</v>
      </c>
      <c r="F6" s="44"/>
      <c r="G6" s="45"/>
      <c r="H6" s="32"/>
    </row>
    <row r="7" spans="2:15" ht="16.5" x14ac:dyDescent="0.3">
      <c r="B7" s="42">
        <v>4</v>
      </c>
      <c r="C7" s="42" t="s">
        <v>86</v>
      </c>
      <c r="D7" s="42"/>
      <c r="E7" s="46">
        <v>13000</v>
      </c>
      <c r="F7" s="44"/>
      <c r="G7" s="45"/>
      <c r="H7" s="32"/>
    </row>
    <row r="8" spans="2:15" ht="16.5" x14ac:dyDescent="0.3">
      <c r="B8" s="42">
        <v>5</v>
      </c>
      <c r="C8" s="42" t="s">
        <v>85</v>
      </c>
      <c r="D8" s="42"/>
      <c r="E8" s="46">
        <v>13000</v>
      </c>
      <c r="F8" s="44"/>
      <c r="G8" s="45"/>
      <c r="H8" s="32"/>
    </row>
    <row r="9" spans="2:15" ht="16.5" x14ac:dyDescent="0.3">
      <c r="B9" s="42">
        <v>6</v>
      </c>
      <c r="C9" s="42" t="s">
        <v>86</v>
      </c>
      <c r="D9" s="42"/>
      <c r="E9" s="46">
        <v>1000</v>
      </c>
      <c r="F9" s="44"/>
      <c r="G9" s="45">
        <v>183823</v>
      </c>
      <c r="H9" s="32"/>
    </row>
    <row r="10" spans="2:15" ht="16.5" x14ac:dyDescent="0.3">
      <c r="B10" s="42">
        <v>7</v>
      </c>
      <c r="C10" s="42" t="s">
        <v>87</v>
      </c>
      <c r="D10" s="42"/>
      <c r="E10" s="46">
        <v>18575.27</v>
      </c>
      <c r="F10" s="44"/>
      <c r="G10" s="45"/>
      <c r="H10" s="32"/>
    </row>
    <row r="11" spans="2:15" ht="16.5" x14ac:dyDescent="0.3">
      <c r="B11" s="42">
        <v>8</v>
      </c>
      <c r="C11" s="47" t="s">
        <v>88</v>
      </c>
      <c r="D11" s="47"/>
      <c r="E11" s="48">
        <v>80650.45</v>
      </c>
      <c r="F11" s="44"/>
      <c r="G11" s="45"/>
      <c r="H11" s="32"/>
      <c r="J11" t="s">
        <v>76</v>
      </c>
      <c r="K11">
        <v>63563.53</v>
      </c>
    </row>
    <row r="12" spans="2:15" ht="16.5" x14ac:dyDescent="0.3">
      <c r="B12" s="42"/>
      <c r="C12" s="49" t="s">
        <v>89</v>
      </c>
      <c r="D12" s="49"/>
      <c r="E12" s="50">
        <f>SUM(E4:E11)</f>
        <v>141115.72</v>
      </c>
      <c r="F12" s="44"/>
      <c r="G12" s="45"/>
      <c r="H12" s="32"/>
    </row>
    <row r="13" spans="2:15" ht="16.5" x14ac:dyDescent="0.3">
      <c r="B13" s="51"/>
      <c r="C13" s="52"/>
      <c r="D13" s="52"/>
      <c r="E13" s="44"/>
      <c r="F13" s="44"/>
      <c r="G13" s="45"/>
      <c r="H13" s="32"/>
    </row>
    <row r="14" spans="2:15" ht="15.75" thickBot="1" x14ac:dyDescent="0.3"/>
    <row r="15" spans="2:15" ht="29.25" thickBot="1" x14ac:dyDescent="0.3">
      <c r="J15" s="53"/>
      <c r="K15" s="54" t="s">
        <v>90</v>
      </c>
      <c r="L15" s="55"/>
      <c r="M15" s="54" t="s">
        <v>91</v>
      </c>
      <c r="N15" s="55"/>
      <c r="O15" s="56" t="s">
        <v>92</v>
      </c>
    </row>
    <row r="16" spans="2:15" ht="16.5" thickTop="1" thickBot="1" x14ac:dyDescent="0.3">
      <c r="J16" s="53" t="s">
        <v>93</v>
      </c>
      <c r="K16">
        <f>SUM(K11:K15)</f>
        <v>63563.53</v>
      </c>
      <c r="L16" s="57"/>
      <c r="M16" s="58">
        <f>SUM(E12)</f>
        <v>141115.72</v>
      </c>
      <c r="N16" s="57"/>
      <c r="O16" s="59">
        <f>SUM(K16-M16)</f>
        <v>-77552.19</v>
      </c>
    </row>
    <row r="17" ht="15.75" thickTop="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8F77-B3A1-42CB-8198-A4EF89576870}">
  <dimension ref="B1:G28"/>
  <sheetViews>
    <sheetView workbookViewId="0">
      <selection activeCell="N24" sqref="N24"/>
    </sheetView>
  </sheetViews>
  <sheetFormatPr defaultRowHeight="15" x14ac:dyDescent="0.25"/>
  <cols>
    <col min="2" max="2" width="21.28515625" bestFit="1" customWidth="1"/>
    <col min="3" max="3" width="38.7109375" bestFit="1" customWidth="1"/>
    <col min="4" max="4" width="18.42578125" bestFit="1" customWidth="1"/>
    <col min="5" max="5" width="16.7109375" bestFit="1" customWidth="1"/>
    <col min="7" max="7" width="70" bestFit="1" customWidth="1"/>
    <col min="10" max="10" width="15.28515625" customWidth="1"/>
  </cols>
  <sheetData>
    <row r="1" spans="2:7" ht="21" x14ac:dyDescent="0.25">
      <c r="B1" s="345" t="s">
        <v>152</v>
      </c>
      <c r="C1" s="345"/>
      <c r="D1" s="345"/>
      <c r="E1" s="345"/>
    </row>
    <row r="2" spans="2:7" ht="15.75" x14ac:dyDescent="0.25">
      <c r="E2" s="66"/>
    </row>
    <row r="3" spans="2:7" ht="15.75" x14ac:dyDescent="0.25">
      <c r="B3" s="67" t="s">
        <v>203</v>
      </c>
      <c r="C3" s="67"/>
      <c r="D3" s="67" t="s">
        <v>204</v>
      </c>
      <c r="E3" s="68" t="s">
        <v>153</v>
      </c>
      <c r="F3" s="67" t="s">
        <v>204</v>
      </c>
      <c r="G3" s="68" t="s">
        <v>153</v>
      </c>
    </row>
    <row r="4" spans="2:7" ht="15.75" x14ac:dyDescent="0.25">
      <c r="B4" s="69">
        <v>40750</v>
      </c>
      <c r="C4" s="70" t="s">
        <v>6</v>
      </c>
      <c r="D4" s="69">
        <v>40750</v>
      </c>
      <c r="E4" s="71">
        <f>SUM(D4-B4)/B4</f>
        <v>0</v>
      </c>
      <c r="F4" s="69">
        <v>40750</v>
      </c>
      <c r="G4" s="71">
        <f>SUM(F4-D4)/D4</f>
        <v>0</v>
      </c>
    </row>
    <row r="5" spans="2:7" ht="15.75" x14ac:dyDescent="0.25">
      <c r="B5" s="72">
        <v>1304.6199999999999</v>
      </c>
      <c r="C5" s="70" t="s">
        <v>154</v>
      </c>
      <c r="D5" s="72">
        <v>1326</v>
      </c>
      <c r="E5" s="71">
        <f>SUM(D5-B5)/B5</f>
        <v>1.6387913722003426E-2</v>
      </c>
      <c r="F5" s="72">
        <v>1326</v>
      </c>
      <c r="G5" s="71">
        <f>SUM(F5-D5)/D5</f>
        <v>0</v>
      </c>
    </row>
    <row r="6" spans="2:7" ht="15.75" x14ac:dyDescent="0.25">
      <c r="B6" s="73">
        <f>SUM(B4/B5)</f>
        <v>31.235148932256138</v>
      </c>
      <c r="C6" s="70" t="s">
        <v>155</v>
      </c>
      <c r="D6" s="73">
        <f>D4/D5</f>
        <v>30.731523378582203</v>
      </c>
      <c r="E6" s="71">
        <f>SUM(D6-B6)/B6</f>
        <v>-1.6123680241327328E-2</v>
      </c>
      <c r="F6" s="73">
        <f>F4/F5</f>
        <v>30.731523378582203</v>
      </c>
      <c r="G6" s="71">
        <f>SUM(F6-D6)/D6</f>
        <v>0</v>
      </c>
    </row>
    <row r="7" spans="2:7" ht="15.75" x14ac:dyDescent="0.25">
      <c r="B7" s="74"/>
      <c r="C7" s="70"/>
      <c r="D7" s="74"/>
      <c r="E7" s="71"/>
    </row>
    <row r="8" spans="2:7" ht="15.75" x14ac:dyDescent="0.25">
      <c r="B8" s="73"/>
      <c r="C8" s="346" t="s">
        <v>156</v>
      </c>
      <c r="D8" s="348">
        <f>SUM(1000/D5)</f>
        <v>0.75414781297134237</v>
      </c>
      <c r="E8" s="71"/>
    </row>
    <row r="9" spans="2:7" ht="15.75" x14ac:dyDescent="0.25">
      <c r="B9" s="73"/>
      <c r="C9" s="347"/>
      <c r="D9" s="349"/>
      <c r="E9" s="71"/>
    </row>
    <row r="10" spans="2:7" ht="15.75" x14ac:dyDescent="0.25">
      <c r="B10" s="73"/>
      <c r="C10" s="75"/>
      <c r="D10" s="76"/>
      <c r="E10" s="71"/>
    </row>
    <row r="11" spans="2:7" ht="15.75" x14ac:dyDescent="0.25">
      <c r="B11" s="348" t="s">
        <v>157</v>
      </c>
      <c r="C11" s="349"/>
      <c r="D11" s="349"/>
      <c r="E11" s="349"/>
      <c r="G11" s="88" t="s">
        <v>240</v>
      </c>
    </row>
    <row r="12" spans="2:7" ht="15.75" x14ac:dyDescent="0.25">
      <c r="B12" s="67" t="s">
        <v>158</v>
      </c>
      <c r="C12" s="67"/>
      <c r="D12" s="67" t="s">
        <v>159</v>
      </c>
      <c r="E12" s="68" t="s">
        <v>160</v>
      </c>
      <c r="G12" s="89">
        <f>B6*D5</f>
        <v>41417.807484171637</v>
      </c>
    </row>
    <row r="13" spans="2:7" ht="15.75" x14ac:dyDescent="0.25">
      <c r="B13" s="73">
        <f>SUM(B6/9)*6</f>
        <v>20.823432621504093</v>
      </c>
      <c r="C13" s="70" t="s">
        <v>161</v>
      </c>
      <c r="D13" s="73">
        <f>SUM(D6/9)*6</f>
        <v>20.487682252388137</v>
      </c>
      <c r="E13" s="77">
        <f>SUM(D13-B13)/52</f>
        <v>-6.4567378676145476E-3</v>
      </c>
    </row>
    <row r="14" spans="2:7" ht="15.75" x14ac:dyDescent="0.25">
      <c r="B14" s="73">
        <f>SUM(B6/9)*7</f>
        <v>24.294004725088108</v>
      </c>
      <c r="C14" s="70" t="s">
        <v>162</v>
      </c>
      <c r="D14" s="73">
        <f>SUM(D6/9)*7</f>
        <v>23.902295961119492</v>
      </c>
      <c r="E14" s="77">
        <f t="shared" ref="E14:E20" si="0">SUM(D14-B14)/52</f>
        <v>-7.5328608455503048E-3</v>
      </c>
    </row>
    <row r="15" spans="2:7" ht="15.75" x14ac:dyDescent="0.25">
      <c r="B15" s="73">
        <f>SUM(B6/9)*8</f>
        <v>27.764576828672123</v>
      </c>
      <c r="C15" s="70" t="s">
        <v>163</v>
      </c>
      <c r="D15" s="73">
        <f>SUM(D6/9)*8</f>
        <v>27.316909669850848</v>
      </c>
      <c r="E15" s="77">
        <f t="shared" si="0"/>
        <v>-8.6089838234860629E-3</v>
      </c>
    </row>
    <row r="16" spans="2:7" ht="15.75" x14ac:dyDescent="0.25">
      <c r="B16" s="73">
        <f>SUM(B6)</f>
        <v>31.235148932256138</v>
      </c>
      <c r="C16" s="70" t="s">
        <v>155</v>
      </c>
      <c r="D16" s="73">
        <f>SUM(D6)</f>
        <v>30.731523378582203</v>
      </c>
      <c r="E16" s="77">
        <f t="shared" si="0"/>
        <v>-9.6851068014218201E-3</v>
      </c>
    </row>
    <row r="17" spans="2:5" ht="15.75" x14ac:dyDescent="0.25">
      <c r="B17" s="73">
        <f>SUM(B6/9)*11</f>
        <v>38.176293139424168</v>
      </c>
      <c r="C17" s="70" t="s">
        <v>164</v>
      </c>
      <c r="D17" s="73">
        <f>SUM(D6/9)*11</f>
        <v>37.560750796044914</v>
      </c>
      <c r="E17" s="77">
        <f t="shared" si="0"/>
        <v>-1.1837352757293336E-2</v>
      </c>
    </row>
    <row r="18" spans="2:5" ht="15.75" x14ac:dyDescent="0.25">
      <c r="B18" s="73">
        <f>SUM(B6/9)*13</f>
        <v>45.117437346592197</v>
      </c>
      <c r="C18" s="70" t="s">
        <v>165</v>
      </c>
      <c r="D18" s="73">
        <f>SUM(D6/9)*13</f>
        <v>44.389978213507625</v>
      </c>
      <c r="E18" s="77">
        <f t="shared" si="0"/>
        <v>-1.3989598713164852E-2</v>
      </c>
    </row>
    <row r="19" spans="2:5" ht="15.75" x14ac:dyDescent="0.25">
      <c r="B19" s="73">
        <f>SUM(B6/9)*15</f>
        <v>52.058581553760227</v>
      </c>
      <c r="C19" s="70" t="s">
        <v>166</v>
      </c>
      <c r="D19" s="73">
        <f>SUM(D6/9)*15</f>
        <v>51.219205630970336</v>
      </c>
      <c r="E19" s="77">
        <f t="shared" si="0"/>
        <v>-1.6141844669036367E-2</v>
      </c>
    </row>
    <row r="20" spans="2:5" ht="15.75" x14ac:dyDescent="0.25">
      <c r="B20" s="73">
        <f>SUM(B6/9)*18</f>
        <v>62.470297864512276</v>
      </c>
      <c r="C20" s="70" t="s">
        <v>167</v>
      </c>
      <c r="D20" s="73">
        <f>SUM(D6/9)*18</f>
        <v>61.463046757164406</v>
      </c>
      <c r="E20" s="77">
        <f t="shared" si="0"/>
        <v>-1.937021360284364E-2</v>
      </c>
    </row>
    <row r="21" spans="2:5" ht="15.75" x14ac:dyDescent="0.25">
      <c r="B21" s="76"/>
      <c r="C21" s="76"/>
      <c r="D21" s="76"/>
      <c r="E21" s="71"/>
    </row>
    <row r="22" spans="2:5" ht="15.75" x14ac:dyDescent="0.25">
      <c r="B22" s="76"/>
      <c r="C22" s="76"/>
      <c r="D22" s="76"/>
      <c r="E22" s="71"/>
    </row>
    <row r="23" spans="2:5" ht="15.75" x14ac:dyDescent="0.25">
      <c r="B23" s="76"/>
      <c r="C23" s="76"/>
      <c r="D23" s="76"/>
      <c r="E23" s="71"/>
    </row>
    <row r="24" spans="2:5" ht="15.75" x14ac:dyDescent="0.25">
      <c r="B24" s="76"/>
      <c r="C24" s="76"/>
      <c r="D24" s="76"/>
      <c r="E24" s="71"/>
    </row>
    <row r="25" spans="2:5" ht="15.75" x14ac:dyDescent="0.25">
      <c r="B25" s="78" t="s">
        <v>168</v>
      </c>
      <c r="C25" s="79"/>
      <c r="D25" s="79"/>
      <c r="E25" s="71"/>
    </row>
    <row r="26" spans="2:5" ht="15.75" x14ac:dyDescent="0.25">
      <c r="B26" s="79"/>
      <c r="C26" s="79"/>
      <c r="D26" s="79"/>
      <c r="E26" s="71"/>
    </row>
    <row r="27" spans="2:5" x14ac:dyDescent="0.25">
      <c r="B27" s="350" t="s">
        <v>169</v>
      </c>
      <c r="C27" s="350"/>
      <c r="D27" s="350"/>
      <c r="E27" s="350"/>
    </row>
    <row r="28" spans="2:5" x14ac:dyDescent="0.25">
      <c r="B28" s="350"/>
      <c r="C28" s="350"/>
      <c r="D28" s="350"/>
      <c r="E28" s="350"/>
    </row>
  </sheetData>
  <mergeCells count="5">
    <mergeCell ref="B1:E1"/>
    <mergeCell ref="C8:C9"/>
    <mergeCell ref="D8:D9"/>
    <mergeCell ref="B11:E11"/>
    <mergeCell ref="B27:E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A5D3-38EF-4D3C-AF15-23E906C7C84D}">
  <dimension ref="A1:S83"/>
  <sheetViews>
    <sheetView zoomScale="60" zoomScaleNormal="60" workbookViewId="0">
      <selection activeCell="N24" sqref="N24"/>
    </sheetView>
  </sheetViews>
  <sheetFormatPr defaultRowHeight="15" x14ac:dyDescent="0.25"/>
  <cols>
    <col min="1" max="1" width="9.7109375" customWidth="1"/>
    <col min="2" max="2" width="23" bestFit="1" customWidth="1"/>
  </cols>
  <sheetData>
    <row r="1" spans="1:2" x14ac:dyDescent="0.25">
      <c r="A1" t="s">
        <v>171</v>
      </c>
    </row>
    <row r="2" spans="1:2" x14ac:dyDescent="0.25">
      <c r="A2">
        <v>1</v>
      </c>
      <c r="B2" t="s">
        <v>173</v>
      </c>
    </row>
    <row r="3" spans="1:2" x14ac:dyDescent="0.25">
      <c r="A3">
        <v>2</v>
      </c>
      <c r="B3" t="s">
        <v>172</v>
      </c>
    </row>
    <row r="4" spans="1:2" x14ac:dyDescent="0.25">
      <c r="A4">
        <v>3</v>
      </c>
      <c r="B4" t="s">
        <v>174</v>
      </c>
    </row>
    <row r="6" spans="1:2" x14ac:dyDescent="0.25">
      <c r="A6" s="81">
        <v>1</v>
      </c>
    </row>
    <row r="47" spans="1:1" x14ac:dyDescent="0.25">
      <c r="A47">
        <v>2</v>
      </c>
    </row>
    <row r="81" spans="1:19" x14ac:dyDescent="0.25">
      <c r="A81">
        <v>3</v>
      </c>
    </row>
    <row r="83" spans="1:19" x14ac:dyDescent="0.25">
      <c r="S83" t="e" vm="1">
        <v>#VALUE!</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Snapshot</vt:lpstr>
      <vt:lpstr>Draft Budget 2025-2026 No chang</vt:lpstr>
      <vt:lpstr>Concurrent Grant spend</vt:lpstr>
      <vt:lpstr>Allotments</vt:lpstr>
      <vt:lpstr>Salary</vt:lpstr>
      <vt:lpstr>Clerk expenses</vt:lpstr>
      <vt:lpstr>Ring Fenced</vt:lpstr>
      <vt:lpstr>Tax Basis Calc</vt:lpstr>
      <vt:lpstr>Appendix</vt:lpstr>
      <vt:lpstr>'Draft Budget 2025-2026 No chang'!Print_Area</vt:lpstr>
      <vt:lpstr>Snapshot!Print_Area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Barclay</dc:creator>
  <cp:lastModifiedBy>Clerk</cp:lastModifiedBy>
  <cp:lastPrinted>2025-11-13T12:25:06Z</cp:lastPrinted>
  <dcterms:created xsi:type="dcterms:W3CDTF">2020-11-17T16:35:40Z</dcterms:created>
  <dcterms:modified xsi:type="dcterms:W3CDTF">2026-02-12T09:44:48Z</dcterms:modified>
</cp:coreProperties>
</file>