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nexx doc\"/>
    </mc:Choice>
  </mc:AlternateContent>
  <xr:revisionPtr revIDLastSave="0" documentId="13_ncr:1_{C20A4523-2BCC-4372-8F3F-267A66F8EF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ameters" sheetId="2" r:id="rId1"/>
    <sheet name="P&amp;L By Year" sheetId="4" r:id="rId2"/>
    <sheet name="Sales &amp; Production" sheetId="5" r:id="rId3"/>
    <sheet name="P&amp;L by Period" sheetId="3" r:id="rId4"/>
    <sheet name="Workings" sheetId="1" r:id="rId5"/>
  </sheets>
  <definedNames>
    <definedName name="_xlnm.Print_Area" localSheetId="0">Parameters!$A$1:$P$91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C25" i="4"/>
  <c r="B25" i="4"/>
  <c r="A25" i="4"/>
  <c r="B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D25" i="3"/>
  <c r="G78" i="1"/>
  <c r="G77" i="1"/>
  <c r="A25" i="3"/>
  <c r="F78" i="1"/>
  <c r="F77" i="1"/>
  <c r="D78" i="1"/>
  <c r="E77" i="1" s="1"/>
  <c r="C78" i="1"/>
  <c r="D77" i="1"/>
  <c r="C77" i="1"/>
  <c r="C11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D73" i="2"/>
  <c r="AK78" i="1" l="1"/>
  <c r="W78" i="1"/>
  <c r="P78" i="1"/>
  <c r="AN78" i="1"/>
  <c r="AG78" i="1"/>
  <c r="R78" i="1"/>
  <c r="Z78" i="1"/>
  <c r="AH78" i="1"/>
  <c r="AP78" i="1"/>
  <c r="N78" i="1"/>
  <c r="AL78" i="1"/>
  <c r="AE78" i="1"/>
  <c r="AF78" i="1"/>
  <c r="Y78" i="1"/>
  <c r="K78" i="1"/>
  <c r="AQ78" i="1"/>
  <c r="V78" i="1"/>
  <c r="AD78" i="1"/>
  <c r="O78" i="1"/>
  <c r="AM78" i="1"/>
  <c r="X78" i="1"/>
  <c r="I78" i="1"/>
  <c r="Q78" i="1"/>
  <c r="AO78" i="1"/>
  <c r="J78" i="1"/>
  <c r="S78" i="1"/>
  <c r="AA78" i="1"/>
  <c r="AI78" i="1"/>
  <c r="L78" i="1"/>
  <c r="T78" i="1"/>
  <c r="AB78" i="1"/>
  <c r="AJ78" i="1"/>
  <c r="AR78" i="1"/>
  <c r="M78" i="1"/>
  <c r="U78" i="1"/>
  <c r="AC78" i="1"/>
  <c r="I77" i="1"/>
  <c r="C11" i="1"/>
  <c r="B11" i="1"/>
  <c r="F87" i="2"/>
  <c r="E11" i="1" s="1"/>
  <c r="D87" i="2"/>
  <c r="D11" i="1" s="1"/>
  <c r="D88" i="2"/>
  <c r="E10" i="1"/>
  <c r="D10" i="1"/>
  <c r="C10" i="1"/>
  <c r="B10" i="1"/>
  <c r="E9" i="1"/>
  <c r="D9" i="1"/>
  <c r="C9" i="1"/>
  <c r="B9" i="1"/>
  <c r="C54" i="1"/>
  <c r="F54" i="1" s="1"/>
  <c r="C55" i="1"/>
  <c r="F55" i="1" s="1"/>
  <c r="C53" i="1"/>
  <c r="F53" i="1" s="1"/>
  <c r="E54" i="1"/>
  <c r="E55" i="1"/>
  <c r="E53" i="1"/>
  <c r="D55" i="1"/>
  <c r="D54" i="1"/>
  <c r="D53" i="1"/>
  <c r="D51" i="1"/>
  <c r="D52" i="1"/>
  <c r="D50" i="1"/>
  <c r="B55" i="1"/>
  <c r="B54" i="1"/>
  <c r="B53" i="1"/>
  <c r="B56" i="1"/>
  <c r="R28" i="1"/>
  <c r="R142" i="1" s="1"/>
  <c r="F11" i="1" l="1"/>
  <c r="I11" i="1" s="1"/>
  <c r="F10" i="1"/>
  <c r="F9" i="1"/>
  <c r="I10" i="1"/>
  <c r="I9" i="1"/>
  <c r="I53" i="1"/>
  <c r="I54" i="1"/>
  <c r="I55" i="1"/>
  <c r="A29" i="4"/>
  <c r="A28" i="4"/>
  <c r="A18" i="4"/>
  <c r="A17" i="4"/>
  <c r="A16" i="4"/>
  <c r="A15" i="4"/>
  <c r="F30" i="1" l="1"/>
  <c r="D30" i="1"/>
  <c r="D35" i="1"/>
  <c r="C46" i="1"/>
  <c r="C45" i="1"/>
  <c r="D44" i="1"/>
  <c r="F44" i="1"/>
  <c r="D1" i="3"/>
  <c r="A2" i="5" s="1"/>
  <c r="C37" i="1"/>
  <c r="D37" i="1" s="1"/>
  <c r="C36" i="1"/>
  <c r="C30" i="1"/>
  <c r="C35" i="1"/>
  <c r="B10" i="2"/>
  <c r="A29" i="3"/>
  <c r="A28" i="3"/>
  <c r="A18" i="3"/>
  <c r="A17" i="3"/>
  <c r="A16" i="3"/>
  <c r="A15" i="3"/>
  <c r="P69" i="2"/>
  <c r="E86" i="1" s="1"/>
  <c r="E87" i="1" s="1"/>
  <c r="P68" i="2"/>
  <c r="E84" i="1" s="1"/>
  <c r="E85" i="1" s="1"/>
  <c r="P67" i="2"/>
  <c r="E82" i="1" s="1"/>
  <c r="E83" i="1" s="1"/>
  <c r="L69" i="2"/>
  <c r="C86" i="1" s="1"/>
  <c r="C87" i="1" s="1"/>
  <c r="L68" i="2"/>
  <c r="C84" i="1" s="1"/>
  <c r="C85" i="1" s="1"/>
  <c r="L67" i="2"/>
  <c r="C82" i="1" s="1"/>
  <c r="C83" i="1" s="1"/>
  <c r="L70" i="2"/>
  <c r="N70" i="2"/>
  <c r="P70" i="2" s="1"/>
  <c r="L71" i="2" l="1"/>
  <c r="C88" i="1"/>
  <c r="C89" i="1" s="1"/>
  <c r="E88" i="1"/>
  <c r="E89" i="1" s="1"/>
  <c r="D88" i="1"/>
  <c r="D89" i="1" s="1"/>
  <c r="N9" i="2"/>
  <c r="I26" i="1" s="1"/>
  <c r="L9" i="2"/>
  <c r="C44" i="1"/>
  <c r="C43" i="1"/>
  <c r="C42" i="1"/>
  <c r="D124" i="1"/>
  <c r="C124" i="1"/>
  <c r="F124" i="1" s="1"/>
  <c r="D75" i="2"/>
  <c r="D74" i="2"/>
  <c r="B83" i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86" i="1"/>
  <c r="B88" i="1" s="1"/>
  <c r="B90" i="1" s="1"/>
  <c r="B92" i="1" s="1"/>
  <c r="B94" i="1" s="1"/>
  <c r="B96" i="1" s="1"/>
  <c r="B98" i="1" s="1"/>
  <c r="B100" i="1" s="1"/>
  <c r="B102" i="1" s="1"/>
  <c r="B104" i="1" s="1"/>
  <c r="B106" i="1" s="1"/>
  <c r="B108" i="1" s="1"/>
  <c r="B110" i="1" s="1"/>
  <c r="B112" i="1" s="1"/>
  <c r="B114" i="1" s="1"/>
  <c r="B116" i="1" s="1"/>
  <c r="B84" i="1"/>
  <c r="B82" i="1"/>
  <c r="E81" i="1"/>
  <c r="D81" i="1"/>
  <c r="C81" i="1"/>
  <c r="B81" i="1"/>
  <c r="B80" i="1"/>
  <c r="C75" i="1"/>
  <c r="C74" i="1"/>
  <c r="B75" i="1"/>
  <c r="B74" i="1"/>
  <c r="C71" i="1"/>
  <c r="F71" i="1" s="1"/>
  <c r="B71" i="1"/>
  <c r="E70" i="1"/>
  <c r="D71" i="1" s="1"/>
  <c r="D70" i="1"/>
  <c r="C70" i="1"/>
  <c r="B70" i="1"/>
  <c r="B69" i="1"/>
  <c r="D57" i="1"/>
  <c r="E57" i="1" s="1"/>
  <c r="D55" i="2"/>
  <c r="C59" i="1"/>
  <c r="C60" i="1" s="1"/>
  <c r="C61" i="1" s="1"/>
  <c r="C58" i="1"/>
  <c r="F58" i="1" s="1"/>
  <c r="C57" i="1"/>
  <c r="F57" i="1" s="1"/>
  <c r="B59" i="1"/>
  <c r="B60" i="1" s="1"/>
  <c r="B61" i="1" s="1"/>
  <c r="B62" i="1" s="1"/>
  <c r="B63" i="1" s="1"/>
  <c r="B64" i="1" s="1"/>
  <c r="B65" i="1" s="1"/>
  <c r="B66" i="1" s="1"/>
  <c r="B67" i="1" s="1"/>
  <c r="B58" i="1"/>
  <c r="B57" i="1"/>
  <c r="D56" i="1"/>
  <c r="C56" i="1"/>
  <c r="F56" i="1" s="1"/>
  <c r="C51" i="1"/>
  <c r="F51" i="1" s="1"/>
  <c r="C52" i="1"/>
  <c r="F52" i="1" s="1"/>
  <c r="C50" i="1"/>
  <c r="F50" i="1" s="1"/>
  <c r="B50" i="1"/>
  <c r="B51" i="1"/>
  <c r="B52" i="1"/>
  <c r="B49" i="1"/>
  <c r="J1" i="1"/>
  <c r="C18" i="1"/>
  <c r="D17" i="1"/>
  <c r="E17" i="1" s="1"/>
  <c r="E18" i="1" s="1"/>
  <c r="C17" i="1"/>
  <c r="F17" i="1" s="1"/>
  <c r="C16" i="1"/>
  <c r="C25" i="1"/>
  <c r="C33" i="1"/>
  <c r="I25" i="1"/>
  <c r="C24" i="1"/>
  <c r="F24" i="1" s="1"/>
  <c r="F25" i="1" s="1"/>
  <c r="C23" i="1"/>
  <c r="F23" i="1" s="1"/>
  <c r="C22" i="1"/>
  <c r="F22" i="1" s="1"/>
  <c r="D22" i="1"/>
  <c r="E22" i="1" s="1"/>
  <c r="B14" i="1"/>
  <c r="E14" i="1"/>
  <c r="D14" i="1"/>
  <c r="C14" i="1"/>
  <c r="B6" i="1"/>
  <c r="B7" i="1"/>
  <c r="B8" i="1"/>
  <c r="B12" i="1"/>
  <c r="B5" i="1"/>
  <c r="C12" i="1"/>
  <c r="F12" i="1" s="1"/>
  <c r="E12" i="1"/>
  <c r="E6" i="1"/>
  <c r="E7" i="1"/>
  <c r="E8" i="1"/>
  <c r="E5" i="1"/>
  <c r="C6" i="1"/>
  <c r="D6" i="1"/>
  <c r="C7" i="1"/>
  <c r="D7" i="1"/>
  <c r="C8" i="1"/>
  <c r="D8" i="1"/>
  <c r="D5" i="1"/>
  <c r="C5" i="1"/>
  <c r="I2" i="1"/>
  <c r="J11" i="1" l="1"/>
  <c r="J77" i="1"/>
  <c r="J9" i="1"/>
  <c r="J10" i="1"/>
  <c r="J53" i="1"/>
  <c r="J54" i="1"/>
  <c r="J55" i="1"/>
  <c r="L72" i="2"/>
  <c r="C90" i="1"/>
  <c r="C91" i="1" s="1"/>
  <c r="N71" i="2"/>
  <c r="D90" i="1" s="1"/>
  <c r="D91" i="1" s="1"/>
  <c r="D10" i="2"/>
  <c r="L10" i="2"/>
  <c r="E1" i="3"/>
  <c r="A3" i="5" s="1"/>
  <c r="N68" i="2"/>
  <c r="D84" i="1" s="1"/>
  <c r="D85" i="1" s="1"/>
  <c r="N67" i="2"/>
  <c r="D82" i="1" s="1"/>
  <c r="D83" i="1" s="1"/>
  <c r="N69" i="2"/>
  <c r="D86" i="1" s="1"/>
  <c r="D87" i="1" s="1"/>
  <c r="D12" i="1"/>
  <c r="I12" i="1" s="1"/>
  <c r="J2" i="1"/>
  <c r="N10" i="2"/>
  <c r="M9" i="2"/>
  <c r="I124" i="1"/>
  <c r="D17" i="3" s="1"/>
  <c r="J124" i="1"/>
  <c r="E17" i="3" s="1"/>
  <c r="F70" i="1"/>
  <c r="J70" i="1" s="1"/>
  <c r="F81" i="1"/>
  <c r="J81" i="1" s="1"/>
  <c r="F59" i="1"/>
  <c r="F60" i="1" s="1"/>
  <c r="F61" i="1" s="1"/>
  <c r="I71" i="1"/>
  <c r="J71" i="1"/>
  <c r="C62" i="1"/>
  <c r="C63" i="1" s="1"/>
  <c r="C64" i="1" s="1"/>
  <c r="C65" i="1" s="1"/>
  <c r="C66" i="1" s="1"/>
  <c r="C67" i="1" s="1"/>
  <c r="D58" i="1"/>
  <c r="E58" i="1" s="1"/>
  <c r="I57" i="1"/>
  <c r="J57" i="1"/>
  <c r="J56" i="1"/>
  <c r="E23" i="3" s="1"/>
  <c r="I56" i="1"/>
  <c r="D23" i="3" s="1"/>
  <c r="I51" i="1"/>
  <c r="J19" i="1"/>
  <c r="J51" i="1"/>
  <c r="I52" i="1"/>
  <c r="J52" i="1"/>
  <c r="I50" i="1"/>
  <c r="J50" i="1"/>
  <c r="I19" i="1"/>
  <c r="I18" i="1"/>
  <c r="K1" i="1"/>
  <c r="J18" i="1"/>
  <c r="I17" i="1"/>
  <c r="J17" i="1"/>
  <c r="D23" i="1"/>
  <c r="I22" i="1"/>
  <c r="J22" i="1"/>
  <c r="F14" i="1"/>
  <c r="I7" i="1"/>
  <c r="J7" i="1"/>
  <c r="F8" i="1"/>
  <c r="J8" i="1" s="1"/>
  <c r="F7" i="1"/>
  <c r="F6" i="1"/>
  <c r="F5" i="1"/>
  <c r="I5" i="1" s="1"/>
  <c r="K11" i="1" l="1"/>
  <c r="K77" i="1"/>
  <c r="K9" i="1"/>
  <c r="K10" i="1"/>
  <c r="K54" i="1"/>
  <c r="K55" i="1"/>
  <c r="K53" i="1"/>
  <c r="E21" i="3"/>
  <c r="D21" i="3"/>
  <c r="L73" i="2"/>
  <c r="C92" i="1"/>
  <c r="C93" i="1" s="1"/>
  <c r="P71" i="2"/>
  <c r="E90" i="1" s="1"/>
  <c r="E91" i="1" s="1"/>
  <c r="F86" i="1"/>
  <c r="F85" i="1"/>
  <c r="K85" i="1" s="1"/>
  <c r="F1" i="3"/>
  <c r="A4" i="5" s="1"/>
  <c r="J84" i="1"/>
  <c r="F84" i="1"/>
  <c r="I84" i="1"/>
  <c r="J12" i="1"/>
  <c r="J87" i="1"/>
  <c r="J86" i="1"/>
  <c r="I86" i="1"/>
  <c r="E18" i="3"/>
  <c r="F82" i="1"/>
  <c r="J82" i="1" s="1"/>
  <c r="E16" i="3"/>
  <c r="D16" i="3"/>
  <c r="M10" i="2"/>
  <c r="K2" i="1"/>
  <c r="K124" i="1"/>
  <c r="F17" i="3" s="1"/>
  <c r="L11" i="2"/>
  <c r="J26" i="1"/>
  <c r="N11" i="2"/>
  <c r="J88" i="1"/>
  <c r="K86" i="1"/>
  <c r="K51" i="1"/>
  <c r="K88" i="1"/>
  <c r="I81" i="1"/>
  <c r="K84" i="1"/>
  <c r="I70" i="1"/>
  <c r="D18" i="3" s="1"/>
  <c r="J85" i="1"/>
  <c r="I85" i="1"/>
  <c r="K81" i="1"/>
  <c r="K70" i="1"/>
  <c r="K71" i="1"/>
  <c r="K57" i="1"/>
  <c r="K56" i="1"/>
  <c r="F23" i="3" s="1"/>
  <c r="F62" i="1"/>
  <c r="F63" i="1" s="1"/>
  <c r="F64" i="1" s="1"/>
  <c r="F65" i="1" s="1"/>
  <c r="F66" i="1" s="1"/>
  <c r="F67" i="1" s="1"/>
  <c r="D59" i="1"/>
  <c r="J58" i="1"/>
  <c r="I58" i="1"/>
  <c r="K58" i="1"/>
  <c r="K52" i="1"/>
  <c r="K50" i="1"/>
  <c r="L1" i="1"/>
  <c r="K18" i="1"/>
  <c r="K19" i="1"/>
  <c r="K12" i="1"/>
  <c r="K22" i="1"/>
  <c r="K14" i="1"/>
  <c r="F29" i="3" s="1"/>
  <c r="K17" i="1"/>
  <c r="D24" i="1"/>
  <c r="E23" i="1"/>
  <c r="K23" i="1" s="1"/>
  <c r="I23" i="1"/>
  <c r="I14" i="1"/>
  <c r="D29" i="3" s="1"/>
  <c r="K5" i="1"/>
  <c r="K6" i="1"/>
  <c r="J6" i="1"/>
  <c r="K7" i="1"/>
  <c r="I8" i="1"/>
  <c r="I6" i="1"/>
  <c r="J5" i="1"/>
  <c r="J14" i="1"/>
  <c r="E29" i="3" s="1"/>
  <c r="K8" i="1"/>
  <c r="L11" i="1" l="1"/>
  <c r="L77" i="1"/>
  <c r="L9" i="1"/>
  <c r="L10" i="1"/>
  <c r="F21" i="3"/>
  <c r="L54" i="1"/>
  <c r="L55" i="1"/>
  <c r="L53" i="1"/>
  <c r="L74" i="2"/>
  <c r="C94" i="1"/>
  <c r="C95" i="1" s="1"/>
  <c r="N72" i="2"/>
  <c r="D92" i="1" s="1"/>
  <c r="D93" i="1" s="1"/>
  <c r="I82" i="1"/>
  <c r="F83" i="1"/>
  <c r="D28" i="3"/>
  <c r="G1" i="3"/>
  <c r="A5" i="5" s="1"/>
  <c r="F87" i="1"/>
  <c r="K87" i="1"/>
  <c r="K82" i="1"/>
  <c r="I87" i="1"/>
  <c r="F16" i="3"/>
  <c r="F18" i="3"/>
  <c r="E28" i="3"/>
  <c r="F28" i="3"/>
  <c r="L2" i="1"/>
  <c r="M11" i="2"/>
  <c r="L124" i="1"/>
  <c r="G17" i="3" s="1"/>
  <c r="L12" i="2"/>
  <c r="N12" i="2"/>
  <c r="K26" i="1"/>
  <c r="F89" i="1"/>
  <c r="F88" i="1"/>
  <c r="I88" i="1" s="1"/>
  <c r="I89" i="1"/>
  <c r="J89" i="1"/>
  <c r="K89" i="1"/>
  <c r="L89" i="1"/>
  <c r="L88" i="1"/>
  <c r="L86" i="1"/>
  <c r="L87" i="1"/>
  <c r="L81" i="1"/>
  <c r="L82" i="1"/>
  <c r="L84" i="1"/>
  <c r="L83" i="1"/>
  <c r="L85" i="1"/>
  <c r="L58" i="1"/>
  <c r="L70" i="1"/>
  <c r="L71" i="1"/>
  <c r="L56" i="1"/>
  <c r="G23" i="3" s="1"/>
  <c r="L57" i="1"/>
  <c r="E59" i="1"/>
  <c r="D60" i="1" s="1"/>
  <c r="E60" i="1" s="1"/>
  <c r="K59" i="1"/>
  <c r="J59" i="1"/>
  <c r="I59" i="1"/>
  <c r="L59" i="1"/>
  <c r="L14" i="1"/>
  <c r="G29" i="3" s="1"/>
  <c r="L5" i="1"/>
  <c r="L6" i="1"/>
  <c r="L7" i="1"/>
  <c r="L52" i="1"/>
  <c r="L51" i="1"/>
  <c r="L50" i="1"/>
  <c r="L8" i="1"/>
  <c r="L19" i="1"/>
  <c r="L18" i="1"/>
  <c r="L17" i="1"/>
  <c r="M1" i="1"/>
  <c r="L12" i="1"/>
  <c r="L22" i="1"/>
  <c r="J23" i="1"/>
  <c r="L23" i="1"/>
  <c r="D25" i="1"/>
  <c r="I24" i="1"/>
  <c r="E24" i="1"/>
  <c r="L24" i="1" s="1"/>
  <c r="K24" i="1"/>
  <c r="J24" i="1"/>
  <c r="M11" i="1" l="1"/>
  <c r="M77" i="1"/>
  <c r="M9" i="1"/>
  <c r="M10" i="1"/>
  <c r="G21" i="3"/>
  <c r="M54" i="1"/>
  <c r="M55" i="1"/>
  <c r="M53" i="1"/>
  <c r="L75" i="2"/>
  <c r="C96" i="1"/>
  <c r="C97" i="1" s="1"/>
  <c r="P72" i="2"/>
  <c r="E92" i="1" s="1"/>
  <c r="E93" i="1" s="1"/>
  <c r="K83" i="1"/>
  <c r="I83" i="1"/>
  <c r="J83" i="1"/>
  <c r="H1" i="3"/>
  <c r="A6" i="5" s="1"/>
  <c r="G16" i="3"/>
  <c r="G28" i="3"/>
  <c r="G18" i="3"/>
  <c r="M2" i="1"/>
  <c r="M12" i="2"/>
  <c r="M124" i="1"/>
  <c r="H17" i="3" s="1"/>
  <c r="L13" i="2"/>
  <c r="N13" i="2"/>
  <c r="L26" i="1"/>
  <c r="L90" i="1"/>
  <c r="I90" i="1"/>
  <c r="M91" i="1"/>
  <c r="J90" i="1"/>
  <c r="K90" i="1"/>
  <c r="I16" i="1"/>
  <c r="D15" i="3" s="1"/>
  <c r="M90" i="1"/>
  <c r="M88" i="1"/>
  <c r="M89" i="1"/>
  <c r="M86" i="1"/>
  <c r="M87" i="1"/>
  <c r="M81" i="1"/>
  <c r="M84" i="1"/>
  <c r="M82" i="1"/>
  <c r="M83" i="1"/>
  <c r="M85" i="1"/>
  <c r="M59" i="1"/>
  <c r="M70" i="1"/>
  <c r="M71" i="1"/>
  <c r="M57" i="1"/>
  <c r="M58" i="1"/>
  <c r="I60" i="1"/>
  <c r="J60" i="1"/>
  <c r="D61" i="1"/>
  <c r="E61" i="1" s="1"/>
  <c r="L60" i="1"/>
  <c r="K60" i="1"/>
  <c r="M60" i="1"/>
  <c r="M23" i="1"/>
  <c r="M56" i="1"/>
  <c r="H23" i="3" s="1"/>
  <c r="M52" i="1"/>
  <c r="M50" i="1"/>
  <c r="M51" i="1"/>
  <c r="M24" i="1"/>
  <c r="M19" i="1"/>
  <c r="M18" i="1"/>
  <c r="M17" i="1"/>
  <c r="M22" i="1"/>
  <c r="M8" i="1"/>
  <c r="M14" i="1"/>
  <c r="H29" i="3" s="1"/>
  <c r="M7" i="1"/>
  <c r="M12" i="1"/>
  <c r="N1" i="1"/>
  <c r="M6" i="1"/>
  <c r="M5" i="1"/>
  <c r="J25" i="1"/>
  <c r="N11" i="1" l="1"/>
  <c r="N77" i="1"/>
  <c r="N9" i="1"/>
  <c r="N10" i="1"/>
  <c r="N73" i="2"/>
  <c r="D94" i="1" s="1"/>
  <c r="D95" i="1" s="1"/>
  <c r="N54" i="1"/>
  <c r="N53" i="1"/>
  <c r="N55" i="1"/>
  <c r="H21" i="3"/>
  <c r="L76" i="2"/>
  <c r="C98" i="1"/>
  <c r="C99" i="1" s="1"/>
  <c r="I1" i="3"/>
  <c r="A7" i="5" s="1"/>
  <c r="H16" i="3"/>
  <c r="H18" i="3"/>
  <c r="H28" i="3"/>
  <c r="N2" i="1"/>
  <c r="M13" i="2"/>
  <c r="N124" i="1"/>
  <c r="I17" i="3" s="1"/>
  <c r="L14" i="2"/>
  <c r="N14" i="2"/>
  <c r="M26" i="1"/>
  <c r="F91" i="1"/>
  <c r="F90" i="1"/>
  <c r="I91" i="1"/>
  <c r="J91" i="1"/>
  <c r="K91" i="1"/>
  <c r="L91" i="1"/>
  <c r="N90" i="1"/>
  <c r="N88" i="1"/>
  <c r="N89" i="1"/>
  <c r="N91" i="1"/>
  <c r="N86" i="1"/>
  <c r="N87" i="1"/>
  <c r="N81" i="1"/>
  <c r="N84" i="1"/>
  <c r="N82" i="1"/>
  <c r="N85" i="1"/>
  <c r="N83" i="1"/>
  <c r="N60" i="1"/>
  <c r="N70" i="1"/>
  <c r="N71" i="1"/>
  <c r="N56" i="1"/>
  <c r="I23" i="3" s="1"/>
  <c r="N57" i="1"/>
  <c r="N58" i="1"/>
  <c r="N59" i="1"/>
  <c r="D62" i="1"/>
  <c r="E62" i="1" s="1"/>
  <c r="M61" i="1"/>
  <c r="L61" i="1"/>
  <c r="N61" i="1"/>
  <c r="K61" i="1"/>
  <c r="J61" i="1"/>
  <c r="I61" i="1"/>
  <c r="N50" i="1"/>
  <c r="N51" i="1"/>
  <c r="N52" i="1"/>
  <c r="N24" i="1"/>
  <c r="N19" i="1"/>
  <c r="N18" i="1"/>
  <c r="N7" i="1"/>
  <c r="O1" i="1"/>
  <c r="N14" i="1"/>
  <c r="I29" i="3" s="1"/>
  <c r="N22" i="1"/>
  <c r="N17" i="1"/>
  <c r="N5" i="1"/>
  <c r="N6" i="1"/>
  <c r="N12" i="1"/>
  <c r="N23" i="1"/>
  <c r="N8" i="1"/>
  <c r="J16" i="1"/>
  <c r="E15" i="3" s="1"/>
  <c r="K25" i="1"/>
  <c r="O11" i="1" l="1"/>
  <c r="O77" i="1"/>
  <c r="O9" i="1"/>
  <c r="O10" i="1"/>
  <c r="P73" i="2"/>
  <c r="N74" i="2" s="1"/>
  <c r="I21" i="3"/>
  <c r="O54" i="1"/>
  <c r="O55" i="1"/>
  <c r="O53" i="1"/>
  <c r="L77" i="2"/>
  <c r="C100" i="1"/>
  <c r="C101" i="1" s="1"/>
  <c r="J1" i="3"/>
  <c r="A8" i="5" s="1"/>
  <c r="I28" i="3"/>
  <c r="I16" i="3"/>
  <c r="I18" i="3"/>
  <c r="E94" i="1"/>
  <c r="E95" i="1" s="1"/>
  <c r="O2" i="1"/>
  <c r="M14" i="2"/>
  <c r="O124" i="1"/>
  <c r="J17" i="3" s="1"/>
  <c r="L15" i="2"/>
  <c r="N15" i="2"/>
  <c r="N26" i="1"/>
  <c r="N92" i="1"/>
  <c r="O93" i="1"/>
  <c r="J92" i="1"/>
  <c r="K92" i="1"/>
  <c r="L92" i="1"/>
  <c r="M92" i="1"/>
  <c r="O90" i="1"/>
  <c r="O88" i="1"/>
  <c r="O89" i="1"/>
  <c r="O92" i="1"/>
  <c r="O91" i="1"/>
  <c r="O86" i="1"/>
  <c r="O87" i="1"/>
  <c r="O81" i="1"/>
  <c r="O84" i="1"/>
  <c r="O82" i="1"/>
  <c r="O83" i="1"/>
  <c r="O85" i="1"/>
  <c r="O70" i="1"/>
  <c r="O71" i="1"/>
  <c r="O56" i="1"/>
  <c r="J23" i="3" s="1"/>
  <c r="O57" i="1"/>
  <c r="O58" i="1"/>
  <c r="O59" i="1"/>
  <c r="O60" i="1"/>
  <c r="O61" i="1"/>
  <c r="M62" i="1"/>
  <c r="O62" i="1"/>
  <c r="K62" i="1"/>
  <c r="D63" i="1"/>
  <c r="E63" i="1" s="1"/>
  <c r="D64" i="1" s="1"/>
  <c r="N62" i="1"/>
  <c r="L62" i="1"/>
  <c r="I62" i="1"/>
  <c r="J62" i="1"/>
  <c r="O50" i="1"/>
  <c r="O51" i="1"/>
  <c r="O52" i="1"/>
  <c r="O18" i="1"/>
  <c r="O19" i="1"/>
  <c r="O23" i="1"/>
  <c r="O5" i="1"/>
  <c r="O8" i="1"/>
  <c r="O14" i="1"/>
  <c r="J29" i="3" s="1"/>
  <c r="O22" i="1"/>
  <c r="O12" i="1"/>
  <c r="O7" i="1"/>
  <c r="O24" i="1"/>
  <c r="P1" i="1"/>
  <c r="O17" i="1"/>
  <c r="O6" i="1"/>
  <c r="L25" i="1"/>
  <c r="K16" i="1"/>
  <c r="F15" i="3" s="1"/>
  <c r="P11" i="1" l="1"/>
  <c r="P77" i="1"/>
  <c r="P9" i="1"/>
  <c r="P10" i="1"/>
  <c r="P53" i="1"/>
  <c r="P54" i="1"/>
  <c r="P55" i="1"/>
  <c r="J21" i="3"/>
  <c r="L78" i="2"/>
  <c r="C102" i="1"/>
  <c r="C103" i="1" s="1"/>
  <c r="K1" i="3"/>
  <c r="A9" i="5" s="1"/>
  <c r="J16" i="3"/>
  <c r="J28" i="3"/>
  <c r="J18" i="3"/>
  <c r="P74" i="2"/>
  <c r="D96" i="1"/>
  <c r="D97" i="1" s="1"/>
  <c r="P2" i="1"/>
  <c r="M15" i="2"/>
  <c r="P124" i="1"/>
  <c r="K17" i="3" s="1"/>
  <c r="L16" i="2"/>
  <c r="N16" i="2"/>
  <c r="O26" i="1"/>
  <c r="F92" i="1"/>
  <c r="I92" i="1" s="1"/>
  <c r="F93" i="1"/>
  <c r="I93" i="1" s="1"/>
  <c r="J93" i="1"/>
  <c r="K93" i="1"/>
  <c r="L93" i="1"/>
  <c r="M93" i="1"/>
  <c r="N93" i="1"/>
  <c r="L16" i="1"/>
  <c r="G15" i="3" s="1"/>
  <c r="P88" i="1"/>
  <c r="P90" i="1"/>
  <c r="P89" i="1"/>
  <c r="P92" i="1"/>
  <c r="P86" i="1"/>
  <c r="P91" i="1"/>
  <c r="P93" i="1"/>
  <c r="P87" i="1"/>
  <c r="P81" i="1"/>
  <c r="P82" i="1"/>
  <c r="P84" i="1"/>
  <c r="P85" i="1"/>
  <c r="P83" i="1"/>
  <c r="P62" i="1"/>
  <c r="P70" i="1"/>
  <c r="P71" i="1"/>
  <c r="E64" i="1"/>
  <c r="D65" i="1" s="1"/>
  <c r="P64" i="1"/>
  <c r="L64" i="1"/>
  <c r="K64" i="1"/>
  <c r="J64" i="1"/>
  <c r="N64" i="1"/>
  <c r="M64" i="1"/>
  <c r="O64" i="1"/>
  <c r="I64" i="1"/>
  <c r="P56" i="1"/>
  <c r="K23" i="3" s="1"/>
  <c r="P57" i="1"/>
  <c r="P58" i="1"/>
  <c r="P59" i="1"/>
  <c r="P60" i="1"/>
  <c r="P61" i="1"/>
  <c r="L63" i="1"/>
  <c r="J63" i="1"/>
  <c r="K63" i="1"/>
  <c r="N63" i="1"/>
  <c r="I63" i="1"/>
  <c r="O63" i="1"/>
  <c r="P63" i="1"/>
  <c r="M63" i="1"/>
  <c r="P52" i="1"/>
  <c r="P51" i="1"/>
  <c r="P50" i="1"/>
  <c r="P19" i="1"/>
  <c r="P24" i="1"/>
  <c r="P18" i="1"/>
  <c r="P17" i="1"/>
  <c r="Q1" i="1"/>
  <c r="P6" i="1"/>
  <c r="P7" i="1"/>
  <c r="P12" i="1"/>
  <c r="P5" i="1"/>
  <c r="P23" i="1"/>
  <c r="P14" i="1"/>
  <c r="K29" i="3" s="1"/>
  <c r="P8" i="1"/>
  <c r="P22" i="1"/>
  <c r="Q11" i="1" l="1"/>
  <c r="Q77" i="1"/>
  <c r="Q9" i="1"/>
  <c r="Q10" i="1"/>
  <c r="Q53" i="1"/>
  <c r="Q54" i="1"/>
  <c r="Q55" i="1"/>
  <c r="L79" i="2"/>
  <c r="C104" i="1"/>
  <c r="C105" i="1" s="1"/>
  <c r="K21" i="3"/>
  <c r="L1" i="3"/>
  <c r="A10" i="5" s="1"/>
  <c r="K18" i="3"/>
  <c r="K16" i="3"/>
  <c r="K28" i="3"/>
  <c r="N75" i="2"/>
  <c r="E96" i="1"/>
  <c r="E97" i="1" s="1"/>
  <c r="Q2" i="1"/>
  <c r="M16" i="2"/>
  <c r="Q124" i="1"/>
  <c r="L17" i="3" s="1"/>
  <c r="L17" i="2"/>
  <c r="N17" i="2"/>
  <c r="P26" i="1"/>
  <c r="M25" i="1"/>
  <c r="P94" i="1"/>
  <c r="Q95" i="1"/>
  <c r="I94" i="1"/>
  <c r="J94" i="1"/>
  <c r="K94" i="1"/>
  <c r="L94" i="1"/>
  <c r="M94" i="1"/>
  <c r="N94" i="1"/>
  <c r="O94" i="1"/>
  <c r="Q88" i="1"/>
  <c r="Q93" i="1"/>
  <c r="Q92" i="1"/>
  <c r="Q90" i="1"/>
  <c r="Q86" i="1"/>
  <c r="Q89" i="1"/>
  <c r="Q94" i="1"/>
  <c r="Q91" i="1"/>
  <c r="Q87" i="1"/>
  <c r="Q81" i="1"/>
  <c r="Q82" i="1"/>
  <c r="Q84" i="1"/>
  <c r="Q85" i="1"/>
  <c r="Q83" i="1"/>
  <c r="Q64" i="1"/>
  <c r="Q71" i="1"/>
  <c r="Q70" i="1"/>
  <c r="Q63" i="1"/>
  <c r="E65" i="1"/>
  <c r="D66" i="1" s="1"/>
  <c r="N65" i="1"/>
  <c r="J65" i="1"/>
  <c r="Q65" i="1"/>
  <c r="L65" i="1"/>
  <c r="I65" i="1"/>
  <c r="M65" i="1"/>
  <c r="O65" i="1"/>
  <c r="K65" i="1"/>
  <c r="P65" i="1"/>
  <c r="Q56" i="1"/>
  <c r="L23" i="3" s="1"/>
  <c r="Q57" i="1"/>
  <c r="Q58" i="1"/>
  <c r="Q59" i="1"/>
  <c r="Q60" i="1"/>
  <c r="Q61" i="1"/>
  <c r="Q62" i="1"/>
  <c r="Q51" i="1"/>
  <c r="Q50" i="1"/>
  <c r="Q52" i="1"/>
  <c r="Q18" i="1"/>
  <c r="Q19" i="1"/>
  <c r="Q6" i="1"/>
  <c r="Q14" i="1"/>
  <c r="L29" i="3" s="1"/>
  <c r="Q17" i="1"/>
  <c r="Q5" i="1"/>
  <c r="R1" i="1"/>
  <c r="Q7" i="1"/>
  <c r="Q23" i="1"/>
  <c r="Q22" i="1"/>
  <c r="Q12" i="1"/>
  <c r="Q24" i="1"/>
  <c r="Q8" i="1"/>
  <c r="R11" i="1" l="1"/>
  <c r="R77" i="1"/>
  <c r="R9" i="1"/>
  <c r="R10" i="1"/>
  <c r="R54" i="1"/>
  <c r="R55" i="1"/>
  <c r="R53" i="1"/>
  <c r="L21" i="3"/>
  <c r="L80" i="2"/>
  <c r="C106" i="1"/>
  <c r="C107" i="1" s="1"/>
  <c r="M1" i="3"/>
  <c r="A11" i="5" s="1"/>
  <c r="L18" i="3"/>
  <c r="L16" i="3"/>
  <c r="L28" i="3"/>
  <c r="P75" i="2"/>
  <c r="D98" i="1"/>
  <c r="D99" i="1" s="1"/>
  <c r="R2" i="1"/>
  <c r="M17" i="2"/>
  <c r="R124" i="1"/>
  <c r="M17" i="3" s="1"/>
  <c r="L18" i="2"/>
  <c r="N18" i="2"/>
  <c r="Q26" i="1"/>
  <c r="M16" i="1"/>
  <c r="H15" i="3" s="1"/>
  <c r="N25" i="1"/>
  <c r="J95" i="1"/>
  <c r="I95" i="1"/>
  <c r="K95" i="1"/>
  <c r="L95" i="1"/>
  <c r="M95" i="1"/>
  <c r="N95" i="1"/>
  <c r="O95" i="1"/>
  <c r="P95" i="1"/>
  <c r="F95" i="1"/>
  <c r="F94" i="1"/>
  <c r="R89" i="1"/>
  <c r="R92" i="1"/>
  <c r="R91" i="1"/>
  <c r="R90" i="1"/>
  <c r="R93" i="1"/>
  <c r="R88" i="1"/>
  <c r="R94" i="1"/>
  <c r="R95" i="1"/>
  <c r="R86" i="1"/>
  <c r="R87" i="1"/>
  <c r="R81" i="1"/>
  <c r="R82" i="1"/>
  <c r="R84" i="1"/>
  <c r="R83" i="1"/>
  <c r="R85" i="1"/>
  <c r="R65" i="1"/>
  <c r="R64" i="1"/>
  <c r="R71" i="1"/>
  <c r="R70" i="1"/>
  <c r="E66" i="1"/>
  <c r="D67" i="1" s="1"/>
  <c r="Q66" i="1"/>
  <c r="J66" i="1"/>
  <c r="P66" i="1"/>
  <c r="L66" i="1"/>
  <c r="R66" i="1"/>
  <c r="M66" i="1"/>
  <c r="K66" i="1"/>
  <c r="N66" i="1"/>
  <c r="I66" i="1"/>
  <c r="O66" i="1"/>
  <c r="R56" i="1"/>
  <c r="M23" i="3" s="1"/>
  <c r="R57" i="1"/>
  <c r="R58" i="1"/>
  <c r="R59" i="1"/>
  <c r="R60" i="1"/>
  <c r="R61" i="1"/>
  <c r="R62" i="1"/>
  <c r="R63" i="1"/>
  <c r="R51" i="1"/>
  <c r="R50" i="1"/>
  <c r="R52" i="1"/>
  <c r="R18" i="1"/>
  <c r="R17" i="1"/>
  <c r="R14" i="1"/>
  <c r="M29" i="3" s="1"/>
  <c r="R8" i="1"/>
  <c r="R6" i="1"/>
  <c r="S1" i="1"/>
  <c r="R5" i="1"/>
  <c r="R23" i="1"/>
  <c r="R24" i="1"/>
  <c r="R7" i="1"/>
  <c r="R12" i="1"/>
  <c r="R22" i="1"/>
  <c r="R19" i="1"/>
  <c r="S11" i="1" l="1"/>
  <c r="S77" i="1"/>
  <c r="S9" i="1"/>
  <c r="S10" i="1"/>
  <c r="S53" i="1"/>
  <c r="S55" i="1"/>
  <c r="S54" i="1"/>
  <c r="M21" i="3"/>
  <c r="L81" i="2"/>
  <c r="C108" i="1"/>
  <c r="C109" i="1" s="1"/>
  <c r="N76" i="2"/>
  <c r="E98" i="1"/>
  <c r="E99" i="1" s="1"/>
  <c r="N1" i="3"/>
  <c r="A12" i="5" s="1"/>
  <c r="M28" i="3"/>
  <c r="M16" i="3"/>
  <c r="M18" i="3"/>
  <c r="S2" i="1"/>
  <c r="M18" i="2"/>
  <c r="S124" i="1"/>
  <c r="N17" i="3" s="1"/>
  <c r="L19" i="2"/>
  <c r="N19" i="2"/>
  <c r="R26" i="1"/>
  <c r="N16" i="1"/>
  <c r="I15" i="3" s="1"/>
  <c r="O25" i="1"/>
  <c r="S97" i="1"/>
  <c r="J96" i="1"/>
  <c r="I96" i="1"/>
  <c r="K96" i="1"/>
  <c r="L96" i="1"/>
  <c r="M96" i="1"/>
  <c r="N96" i="1"/>
  <c r="O96" i="1"/>
  <c r="P96" i="1"/>
  <c r="Q96" i="1"/>
  <c r="R96" i="1"/>
  <c r="S89" i="1"/>
  <c r="S92" i="1"/>
  <c r="S91" i="1"/>
  <c r="S90" i="1"/>
  <c r="S93" i="1"/>
  <c r="S88" i="1"/>
  <c r="S86" i="1"/>
  <c r="S96" i="1"/>
  <c r="S95" i="1"/>
  <c r="S94" i="1"/>
  <c r="S87" i="1"/>
  <c r="S81" i="1"/>
  <c r="S82" i="1"/>
  <c r="S84" i="1"/>
  <c r="S83" i="1"/>
  <c r="S85" i="1"/>
  <c r="S66" i="1"/>
  <c r="S71" i="1"/>
  <c r="S70" i="1"/>
  <c r="S64" i="1"/>
  <c r="S65" i="1"/>
  <c r="E67" i="1"/>
  <c r="I67" i="1"/>
  <c r="D22" i="3" s="1"/>
  <c r="S67" i="1"/>
  <c r="O67" i="1"/>
  <c r="J22" i="3" s="1"/>
  <c r="P67" i="1"/>
  <c r="K22" i="3" s="1"/>
  <c r="Q67" i="1"/>
  <c r="L22" i="3" s="1"/>
  <c r="K67" i="1"/>
  <c r="F22" i="3" s="1"/>
  <c r="R67" i="1"/>
  <c r="M22" i="3" s="1"/>
  <c r="M67" i="1"/>
  <c r="H22" i="3" s="1"/>
  <c r="J67" i="1"/>
  <c r="E22" i="3" s="1"/>
  <c r="L67" i="1"/>
  <c r="G22" i="3" s="1"/>
  <c r="N67" i="1"/>
  <c r="I22" i="3" s="1"/>
  <c r="S56" i="1"/>
  <c r="N23" i="3" s="1"/>
  <c r="S57" i="1"/>
  <c r="S58" i="1"/>
  <c r="S60" i="1"/>
  <c r="S59" i="1"/>
  <c r="S61" i="1"/>
  <c r="S62" i="1"/>
  <c r="S63" i="1"/>
  <c r="S19" i="1"/>
  <c r="S52" i="1"/>
  <c r="S50" i="1"/>
  <c r="S51" i="1"/>
  <c r="S18" i="1"/>
  <c r="S7" i="1"/>
  <c r="S24" i="1"/>
  <c r="S17" i="1"/>
  <c r="S12" i="1"/>
  <c r="S8" i="1"/>
  <c r="T1" i="1"/>
  <c r="S14" i="1"/>
  <c r="N29" i="3" s="1"/>
  <c r="S22" i="1"/>
  <c r="S23" i="1"/>
  <c r="S5" i="1"/>
  <c r="S6" i="1"/>
  <c r="T11" i="1" l="1"/>
  <c r="T77" i="1"/>
  <c r="T9" i="1"/>
  <c r="T10" i="1"/>
  <c r="N21" i="3"/>
  <c r="T55" i="1"/>
  <c r="T54" i="1"/>
  <c r="T53" i="1"/>
  <c r="L82" i="2"/>
  <c r="C110" i="1"/>
  <c r="C111" i="1" s="1"/>
  <c r="P76" i="2"/>
  <c r="D100" i="1"/>
  <c r="D101" i="1" s="1"/>
  <c r="O16" i="1"/>
  <c r="J15" i="3" s="1"/>
  <c r="O1" i="3"/>
  <c r="A13" i="5" s="1"/>
  <c r="N18" i="3"/>
  <c r="N16" i="3"/>
  <c r="N28" i="3"/>
  <c r="N22" i="3"/>
  <c r="T2" i="1"/>
  <c r="M19" i="2"/>
  <c r="T124" i="1"/>
  <c r="O17" i="3" s="1"/>
  <c r="B17" i="4" s="1"/>
  <c r="L20" i="2"/>
  <c r="P25" i="1"/>
  <c r="N20" i="2"/>
  <c r="S26" i="1"/>
  <c r="F97" i="1"/>
  <c r="F96" i="1"/>
  <c r="J97" i="1"/>
  <c r="I97" i="1"/>
  <c r="K97" i="1"/>
  <c r="L97" i="1"/>
  <c r="M97" i="1"/>
  <c r="N97" i="1"/>
  <c r="O97" i="1"/>
  <c r="P97" i="1"/>
  <c r="Q97" i="1"/>
  <c r="R97" i="1"/>
  <c r="T89" i="1"/>
  <c r="T94" i="1"/>
  <c r="T91" i="1"/>
  <c r="T90" i="1"/>
  <c r="T88" i="1"/>
  <c r="T95" i="1"/>
  <c r="T86" i="1"/>
  <c r="T93" i="1"/>
  <c r="T96" i="1"/>
  <c r="T92" i="1"/>
  <c r="T87" i="1"/>
  <c r="T97" i="1"/>
  <c r="T82" i="1"/>
  <c r="T85" i="1"/>
  <c r="T83" i="1"/>
  <c r="T84" i="1"/>
  <c r="T67" i="1"/>
  <c r="T81" i="1"/>
  <c r="T71" i="1"/>
  <c r="T70" i="1"/>
  <c r="T64" i="1"/>
  <c r="T65" i="1"/>
  <c r="T66" i="1"/>
  <c r="T56" i="1"/>
  <c r="O23" i="3" s="1"/>
  <c r="B23" i="4" s="1"/>
  <c r="T57" i="1"/>
  <c r="T58" i="1"/>
  <c r="T59" i="1"/>
  <c r="T60" i="1"/>
  <c r="T61" i="1"/>
  <c r="T62" i="1"/>
  <c r="T63" i="1"/>
  <c r="T52" i="1"/>
  <c r="T51" i="1"/>
  <c r="T50" i="1"/>
  <c r="T18" i="1"/>
  <c r="T14" i="1"/>
  <c r="O29" i="3" s="1"/>
  <c r="B29" i="4" s="1"/>
  <c r="T23" i="1"/>
  <c r="T7" i="1"/>
  <c r="T24" i="1"/>
  <c r="T6" i="1"/>
  <c r="T8" i="1"/>
  <c r="T5" i="1"/>
  <c r="T22" i="1"/>
  <c r="T12" i="1"/>
  <c r="T17" i="1"/>
  <c r="U1" i="1"/>
  <c r="T19" i="1"/>
  <c r="U11" i="1" l="1"/>
  <c r="U77" i="1"/>
  <c r="U9" i="1"/>
  <c r="U10" i="1"/>
  <c r="U55" i="1"/>
  <c r="U53" i="1"/>
  <c r="U54" i="1"/>
  <c r="O21" i="3"/>
  <c r="B21" i="4" s="1"/>
  <c r="L83" i="2"/>
  <c r="C112" i="1"/>
  <c r="C113" i="1" s="1"/>
  <c r="E100" i="1"/>
  <c r="E101" i="1" s="1"/>
  <c r="N77" i="2"/>
  <c r="Q25" i="1"/>
  <c r="Q16" i="1" s="1"/>
  <c r="L15" i="3" s="1"/>
  <c r="P1" i="3"/>
  <c r="A14" i="5" s="1"/>
  <c r="O18" i="3"/>
  <c r="B18" i="4" s="1"/>
  <c r="O16" i="3"/>
  <c r="B16" i="4" s="1"/>
  <c r="O28" i="3"/>
  <c r="B28" i="4" s="1"/>
  <c r="O22" i="3"/>
  <c r="B22" i="4" s="1"/>
  <c r="U2" i="1"/>
  <c r="M20" i="2"/>
  <c r="U124" i="1"/>
  <c r="P17" i="3" s="1"/>
  <c r="L21" i="2"/>
  <c r="P16" i="1"/>
  <c r="K15" i="3" s="1"/>
  <c r="N21" i="2"/>
  <c r="T26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U90" i="1"/>
  <c r="U88" i="1"/>
  <c r="U89" i="1"/>
  <c r="U96" i="1"/>
  <c r="U91" i="1"/>
  <c r="U92" i="1"/>
  <c r="U93" i="1"/>
  <c r="U94" i="1"/>
  <c r="U95" i="1"/>
  <c r="U86" i="1"/>
  <c r="U97" i="1"/>
  <c r="U87" i="1"/>
  <c r="U81" i="1"/>
  <c r="U82" i="1"/>
  <c r="U84" i="1"/>
  <c r="U85" i="1"/>
  <c r="U83" i="1"/>
  <c r="U70" i="1"/>
  <c r="U71" i="1"/>
  <c r="U64" i="1"/>
  <c r="U65" i="1"/>
  <c r="U66" i="1"/>
  <c r="U67" i="1"/>
  <c r="U56" i="1"/>
  <c r="P23" i="3" s="1"/>
  <c r="U57" i="1"/>
  <c r="U58" i="1"/>
  <c r="U59" i="1"/>
  <c r="U60" i="1"/>
  <c r="U61" i="1"/>
  <c r="U62" i="1"/>
  <c r="U63" i="1"/>
  <c r="U19" i="1"/>
  <c r="U52" i="1"/>
  <c r="U51" i="1"/>
  <c r="U50" i="1"/>
  <c r="U18" i="1"/>
  <c r="U5" i="1"/>
  <c r="U23" i="1"/>
  <c r="U14" i="1"/>
  <c r="P29" i="3" s="1"/>
  <c r="V1" i="1"/>
  <c r="U8" i="1"/>
  <c r="U6" i="1"/>
  <c r="U24" i="1"/>
  <c r="U22" i="1"/>
  <c r="U12" i="1"/>
  <c r="U7" i="1"/>
  <c r="U17" i="1"/>
  <c r="V11" i="1" l="1"/>
  <c r="V77" i="1"/>
  <c r="V9" i="1"/>
  <c r="V10" i="1"/>
  <c r="P21" i="3"/>
  <c r="V54" i="1"/>
  <c r="V53" i="1"/>
  <c r="V55" i="1"/>
  <c r="R25" i="1"/>
  <c r="R16" i="1" s="1"/>
  <c r="M15" i="3" s="1"/>
  <c r="C114" i="1"/>
  <c r="C115" i="1" s="1"/>
  <c r="L84" i="2"/>
  <c r="C116" i="1" s="1"/>
  <c r="C117" i="1" s="1"/>
  <c r="D102" i="1"/>
  <c r="D103" i="1" s="1"/>
  <c r="P77" i="2"/>
  <c r="Q1" i="3"/>
  <c r="A15" i="5" s="1"/>
  <c r="P16" i="3"/>
  <c r="P28" i="3"/>
  <c r="P22" i="3"/>
  <c r="P18" i="3"/>
  <c r="V2" i="1"/>
  <c r="M21" i="2"/>
  <c r="V124" i="1"/>
  <c r="Q17" i="3" s="1"/>
  <c r="L22" i="2"/>
  <c r="N22" i="2"/>
  <c r="U26" i="1"/>
  <c r="K99" i="1"/>
  <c r="J99" i="1"/>
  <c r="L99" i="1"/>
  <c r="M99" i="1"/>
  <c r="N99" i="1"/>
  <c r="O99" i="1"/>
  <c r="P99" i="1"/>
  <c r="Q99" i="1"/>
  <c r="R99" i="1"/>
  <c r="S99" i="1"/>
  <c r="T99" i="1"/>
  <c r="U99" i="1"/>
  <c r="F99" i="1"/>
  <c r="I99" i="1" s="1"/>
  <c r="F98" i="1"/>
  <c r="V98" i="1"/>
  <c r="V92" i="1"/>
  <c r="V90" i="1"/>
  <c r="V88" i="1"/>
  <c r="V89" i="1"/>
  <c r="V94" i="1"/>
  <c r="V93" i="1"/>
  <c r="V86" i="1"/>
  <c r="V96" i="1"/>
  <c r="V95" i="1"/>
  <c r="V91" i="1"/>
  <c r="V97" i="1"/>
  <c r="V99" i="1"/>
  <c r="V87" i="1"/>
  <c r="V81" i="1"/>
  <c r="V82" i="1"/>
  <c r="V83" i="1"/>
  <c r="V85" i="1"/>
  <c r="V84" i="1"/>
  <c r="V70" i="1"/>
  <c r="V71" i="1"/>
  <c r="V64" i="1"/>
  <c r="V65" i="1"/>
  <c r="V66" i="1"/>
  <c r="V67" i="1"/>
  <c r="S25" i="1"/>
  <c r="V56" i="1"/>
  <c r="Q23" i="3" s="1"/>
  <c r="V57" i="1"/>
  <c r="V58" i="1"/>
  <c r="V59" i="1"/>
  <c r="V60" i="1"/>
  <c r="V61" i="1"/>
  <c r="V62" i="1"/>
  <c r="V63" i="1"/>
  <c r="V51" i="1"/>
  <c r="V50" i="1"/>
  <c r="V52" i="1"/>
  <c r="V18" i="1"/>
  <c r="V17" i="1"/>
  <c r="V23" i="1"/>
  <c r="V8" i="1"/>
  <c r="V24" i="1"/>
  <c r="V22" i="1"/>
  <c r="V14" i="1"/>
  <c r="Q29" i="3" s="1"/>
  <c r="V7" i="1"/>
  <c r="V5" i="1"/>
  <c r="W1" i="1"/>
  <c r="V12" i="1"/>
  <c r="V6" i="1"/>
  <c r="V19" i="1"/>
  <c r="W11" i="1" l="1"/>
  <c r="W77" i="1"/>
  <c r="W9" i="1"/>
  <c r="W10" i="1"/>
  <c r="W53" i="1"/>
  <c r="W54" i="1"/>
  <c r="W55" i="1"/>
  <c r="Q21" i="3"/>
  <c r="N78" i="2"/>
  <c r="E102" i="1"/>
  <c r="E103" i="1" s="1"/>
  <c r="R1" i="3"/>
  <c r="A16" i="5" s="1"/>
  <c r="Q16" i="3"/>
  <c r="Q18" i="3"/>
  <c r="Q28" i="3"/>
  <c r="Q22" i="3"/>
  <c r="W2" i="1"/>
  <c r="M22" i="2"/>
  <c r="W124" i="1"/>
  <c r="R17" i="3" s="1"/>
  <c r="L23" i="2"/>
  <c r="N23" i="2"/>
  <c r="V26" i="1"/>
  <c r="M4" i="3"/>
  <c r="C11" i="5" s="1"/>
  <c r="O18" i="2"/>
  <c r="V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S16" i="1"/>
  <c r="N15" i="3" s="1"/>
  <c r="R127" i="1"/>
  <c r="R119" i="1" s="1"/>
  <c r="R42" i="1"/>
  <c r="M11" i="3" s="1"/>
  <c r="W92" i="1"/>
  <c r="W90" i="1"/>
  <c r="W91" i="1"/>
  <c r="W88" i="1"/>
  <c r="W100" i="1"/>
  <c r="W89" i="1"/>
  <c r="W98" i="1"/>
  <c r="W94" i="1"/>
  <c r="W87" i="1"/>
  <c r="W96" i="1"/>
  <c r="W95" i="1"/>
  <c r="W86" i="1"/>
  <c r="W93" i="1"/>
  <c r="W99" i="1"/>
  <c r="W97" i="1"/>
  <c r="W81" i="1"/>
  <c r="W82" i="1"/>
  <c r="W83" i="1"/>
  <c r="W85" i="1"/>
  <c r="W84" i="1"/>
  <c r="T25" i="1"/>
  <c r="W19" i="1"/>
  <c r="W70" i="1"/>
  <c r="W71" i="1"/>
  <c r="W64" i="1"/>
  <c r="W65" i="1"/>
  <c r="W66" i="1"/>
  <c r="W67" i="1"/>
  <c r="W56" i="1"/>
  <c r="R23" i="3" s="1"/>
  <c r="W57" i="1"/>
  <c r="W58" i="1"/>
  <c r="W59" i="1"/>
  <c r="W60" i="1"/>
  <c r="W61" i="1"/>
  <c r="W63" i="1"/>
  <c r="W62" i="1"/>
  <c r="W50" i="1"/>
  <c r="W52" i="1"/>
  <c r="W51" i="1"/>
  <c r="W18" i="1"/>
  <c r="W6" i="1"/>
  <c r="W17" i="1"/>
  <c r="W12" i="1"/>
  <c r="W14" i="1"/>
  <c r="R29" i="3" s="1"/>
  <c r="W8" i="1"/>
  <c r="W23" i="1"/>
  <c r="W7" i="1"/>
  <c r="X1" i="1"/>
  <c r="W5" i="1"/>
  <c r="W24" i="1"/>
  <c r="W22" i="1"/>
  <c r="X11" i="1" l="1"/>
  <c r="X77" i="1"/>
  <c r="X9" i="1"/>
  <c r="X10" i="1"/>
  <c r="X30" i="1"/>
  <c r="X36" i="1" s="1"/>
  <c r="X45" i="1" s="1"/>
  <c r="X53" i="1"/>
  <c r="X54" i="1"/>
  <c r="X55" i="1"/>
  <c r="R21" i="3"/>
  <c r="P78" i="2"/>
  <c r="D104" i="1"/>
  <c r="D105" i="1" s="1"/>
  <c r="S1" i="3"/>
  <c r="A17" i="5" s="1"/>
  <c r="R16" i="3"/>
  <c r="R28" i="3"/>
  <c r="R18" i="3"/>
  <c r="R22" i="3"/>
  <c r="X2" i="1"/>
  <c r="M23" i="2"/>
  <c r="X124" i="1"/>
  <c r="S17" i="3" s="1"/>
  <c r="L24" i="2"/>
  <c r="N24" i="2"/>
  <c r="W26" i="1"/>
  <c r="J101" i="1"/>
  <c r="K101" i="1"/>
  <c r="I101" i="1"/>
  <c r="L101" i="1"/>
  <c r="M101" i="1"/>
  <c r="N101" i="1"/>
  <c r="O101" i="1"/>
  <c r="P101" i="1"/>
  <c r="Q101" i="1"/>
  <c r="R101" i="1"/>
  <c r="S101" i="1"/>
  <c r="T101" i="1"/>
  <c r="U101" i="1"/>
  <c r="V101" i="1"/>
  <c r="F101" i="1"/>
  <c r="F100" i="1"/>
  <c r="W101" i="1"/>
  <c r="T16" i="1"/>
  <c r="O15" i="3" s="1"/>
  <c r="B15" i="4" s="1"/>
  <c r="X88" i="1"/>
  <c r="X89" i="1"/>
  <c r="X90" i="1"/>
  <c r="X86" i="1"/>
  <c r="X100" i="1"/>
  <c r="X98" i="1"/>
  <c r="X92" i="1"/>
  <c r="X97" i="1"/>
  <c r="X91" i="1"/>
  <c r="X95" i="1"/>
  <c r="X101" i="1"/>
  <c r="X93" i="1"/>
  <c r="X99" i="1"/>
  <c r="X96" i="1"/>
  <c r="X94" i="1"/>
  <c r="X87" i="1"/>
  <c r="U25" i="1"/>
  <c r="X81" i="1"/>
  <c r="X82" i="1"/>
  <c r="X84" i="1"/>
  <c r="X83" i="1"/>
  <c r="X85" i="1"/>
  <c r="X70" i="1"/>
  <c r="X71" i="1"/>
  <c r="X64" i="1"/>
  <c r="X65" i="1"/>
  <c r="X66" i="1"/>
  <c r="X67" i="1"/>
  <c r="X19" i="1"/>
  <c r="X56" i="1"/>
  <c r="S23" i="3" s="1"/>
  <c r="X57" i="1"/>
  <c r="X58" i="1"/>
  <c r="X59" i="1"/>
  <c r="X60" i="1"/>
  <c r="X61" i="1"/>
  <c r="X62" i="1"/>
  <c r="X63" i="1"/>
  <c r="X52" i="1"/>
  <c r="X51" i="1"/>
  <c r="X50" i="1"/>
  <c r="X18" i="1"/>
  <c r="X7" i="1"/>
  <c r="X12" i="1"/>
  <c r="X17" i="1"/>
  <c r="Y1" i="1"/>
  <c r="X6" i="1"/>
  <c r="X5" i="1"/>
  <c r="X23" i="1"/>
  <c r="X8" i="1"/>
  <c r="X24" i="1"/>
  <c r="X22" i="1"/>
  <c r="X14" i="1"/>
  <c r="S29" i="3" s="1"/>
  <c r="Y11" i="1" l="1"/>
  <c r="Y77" i="1"/>
  <c r="Y9" i="1"/>
  <c r="Y10" i="1"/>
  <c r="S21" i="3"/>
  <c r="X27" i="1"/>
  <c r="X37" i="1"/>
  <c r="X46" i="1" s="1"/>
  <c r="L25" i="2"/>
  <c r="Y54" i="1"/>
  <c r="Y53" i="1"/>
  <c r="Y55" i="1"/>
  <c r="E104" i="1"/>
  <c r="E105" i="1" s="1"/>
  <c r="N79" i="2"/>
  <c r="T1" i="3"/>
  <c r="A18" i="5" s="1"/>
  <c r="S16" i="3"/>
  <c r="S18" i="3"/>
  <c r="S28" i="3"/>
  <c r="S22" i="3"/>
  <c r="Y2" i="1"/>
  <c r="M24" i="2"/>
  <c r="Y124" i="1"/>
  <c r="T17" i="3" s="1"/>
  <c r="N25" i="2"/>
  <c r="X26" i="1"/>
  <c r="Y104" i="1"/>
  <c r="I104" i="1"/>
  <c r="W104" i="1"/>
  <c r="V104" i="1"/>
  <c r="O104" i="1"/>
  <c r="N104" i="1"/>
  <c r="J104" i="1"/>
  <c r="R104" i="1"/>
  <c r="Q104" i="1"/>
  <c r="T104" i="1"/>
  <c r="M104" i="1"/>
  <c r="P104" i="1"/>
  <c r="U104" i="1"/>
  <c r="X104" i="1"/>
  <c r="K104" i="1"/>
  <c r="S104" i="1"/>
  <c r="L104" i="1"/>
  <c r="Y103" i="1"/>
  <c r="J102" i="1"/>
  <c r="I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U16" i="1"/>
  <c r="P15" i="3" s="1"/>
  <c r="Y88" i="1"/>
  <c r="Y96" i="1"/>
  <c r="Y92" i="1"/>
  <c r="Y90" i="1"/>
  <c r="Y100" i="1"/>
  <c r="Y94" i="1"/>
  <c r="Y93" i="1"/>
  <c r="Y86" i="1"/>
  <c r="Y95" i="1"/>
  <c r="Y99" i="1"/>
  <c r="Y89" i="1"/>
  <c r="Y101" i="1"/>
  <c r="Y98" i="1"/>
  <c r="Y102" i="1"/>
  <c r="Y91" i="1"/>
  <c r="Y87" i="1"/>
  <c r="Y97" i="1"/>
  <c r="V25" i="1"/>
  <c r="Y81" i="1"/>
  <c r="Y82" i="1"/>
  <c r="Y84" i="1"/>
  <c r="Y83" i="1"/>
  <c r="Y85" i="1"/>
  <c r="Y71" i="1"/>
  <c r="Y70" i="1"/>
  <c r="Y64" i="1"/>
  <c r="Y65" i="1"/>
  <c r="Y66" i="1"/>
  <c r="Y67" i="1"/>
  <c r="Y56" i="1"/>
  <c r="T23" i="3" s="1"/>
  <c r="Y57" i="1"/>
  <c r="Y58" i="1"/>
  <c r="Y59" i="1"/>
  <c r="Y60" i="1"/>
  <c r="Y61" i="1"/>
  <c r="Y62" i="1"/>
  <c r="Y63" i="1"/>
  <c r="Y50" i="1"/>
  <c r="Y51" i="1"/>
  <c r="Y52" i="1"/>
  <c r="Y18" i="1"/>
  <c r="Y12" i="1"/>
  <c r="Y7" i="1"/>
  <c r="Y14" i="1"/>
  <c r="T29" i="3" s="1"/>
  <c r="Y17" i="1"/>
  <c r="Z1" i="1"/>
  <c r="Z77" i="1" s="1"/>
  <c r="Y8" i="1"/>
  <c r="Y6" i="1"/>
  <c r="Y22" i="1"/>
  <c r="Y23" i="1"/>
  <c r="Y5" i="1"/>
  <c r="Y24" i="1"/>
  <c r="Y19" i="1"/>
  <c r="Z11" i="1" l="1"/>
  <c r="E63" i="2"/>
  <c r="G87" i="2"/>
  <c r="Z10" i="1"/>
  <c r="E87" i="2"/>
  <c r="E86" i="2"/>
  <c r="G86" i="2"/>
  <c r="Z9" i="1"/>
  <c r="E85" i="2"/>
  <c r="G85" i="2"/>
  <c r="Z53" i="1"/>
  <c r="Z54" i="1"/>
  <c r="Z55" i="1"/>
  <c r="T21" i="3"/>
  <c r="E90" i="2"/>
  <c r="E59" i="2"/>
  <c r="E70" i="2"/>
  <c r="E49" i="2"/>
  <c r="E54" i="2"/>
  <c r="E41" i="2"/>
  <c r="E38" i="2"/>
  <c r="E51" i="2"/>
  <c r="E53" i="2"/>
  <c r="E72" i="2"/>
  <c r="E50" i="2"/>
  <c r="E60" i="2"/>
  <c r="E82" i="2"/>
  <c r="E84" i="2"/>
  <c r="G70" i="2"/>
  <c r="E71" i="2"/>
  <c r="E12" i="2"/>
  <c r="E81" i="2"/>
  <c r="E73" i="2"/>
  <c r="E10" i="2"/>
  <c r="G73" i="2"/>
  <c r="E83" i="2"/>
  <c r="E74" i="2"/>
  <c r="G83" i="2"/>
  <c r="G41" i="2"/>
  <c r="G84" i="2"/>
  <c r="G74" i="2"/>
  <c r="E88" i="2"/>
  <c r="G81" i="2"/>
  <c r="E75" i="2"/>
  <c r="G75" i="2"/>
  <c r="G82" i="2"/>
  <c r="E55" i="2"/>
  <c r="D106" i="1"/>
  <c r="D107" i="1" s="1"/>
  <c r="P79" i="2"/>
  <c r="O105" i="1"/>
  <c r="U1" i="3"/>
  <c r="A19" i="5" s="1"/>
  <c r="T18" i="3"/>
  <c r="O67" i="2"/>
  <c r="Q67" i="2"/>
  <c r="O68" i="2"/>
  <c r="Q68" i="2"/>
  <c r="O69" i="2"/>
  <c r="Q69" i="2"/>
  <c r="O70" i="2"/>
  <c r="Q70" i="2"/>
  <c r="O71" i="2"/>
  <c r="Q71" i="2"/>
  <c r="O72" i="2"/>
  <c r="Q72" i="2"/>
  <c r="O73" i="2"/>
  <c r="Q73" i="2"/>
  <c r="T16" i="3"/>
  <c r="T28" i="3"/>
  <c r="O74" i="2"/>
  <c r="T22" i="3"/>
  <c r="Z2" i="1"/>
  <c r="Q74" i="2"/>
  <c r="M25" i="2"/>
  <c r="Z124" i="1"/>
  <c r="U17" i="3" s="1"/>
  <c r="L26" i="2"/>
  <c r="Z104" i="1"/>
  <c r="N26" i="2"/>
  <c r="Y26" i="1"/>
  <c r="F104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F103" i="1"/>
  <c r="I103" i="1" s="1"/>
  <c r="F102" i="1"/>
  <c r="V16" i="1"/>
  <c r="Q15" i="3" s="1"/>
  <c r="Z96" i="1"/>
  <c r="Z91" i="1"/>
  <c r="Z89" i="1"/>
  <c r="Z93" i="1"/>
  <c r="Z90" i="1"/>
  <c r="Z88" i="1"/>
  <c r="Z92" i="1"/>
  <c r="Z102" i="1"/>
  <c r="Z101" i="1"/>
  <c r="Z86" i="1"/>
  <c r="Z94" i="1"/>
  <c r="Z100" i="1"/>
  <c r="Z98" i="1"/>
  <c r="Z95" i="1"/>
  <c r="Z99" i="1"/>
  <c r="Z97" i="1"/>
  <c r="Z87" i="1"/>
  <c r="Z103" i="1"/>
  <c r="W25" i="1"/>
  <c r="Z81" i="1"/>
  <c r="Z84" i="1"/>
  <c r="Z82" i="1"/>
  <c r="Z83" i="1"/>
  <c r="Z85" i="1"/>
  <c r="Z71" i="1"/>
  <c r="Z70" i="1"/>
  <c r="Z64" i="1"/>
  <c r="Z65" i="1"/>
  <c r="Z66" i="1"/>
  <c r="Z67" i="1"/>
  <c r="Z56" i="1"/>
  <c r="U23" i="3" s="1"/>
  <c r="Z57" i="1"/>
  <c r="Z58" i="1"/>
  <c r="Z59" i="1"/>
  <c r="Z60" i="1"/>
  <c r="Z61" i="1"/>
  <c r="Z62" i="1"/>
  <c r="Z63" i="1"/>
  <c r="Z51" i="1"/>
  <c r="Z50" i="1"/>
  <c r="Z52" i="1"/>
  <c r="Z18" i="1"/>
  <c r="Z8" i="1"/>
  <c r="Z12" i="1"/>
  <c r="Z6" i="1"/>
  <c r="Z22" i="1"/>
  <c r="AA1" i="1"/>
  <c r="Z7" i="1"/>
  <c r="Z5" i="1"/>
  <c r="Z23" i="1"/>
  <c r="Z14" i="1"/>
  <c r="U29" i="3" s="1"/>
  <c r="Z24" i="1"/>
  <c r="Z17" i="1"/>
  <c r="Z19" i="1"/>
  <c r="AA11" i="1" l="1"/>
  <c r="AA77" i="1"/>
  <c r="I35" i="2"/>
  <c r="AA9" i="1"/>
  <c r="AA10" i="1"/>
  <c r="U21" i="3"/>
  <c r="AA54" i="1"/>
  <c r="AA53" i="1"/>
  <c r="AA55" i="1"/>
  <c r="E106" i="1"/>
  <c r="E107" i="1" s="1"/>
  <c r="N80" i="2"/>
  <c r="N105" i="1"/>
  <c r="I105" i="1"/>
  <c r="Y105" i="1"/>
  <c r="T105" i="1"/>
  <c r="M105" i="1"/>
  <c r="U105" i="1"/>
  <c r="Q105" i="1"/>
  <c r="W105" i="1"/>
  <c r="R105" i="1"/>
  <c r="V105" i="1"/>
  <c r="L105" i="1"/>
  <c r="S105" i="1"/>
  <c r="J105" i="1"/>
  <c r="K105" i="1"/>
  <c r="P105" i="1"/>
  <c r="X105" i="1"/>
  <c r="Z105" i="1"/>
  <c r="AA105" i="1"/>
  <c r="V1" i="3"/>
  <c r="A20" i="5" s="1"/>
  <c r="U18" i="3"/>
  <c r="U28" i="3"/>
  <c r="U22" i="3"/>
  <c r="U16" i="3"/>
  <c r="AA2" i="1"/>
  <c r="O75" i="2"/>
  <c r="M26" i="2"/>
  <c r="AA124" i="1"/>
  <c r="V17" i="3" s="1"/>
  <c r="L27" i="2"/>
  <c r="AA104" i="1"/>
  <c r="N27" i="2"/>
  <c r="Z26" i="1"/>
  <c r="N106" i="1"/>
  <c r="T106" i="1"/>
  <c r="L106" i="1"/>
  <c r="O106" i="1"/>
  <c r="U106" i="1"/>
  <c r="Z106" i="1"/>
  <c r="W106" i="1"/>
  <c r="Q106" i="1"/>
  <c r="K106" i="1"/>
  <c r="P106" i="1"/>
  <c r="I106" i="1"/>
  <c r="X106" i="1"/>
  <c r="Y106" i="1"/>
  <c r="S106" i="1"/>
  <c r="AA106" i="1"/>
  <c r="M106" i="1"/>
  <c r="R106" i="1"/>
  <c r="J106" i="1"/>
  <c r="V106" i="1"/>
  <c r="F105" i="1"/>
  <c r="W16" i="1"/>
  <c r="R15" i="3" s="1"/>
  <c r="X25" i="1"/>
  <c r="AA91" i="1"/>
  <c r="AA93" i="1"/>
  <c r="AA90" i="1"/>
  <c r="AA92" i="1"/>
  <c r="AA88" i="1"/>
  <c r="AA101" i="1"/>
  <c r="AA96" i="1"/>
  <c r="AA102" i="1"/>
  <c r="AA98" i="1"/>
  <c r="AA103" i="1"/>
  <c r="AA86" i="1"/>
  <c r="AA95" i="1"/>
  <c r="AA94" i="1"/>
  <c r="AA100" i="1"/>
  <c r="AA89" i="1"/>
  <c r="AA97" i="1"/>
  <c r="AA99" i="1"/>
  <c r="AA87" i="1"/>
  <c r="AA81" i="1"/>
  <c r="AA84" i="1"/>
  <c r="AA82" i="1"/>
  <c r="AA83" i="1"/>
  <c r="AA85" i="1"/>
  <c r="AA70" i="1"/>
  <c r="AA71" i="1"/>
  <c r="AA64" i="1"/>
  <c r="AA65" i="1"/>
  <c r="AA66" i="1"/>
  <c r="AA67" i="1"/>
  <c r="AA56" i="1"/>
  <c r="V23" i="3" s="1"/>
  <c r="AA57" i="1"/>
  <c r="AA58" i="1"/>
  <c r="AA59" i="1"/>
  <c r="AA60" i="1"/>
  <c r="AA61" i="1"/>
  <c r="AA62" i="1"/>
  <c r="AA63" i="1"/>
  <c r="AA52" i="1"/>
  <c r="AA51" i="1"/>
  <c r="AA50" i="1"/>
  <c r="AA18" i="1"/>
  <c r="AA12" i="1"/>
  <c r="AA14" i="1"/>
  <c r="V29" i="3" s="1"/>
  <c r="AA22" i="1"/>
  <c r="AA5" i="1"/>
  <c r="AA6" i="1"/>
  <c r="AA23" i="1"/>
  <c r="AA17" i="1"/>
  <c r="AB1" i="1"/>
  <c r="AA7" i="1"/>
  <c r="AA8" i="1"/>
  <c r="AA24" i="1"/>
  <c r="AA19" i="1"/>
  <c r="AB11" i="1" l="1"/>
  <c r="AB77" i="1"/>
  <c r="AB9" i="1"/>
  <c r="AB10" i="1"/>
  <c r="V21" i="3"/>
  <c r="AB54" i="1"/>
  <c r="AB55" i="1"/>
  <c r="AB53" i="1"/>
  <c r="D108" i="1"/>
  <c r="D109" i="1" s="1"/>
  <c r="P80" i="2"/>
  <c r="L107" i="1"/>
  <c r="X33" i="1"/>
  <c r="X74" i="1" s="1"/>
  <c r="X28" i="1"/>
  <c r="W1" i="3"/>
  <c r="A21" i="5" s="1"/>
  <c r="V16" i="3"/>
  <c r="V22" i="3"/>
  <c r="V18" i="3"/>
  <c r="V28" i="3"/>
  <c r="AB2" i="1"/>
  <c r="M27" i="2"/>
  <c r="AB124" i="1"/>
  <c r="W17" i="3" s="1"/>
  <c r="L28" i="2"/>
  <c r="AB104" i="1"/>
  <c r="AB105" i="1"/>
  <c r="AB106" i="1"/>
  <c r="N28" i="2"/>
  <c r="AA26" i="1"/>
  <c r="F106" i="1"/>
  <c r="N107" i="1"/>
  <c r="X16" i="1"/>
  <c r="S15" i="3" s="1"/>
  <c r="Y25" i="1"/>
  <c r="AB94" i="1"/>
  <c r="AB90" i="1"/>
  <c r="AB88" i="1"/>
  <c r="AB98" i="1"/>
  <c r="AB91" i="1"/>
  <c r="AB92" i="1"/>
  <c r="AB89" i="1"/>
  <c r="AB95" i="1"/>
  <c r="AB100" i="1"/>
  <c r="AB102" i="1"/>
  <c r="AB93" i="1"/>
  <c r="AB101" i="1"/>
  <c r="AB96" i="1"/>
  <c r="AB86" i="1"/>
  <c r="AB103" i="1"/>
  <c r="AB97" i="1"/>
  <c r="AB99" i="1"/>
  <c r="AB87" i="1"/>
  <c r="AB81" i="1"/>
  <c r="AB84" i="1"/>
  <c r="AB82" i="1"/>
  <c r="AB85" i="1"/>
  <c r="AB83" i="1"/>
  <c r="AB71" i="1"/>
  <c r="AB70" i="1"/>
  <c r="AB64" i="1"/>
  <c r="AB65" i="1"/>
  <c r="AB66" i="1"/>
  <c r="AB67" i="1"/>
  <c r="AB19" i="1"/>
  <c r="AB56" i="1"/>
  <c r="W23" i="3" s="1"/>
  <c r="AB57" i="1"/>
  <c r="AB58" i="1"/>
  <c r="AB59" i="1"/>
  <c r="AB60" i="1"/>
  <c r="AB61" i="1"/>
  <c r="AB62" i="1"/>
  <c r="AB63" i="1"/>
  <c r="AB52" i="1"/>
  <c r="AB50" i="1"/>
  <c r="AB51" i="1"/>
  <c r="AB18" i="1"/>
  <c r="AB7" i="1"/>
  <c r="AB14" i="1"/>
  <c r="W29" i="3" s="1"/>
  <c r="AB12" i="1"/>
  <c r="AB17" i="1"/>
  <c r="AC1" i="1"/>
  <c r="AB6" i="1"/>
  <c r="AB23" i="1"/>
  <c r="AB22" i="1"/>
  <c r="AB24" i="1"/>
  <c r="AB5" i="1"/>
  <c r="AB8" i="1"/>
  <c r="AC11" i="1" l="1"/>
  <c r="AC77" i="1"/>
  <c r="AC9" i="1"/>
  <c r="AC10" i="1"/>
  <c r="W21" i="3"/>
  <c r="AC53" i="1"/>
  <c r="AC55" i="1"/>
  <c r="AC54" i="1"/>
  <c r="X142" i="1"/>
  <c r="X75" i="1"/>
  <c r="S24" i="3" s="1"/>
  <c r="R107" i="1"/>
  <c r="E108" i="1"/>
  <c r="E109" i="1" s="1"/>
  <c r="N81" i="2"/>
  <c r="Y107" i="1"/>
  <c r="U107" i="1"/>
  <c r="Z107" i="1"/>
  <c r="I107" i="1"/>
  <c r="S107" i="1"/>
  <c r="O107" i="1"/>
  <c r="J107" i="1"/>
  <c r="T107" i="1"/>
  <c r="M107" i="1"/>
  <c r="K107" i="1"/>
  <c r="F107" i="1"/>
  <c r="AB107" i="1"/>
  <c r="X107" i="1"/>
  <c r="V107" i="1"/>
  <c r="W107" i="1"/>
  <c r="Q107" i="1"/>
  <c r="AA107" i="1"/>
  <c r="P107" i="1"/>
  <c r="Z25" i="1"/>
  <c r="Z16" i="1" s="1"/>
  <c r="U15" i="3" s="1"/>
  <c r="X1" i="3"/>
  <c r="A22" i="5" s="1"/>
  <c r="W16" i="3"/>
  <c r="W28" i="3"/>
  <c r="W22" i="3"/>
  <c r="W18" i="3"/>
  <c r="AC2" i="1"/>
  <c r="M28" i="2"/>
  <c r="AC124" i="1"/>
  <c r="X17" i="3" s="1"/>
  <c r="L29" i="2"/>
  <c r="AC104" i="1"/>
  <c r="AC105" i="1"/>
  <c r="AC106" i="1"/>
  <c r="AC107" i="1"/>
  <c r="N29" i="2"/>
  <c r="AB26" i="1"/>
  <c r="S4" i="3"/>
  <c r="C17" i="5" s="1"/>
  <c r="O24" i="2"/>
  <c r="Y108" i="1"/>
  <c r="K108" i="1"/>
  <c r="W108" i="1"/>
  <c r="J108" i="1"/>
  <c r="V108" i="1"/>
  <c r="I108" i="1"/>
  <c r="Q108" i="1"/>
  <c r="O108" i="1"/>
  <c r="AA108" i="1"/>
  <c r="N108" i="1"/>
  <c r="S108" i="1"/>
  <c r="R108" i="1"/>
  <c r="P108" i="1"/>
  <c r="AC108" i="1"/>
  <c r="X108" i="1"/>
  <c r="Z108" i="1"/>
  <c r="L108" i="1"/>
  <c r="T108" i="1"/>
  <c r="M108" i="1"/>
  <c r="U108" i="1"/>
  <c r="AB108" i="1"/>
  <c r="Y16" i="1"/>
  <c r="T15" i="3" s="1"/>
  <c r="X42" i="1"/>
  <c r="S11" i="3" s="1"/>
  <c r="X127" i="1"/>
  <c r="X119" i="1" s="1"/>
  <c r="AC90" i="1"/>
  <c r="AC89" i="1"/>
  <c r="AC102" i="1"/>
  <c r="AC88" i="1"/>
  <c r="AC98" i="1"/>
  <c r="AC86" i="1"/>
  <c r="AC96" i="1"/>
  <c r="AC91" i="1"/>
  <c r="AC103" i="1"/>
  <c r="AC93" i="1"/>
  <c r="AC101" i="1"/>
  <c r="AC94" i="1"/>
  <c r="AC92" i="1"/>
  <c r="AC100" i="1"/>
  <c r="AC95" i="1"/>
  <c r="AC87" i="1"/>
  <c r="AC99" i="1"/>
  <c r="AC97" i="1"/>
  <c r="AC81" i="1"/>
  <c r="AC82" i="1"/>
  <c r="AC84" i="1"/>
  <c r="AC85" i="1"/>
  <c r="AC83" i="1"/>
  <c r="AC71" i="1"/>
  <c r="AC70" i="1"/>
  <c r="AC64" i="1"/>
  <c r="AC65" i="1"/>
  <c r="AC66" i="1"/>
  <c r="AC67" i="1"/>
  <c r="AC56" i="1"/>
  <c r="X23" i="3" s="1"/>
  <c r="AC57" i="1"/>
  <c r="AC58" i="1"/>
  <c r="AC59" i="1"/>
  <c r="AC60" i="1"/>
  <c r="AC61" i="1"/>
  <c r="AC62" i="1"/>
  <c r="AC63" i="1"/>
  <c r="AC52" i="1"/>
  <c r="AC51" i="1"/>
  <c r="AC50" i="1"/>
  <c r="AC18" i="1"/>
  <c r="AC5" i="1"/>
  <c r="AD1" i="1"/>
  <c r="AC7" i="1"/>
  <c r="AC6" i="1"/>
  <c r="AC22" i="1"/>
  <c r="AC24" i="1"/>
  <c r="AC12" i="1"/>
  <c r="AC14" i="1"/>
  <c r="X29" i="3" s="1"/>
  <c r="AC17" i="1"/>
  <c r="AC8" i="1"/>
  <c r="AC23" i="1"/>
  <c r="AC19" i="1"/>
  <c r="AD11" i="1" l="1"/>
  <c r="AD77" i="1"/>
  <c r="AD9" i="1"/>
  <c r="AD10" i="1"/>
  <c r="AD30" i="1"/>
  <c r="AD37" i="1" s="1"/>
  <c r="AD46" i="1" s="1"/>
  <c r="AD53" i="1"/>
  <c r="AD54" i="1"/>
  <c r="AD55" i="1"/>
  <c r="X21" i="3"/>
  <c r="AA25" i="1"/>
  <c r="AB25" i="1" s="1"/>
  <c r="D110" i="1"/>
  <c r="D111" i="1" s="1"/>
  <c r="P81" i="2"/>
  <c r="AD109" i="1"/>
  <c r="F109" i="1"/>
  <c r="Y1" i="3"/>
  <c r="A23" i="5" s="1"/>
  <c r="X16" i="3"/>
  <c r="X22" i="3"/>
  <c r="X28" i="3"/>
  <c r="X18" i="3"/>
  <c r="AD2" i="1"/>
  <c r="M29" i="2"/>
  <c r="AD124" i="1"/>
  <c r="Y17" i="3" s="1"/>
  <c r="L30" i="2"/>
  <c r="AD104" i="1"/>
  <c r="AD105" i="1"/>
  <c r="AD106" i="1"/>
  <c r="AD107" i="1"/>
  <c r="AD108" i="1"/>
  <c r="N30" i="2"/>
  <c r="AC26" i="1"/>
  <c r="F108" i="1"/>
  <c r="AD90" i="1"/>
  <c r="AD89" i="1"/>
  <c r="AD102" i="1"/>
  <c r="AD93" i="1"/>
  <c r="AD88" i="1"/>
  <c r="AD98" i="1"/>
  <c r="AD92" i="1"/>
  <c r="AD100" i="1"/>
  <c r="AD103" i="1"/>
  <c r="AD86" i="1"/>
  <c r="AD101" i="1"/>
  <c r="AD94" i="1"/>
  <c r="AD99" i="1"/>
  <c r="AD96" i="1"/>
  <c r="AD95" i="1"/>
  <c r="AD91" i="1"/>
  <c r="AD97" i="1"/>
  <c r="AD87" i="1"/>
  <c r="AD81" i="1"/>
  <c r="AD82" i="1"/>
  <c r="AD84" i="1"/>
  <c r="AD85" i="1"/>
  <c r="AD83" i="1"/>
  <c r="AD71" i="1"/>
  <c r="AD70" i="1"/>
  <c r="AD19" i="1"/>
  <c r="AD64" i="1"/>
  <c r="AD65" i="1"/>
  <c r="AD66" i="1"/>
  <c r="AD67" i="1"/>
  <c r="AD56" i="1"/>
  <c r="Y23" i="3" s="1"/>
  <c r="AD57" i="1"/>
  <c r="AD58" i="1"/>
  <c r="AD59" i="1"/>
  <c r="AD60" i="1"/>
  <c r="AD61" i="1"/>
  <c r="AD62" i="1"/>
  <c r="AD63" i="1"/>
  <c r="AD50" i="1"/>
  <c r="AD51" i="1"/>
  <c r="AD52" i="1"/>
  <c r="AD18" i="1"/>
  <c r="AD14" i="1"/>
  <c r="Y29" i="3" s="1"/>
  <c r="AD7" i="1"/>
  <c r="AD22" i="1"/>
  <c r="AD12" i="1"/>
  <c r="AD5" i="1"/>
  <c r="AD17" i="1"/>
  <c r="AD24" i="1"/>
  <c r="AD6" i="1"/>
  <c r="AD23" i="1"/>
  <c r="AD8" i="1"/>
  <c r="AE1" i="1"/>
  <c r="AE11" i="1" l="1"/>
  <c r="AE77" i="1"/>
  <c r="AE9" i="1"/>
  <c r="AE10" i="1"/>
  <c r="AD36" i="1"/>
  <c r="AD45" i="1" s="1"/>
  <c r="AE54" i="1"/>
  <c r="AE53" i="1"/>
  <c r="AE55" i="1"/>
  <c r="AA16" i="1"/>
  <c r="V15" i="3" s="1"/>
  <c r="Y21" i="3"/>
  <c r="E110" i="1"/>
  <c r="E111" i="1" s="1"/>
  <c r="N82" i="2"/>
  <c r="T109" i="1"/>
  <c r="R109" i="1"/>
  <c r="AC109" i="1"/>
  <c r="O109" i="1"/>
  <c r="J109" i="1"/>
  <c r="Z1" i="3"/>
  <c r="A24" i="5" s="1"/>
  <c r="Y18" i="3"/>
  <c r="Y22" i="3"/>
  <c r="Y28" i="3"/>
  <c r="Y16" i="3"/>
  <c r="AE2" i="1"/>
  <c r="M30" i="2"/>
  <c r="S109" i="1"/>
  <c r="K109" i="1"/>
  <c r="I109" i="1"/>
  <c r="W109" i="1"/>
  <c r="V109" i="1"/>
  <c r="Y109" i="1"/>
  <c r="P109" i="1"/>
  <c r="AA109" i="1"/>
  <c r="AB109" i="1"/>
  <c r="Z109" i="1"/>
  <c r="AE109" i="1"/>
  <c r="X109" i="1"/>
  <c r="M109" i="1"/>
  <c r="N109" i="1"/>
  <c r="U109" i="1"/>
  <c r="Q109" i="1"/>
  <c r="L109" i="1"/>
  <c r="AE124" i="1"/>
  <c r="Z17" i="3" s="1"/>
  <c r="L31" i="2"/>
  <c r="AE104" i="1"/>
  <c r="AE105" i="1"/>
  <c r="AE106" i="1"/>
  <c r="AE107" i="1"/>
  <c r="AE108" i="1"/>
  <c r="N31" i="2"/>
  <c r="AD26" i="1"/>
  <c r="AE110" i="1"/>
  <c r="Z110" i="1"/>
  <c r="AB16" i="1"/>
  <c r="W15" i="3" s="1"/>
  <c r="AE90" i="1"/>
  <c r="AE89" i="1"/>
  <c r="AE102" i="1"/>
  <c r="AE93" i="1"/>
  <c r="AE88" i="1"/>
  <c r="AE98" i="1"/>
  <c r="AE92" i="1"/>
  <c r="AE100" i="1"/>
  <c r="AE91" i="1"/>
  <c r="AE95" i="1"/>
  <c r="AE86" i="1"/>
  <c r="AE94" i="1"/>
  <c r="AE96" i="1"/>
  <c r="AE101" i="1"/>
  <c r="AE99" i="1"/>
  <c r="AE87" i="1"/>
  <c r="AE103" i="1"/>
  <c r="AE97" i="1"/>
  <c r="AE81" i="1"/>
  <c r="AE82" i="1"/>
  <c r="AE84" i="1"/>
  <c r="AE83" i="1"/>
  <c r="AE85" i="1"/>
  <c r="AE71" i="1"/>
  <c r="AE70" i="1"/>
  <c r="AE64" i="1"/>
  <c r="AE65" i="1"/>
  <c r="AE66" i="1"/>
  <c r="AE67" i="1"/>
  <c r="AE56" i="1"/>
  <c r="Z23" i="3" s="1"/>
  <c r="AE57" i="1"/>
  <c r="AE58" i="1"/>
  <c r="AE59" i="1"/>
  <c r="AE60" i="1"/>
  <c r="AE61" i="1"/>
  <c r="AE62" i="1"/>
  <c r="AE63" i="1"/>
  <c r="AE50" i="1"/>
  <c r="AE51" i="1"/>
  <c r="AE52" i="1"/>
  <c r="AE18" i="1"/>
  <c r="AE8" i="1"/>
  <c r="AE22" i="1"/>
  <c r="AE12" i="1"/>
  <c r="AE7" i="1"/>
  <c r="AF1" i="1"/>
  <c r="AE6" i="1"/>
  <c r="AE23" i="1"/>
  <c r="AE24" i="1"/>
  <c r="AE5" i="1"/>
  <c r="AE14" i="1"/>
  <c r="Z29" i="3" s="1"/>
  <c r="AE17" i="1"/>
  <c r="AE19" i="1"/>
  <c r="AC25" i="1"/>
  <c r="AF11" i="1" l="1"/>
  <c r="AF77" i="1"/>
  <c r="AF9" i="1"/>
  <c r="AF10" i="1"/>
  <c r="AD27" i="1"/>
  <c r="AF55" i="1"/>
  <c r="AF54" i="1"/>
  <c r="AF53" i="1"/>
  <c r="Z21" i="3"/>
  <c r="D112" i="1"/>
  <c r="D113" i="1" s="1"/>
  <c r="P82" i="2"/>
  <c r="V111" i="1"/>
  <c r="F111" i="1"/>
  <c r="AA1" i="3"/>
  <c r="A25" i="5" s="1"/>
  <c r="Z18" i="3"/>
  <c r="Z28" i="3"/>
  <c r="Z22" i="3"/>
  <c r="Z16" i="3"/>
  <c r="AF2" i="1"/>
  <c r="M31" i="2"/>
  <c r="T110" i="1"/>
  <c r="AD110" i="1"/>
  <c r="P110" i="1"/>
  <c r="Q110" i="1"/>
  <c r="Y110" i="1"/>
  <c r="U110" i="1"/>
  <c r="AC110" i="1"/>
  <c r="I110" i="1"/>
  <c r="K110" i="1"/>
  <c r="S110" i="1"/>
  <c r="V110" i="1"/>
  <c r="O110" i="1"/>
  <c r="L110" i="1"/>
  <c r="X110" i="1"/>
  <c r="N110" i="1"/>
  <c r="AF110" i="1"/>
  <c r="AB110" i="1"/>
  <c r="W110" i="1"/>
  <c r="R110" i="1"/>
  <c r="AA110" i="1"/>
  <c r="M110" i="1"/>
  <c r="AF124" i="1"/>
  <c r="AA17" i="3" s="1"/>
  <c r="C17" i="4" s="1"/>
  <c r="L32" i="2"/>
  <c r="AF104" i="1"/>
  <c r="AF106" i="1"/>
  <c r="AF107" i="1"/>
  <c r="AF105" i="1"/>
  <c r="AF108" i="1"/>
  <c r="AF109" i="1"/>
  <c r="N32" i="2"/>
  <c r="AE26" i="1"/>
  <c r="F110" i="1"/>
  <c r="J110" i="1" s="1"/>
  <c r="AC16" i="1"/>
  <c r="X15" i="3" s="1"/>
  <c r="AF88" i="1"/>
  <c r="AF90" i="1"/>
  <c r="AF89" i="1"/>
  <c r="AF95" i="1"/>
  <c r="AF96" i="1"/>
  <c r="AF86" i="1"/>
  <c r="AF100" i="1"/>
  <c r="AF98" i="1"/>
  <c r="AF92" i="1"/>
  <c r="AF91" i="1"/>
  <c r="AF102" i="1"/>
  <c r="AF101" i="1"/>
  <c r="AF93" i="1"/>
  <c r="AF99" i="1"/>
  <c r="AF94" i="1"/>
  <c r="AF97" i="1"/>
  <c r="AF87" i="1"/>
  <c r="AF103" i="1"/>
  <c r="AF81" i="1"/>
  <c r="AF84" i="1"/>
  <c r="AF82" i="1"/>
  <c r="AF85" i="1"/>
  <c r="AF83" i="1"/>
  <c r="AF71" i="1"/>
  <c r="AF70" i="1"/>
  <c r="AF64" i="1"/>
  <c r="AF65" i="1"/>
  <c r="AF66" i="1"/>
  <c r="AF67" i="1"/>
  <c r="AF56" i="1"/>
  <c r="AA23" i="3" s="1"/>
  <c r="C23" i="4" s="1"/>
  <c r="AF57" i="1"/>
  <c r="AF58" i="1"/>
  <c r="AF59" i="1"/>
  <c r="AF60" i="1"/>
  <c r="AF61" i="1"/>
  <c r="AF62" i="1"/>
  <c r="AF63" i="1"/>
  <c r="AF52" i="1"/>
  <c r="AF51" i="1"/>
  <c r="AF50" i="1"/>
  <c r="AF19" i="1"/>
  <c r="AF18" i="1"/>
  <c r="AF22" i="1"/>
  <c r="AF8" i="1"/>
  <c r="AF7" i="1"/>
  <c r="AF5" i="1"/>
  <c r="AF14" i="1"/>
  <c r="AA29" i="3" s="1"/>
  <c r="C29" i="4" s="1"/>
  <c r="AF17" i="1"/>
  <c r="AG1" i="1"/>
  <c r="AF24" i="1"/>
  <c r="AF12" i="1"/>
  <c r="AF23" i="1"/>
  <c r="AF6" i="1"/>
  <c r="AD25" i="1"/>
  <c r="AG11" i="1" l="1"/>
  <c r="AG77" i="1"/>
  <c r="AG9" i="1"/>
  <c r="AG10" i="1"/>
  <c r="AG55" i="1"/>
  <c r="AG54" i="1"/>
  <c r="AG53" i="1"/>
  <c r="AA21" i="3"/>
  <c r="C21" i="4" s="1"/>
  <c r="J111" i="1"/>
  <c r="E112" i="1"/>
  <c r="E113" i="1" s="1"/>
  <c r="N83" i="2"/>
  <c r="AB111" i="1"/>
  <c r="L111" i="1"/>
  <c r="W111" i="1"/>
  <c r="Q111" i="1"/>
  <c r="X111" i="1"/>
  <c r="U111" i="1"/>
  <c r="AD33" i="1"/>
  <c r="AD28" i="1"/>
  <c r="AB1" i="3"/>
  <c r="A26" i="5" s="1"/>
  <c r="AA28" i="3"/>
  <c r="C28" i="4" s="1"/>
  <c r="AA18" i="3"/>
  <c r="C18" i="4" s="1"/>
  <c r="AA16" i="3"/>
  <c r="C16" i="4" s="1"/>
  <c r="AA22" i="3"/>
  <c r="C22" i="4" s="1"/>
  <c r="AG2" i="1"/>
  <c r="M32" i="2"/>
  <c r="O111" i="1"/>
  <c r="AC111" i="1"/>
  <c r="AD111" i="1"/>
  <c r="S111" i="1"/>
  <c r="M111" i="1"/>
  <c r="T111" i="1"/>
  <c r="N111" i="1"/>
  <c r="Z111" i="1"/>
  <c r="I111" i="1"/>
  <c r="AF111" i="1"/>
  <c r="K111" i="1"/>
  <c r="P111" i="1"/>
  <c r="AA111" i="1"/>
  <c r="Y111" i="1"/>
  <c r="R111" i="1"/>
  <c r="AE111" i="1"/>
  <c r="AG124" i="1"/>
  <c r="AB17" i="3" s="1"/>
  <c r="L33" i="2"/>
  <c r="AG104" i="1"/>
  <c r="AG106" i="1"/>
  <c r="AG105" i="1"/>
  <c r="AG107" i="1"/>
  <c r="AG108" i="1"/>
  <c r="AG109" i="1"/>
  <c r="AG110" i="1"/>
  <c r="AG111" i="1"/>
  <c r="N33" i="2"/>
  <c r="AF26" i="1"/>
  <c r="R112" i="1"/>
  <c r="X112" i="1"/>
  <c r="Q112" i="1"/>
  <c r="AD16" i="1"/>
  <c r="Y15" i="3" s="1"/>
  <c r="AG96" i="1"/>
  <c r="AG93" i="1"/>
  <c r="AG88" i="1"/>
  <c r="AG92" i="1"/>
  <c r="AG90" i="1"/>
  <c r="AG100" i="1"/>
  <c r="AG94" i="1"/>
  <c r="AG102" i="1"/>
  <c r="AG91" i="1"/>
  <c r="AG89" i="1"/>
  <c r="AG101" i="1"/>
  <c r="AG98" i="1"/>
  <c r="AG95" i="1"/>
  <c r="AG103" i="1"/>
  <c r="AG97" i="1"/>
  <c r="AG86" i="1"/>
  <c r="AG99" i="1"/>
  <c r="AG87" i="1"/>
  <c r="AG81" i="1"/>
  <c r="AG82" i="1"/>
  <c r="AG84" i="1"/>
  <c r="AG85" i="1"/>
  <c r="AG83" i="1"/>
  <c r="AG71" i="1"/>
  <c r="AG70" i="1"/>
  <c r="AG64" i="1"/>
  <c r="AG65" i="1"/>
  <c r="AG66" i="1"/>
  <c r="AG67" i="1"/>
  <c r="AG56" i="1"/>
  <c r="AB23" i="3" s="1"/>
  <c r="AG57" i="1"/>
  <c r="AG58" i="1"/>
  <c r="AG59" i="1"/>
  <c r="AG60" i="1"/>
  <c r="AG61" i="1"/>
  <c r="AG62" i="1"/>
  <c r="AG63" i="1"/>
  <c r="AG51" i="1"/>
  <c r="AG50" i="1"/>
  <c r="AG52" i="1"/>
  <c r="AG18" i="1"/>
  <c r="AG8" i="1"/>
  <c r="AG7" i="1"/>
  <c r="AG17" i="1"/>
  <c r="AH1" i="1"/>
  <c r="AG5" i="1"/>
  <c r="AG12" i="1"/>
  <c r="AG6" i="1"/>
  <c r="AG23" i="1"/>
  <c r="AG14" i="1"/>
  <c r="AB29" i="3" s="1"/>
  <c r="AG22" i="1"/>
  <c r="AG24" i="1"/>
  <c r="AG19" i="1"/>
  <c r="AE25" i="1"/>
  <c r="AH11" i="1" l="1"/>
  <c r="AH77" i="1"/>
  <c r="AH9" i="1"/>
  <c r="AH10" i="1"/>
  <c r="AH53" i="1"/>
  <c r="AH54" i="1"/>
  <c r="AH55" i="1"/>
  <c r="AB21" i="3"/>
  <c r="AD142" i="1"/>
  <c r="D114" i="1"/>
  <c r="D115" i="1" s="1"/>
  <c r="P83" i="2"/>
  <c r="F113" i="1"/>
  <c r="AC1" i="3"/>
  <c r="A27" i="5" s="1"/>
  <c r="AB28" i="3"/>
  <c r="AB16" i="3"/>
  <c r="AB22" i="3"/>
  <c r="AB18" i="3"/>
  <c r="AH2" i="1"/>
  <c r="M33" i="2"/>
  <c r="W112" i="1"/>
  <c r="AF112" i="1"/>
  <c r="AD112" i="1"/>
  <c r="N112" i="1"/>
  <c r="T112" i="1"/>
  <c r="U112" i="1"/>
  <c r="O112" i="1"/>
  <c r="AE112" i="1"/>
  <c r="M112" i="1"/>
  <c r="Y112" i="1"/>
  <c r="AH112" i="1"/>
  <c r="AG112" i="1"/>
  <c r="S112" i="1"/>
  <c r="V112" i="1"/>
  <c r="AA112" i="1"/>
  <c r="P112" i="1"/>
  <c r="AC112" i="1"/>
  <c r="Z112" i="1"/>
  <c r="AB112" i="1"/>
  <c r="AH124" i="1"/>
  <c r="AC17" i="3" s="1"/>
  <c r="L34" i="2"/>
  <c r="AH104" i="1"/>
  <c r="AH105" i="1"/>
  <c r="AH108" i="1"/>
  <c r="AH107" i="1"/>
  <c r="AH106" i="1"/>
  <c r="AH109" i="1"/>
  <c r="AH110" i="1"/>
  <c r="AH111" i="1"/>
  <c r="N34" i="2"/>
  <c r="AG26" i="1"/>
  <c r="Y4" i="3"/>
  <c r="C23" i="5" s="1"/>
  <c r="O30" i="2"/>
  <c r="F112" i="1"/>
  <c r="AE16" i="1"/>
  <c r="Z15" i="3" s="1"/>
  <c r="AD42" i="1"/>
  <c r="Y11" i="3" s="1"/>
  <c r="AD127" i="1"/>
  <c r="AD119" i="1" s="1"/>
  <c r="AH90" i="1"/>
  <c r="AH96" i="1"/>
  <c r="AH94" i="1"/>
  <c r="AH100" i="1"/>
  <c r="AH98" i="1"/>
  <c r="AH93" i="1"/>
  <c r="AH88" i="1"/>
  <c r="AH95" i="1"/>
  <c r="AH86" i="1"/>
  <c r="AH92" i="1"/>
  <c r="AH101" i="1"/>
  <c r="AH102" i="1"/>
  <c r="AH89" i="1"/>
  <c r="AH87" i="1"/>
  <c r="AH103" i="1"/>
  <c r="AH99" i="1"/>
  <c r="AH91" i="1"/>
  <c r="AH97" i="1"/>
  <c r="AH81" i="1"/>
  <c r="AH82" i="1"/>
  <c r="AH84" i="1"/>
  <c r="AH83" i="1"/>
  <c r="AH85" i="1"/>
  <c r="AH71" i="1"/>
  <c r="AH70" i="1"/>
  <c r="AD75" i="1"/>
  <c r="AD74" i="1"/>
  <c r="AH64" i="1"/>
  <c r="AH65" i="1"/>
  <c r="AH66" i="1"/>
  <c r="AH67" i="1"/>
  <c r="AH56" i="1"/>
  <c r="AC23" i="3" s="1"/>
  <c r="AH57" i="1"/>
  <c r="AH58" i="1"/>
  <c r="AH59" i="1"/>
  <c r="AH60" i="1"/>
  <c r="AH61" i="1"/>
  <c r="AH62" i="1"/>
  <c r="AH63" i="1"/>
  <c r="AH51" i="1"/>
  <c r="AH50" i="1"/>
  <c r="AH52" i="1"/>
  <c r="AH19" i="1"/>
  <c r="AH18" i="1"/>
  <c r="AH5" i="1"/>
  <c r="AH24" i="1"/>
  <c r="AH8" i="1"/>
  <c r="AH6" i="1"/>
  <c r="AH22" i="1"/>
  <c r="AI1" i="1"/>
  <c r="AH17" i="1"/>
  <c r="AH12" i="1"/>
  <c r="AH23" i="1"/>
  <c r="AH7" i="1"/>
  <c r="AH14" i="1"/>
  <c r="AC29" i="3" s="1"/>
  <c r="AF25" i="1"/>
  <c r="AI11" i="1" l="1"/>
  <c r="AI77" i="1"/>
  <c r="AI9" i="1"/>
  <c r="AI10" i="1"/>
  <c r="G90" i="2"/>
  <c r="AC21" i="3"/>
  <c r="AI55" i="1"/>
  <c r="AI54" i="1"/>
  <c r="AI53" i="1"/>
  <c r="E114" i="1"/>
  <c r="E115" i="1" s="1"/>
  <c r="N84" i="2"/>
  <c r="P84" i="2" s="1"/>
  <c r="Q78" i="2"/>
  <c r="AD1" i="3"/>
  <c r="A28" i="5" s="1"/>
  <c r="Y24" i="3"/>
  <c r="AC16" i="3"/>
  <c r="AC28" i="3"/>
  <c r="Q75" i="2"/>
  <c r="O76" i="2"/>
  <c r="Q76" i="2"/>
  <c r="O77" i="2"/>
  <c r="Q77" i="2"/>
  <c r="O78" i="2"/>
  <c r="AC22" i="3"/>
  <c r="AC18" i="3"/>
  <c r="AI2" i="1"/>
  <c r="O79" i="2"/>
  <c r="M34" i="2"/>
  <c r="L112" i="1"/>
  <c r="I112" i="1"/>
  <c r="I113" i="1"/>
  <c r="J113" i="1"/>
  <c r="J112" i="1"/>
  <c r="N113" i="1"/>
  <c r="R113" i="1"/>
  <c r="AG113" i="1"/>
  <c r="X113" i="1"/>
  <c r="Y113" i="1"/>
  <c r="AD113" i="1"/>
  <c r="W113" i="1"/>
  <c r="P113" i="1"/>
  <c r="K112" i="1"/>
  <c r="AF113" i="1"/>
  <c r="AE113" i="1"/>
  <c r="T113" i="1"/>
  <c r="M113" i="1"/>
  <c r="Q113" i="1"/>
  <c r="V113" i="1"/>
  <c r="Z113" i="1"/>
  <c r="AH113" i="1"/>
  <c r="L113" i="1"/>
  <c r="U113" i="1"/>
  <c r="S113" i="1"/>
  <c r="O113" i="1"/>
  <c r="AB113" i="1"/>
  <c r="K113" i="1"/>
  <c r="AC113" i="1"/>
  <c r="AA113" i="1"/>
  <c r="AI124" i="1"/>
  <c r="AD17" i="3" s="1"/>
  <c r="L35" i="2"/>
  <c r="AI104" i="1"/>
  <c r="AI105" i="1"/>
  <c r="AI107" i="1"/>
  <c r="AI108" i="1"/>
  <c r="AI106" i="1"/>
  <c r="AI109" i="1"/>
  <c r="AI110" i="1"/>
  <c r="AI111" i="1"/>
  <c r="AI112" i="1"/>
  <c r="AI113" i="1"/>
  <c r="N35" i="2"/>
  <c r="AH26" i="1"/>
  <c r="W114" i="1"/>
  <c r="T114" i="1"/>
  <c r="AI114" i="1"/>
  <c r="AB114" i="1"/>
  <c r="AD114" i="1"/>
  <c r="X114" i="1"/>
  <c r="Q114" i="1"/>
  <c r="AF16" i="1"/>
  <c r="AA15" i="3" s="1"/>
  <c r="C15" i="4" s="1"/>
  <c r="AI90" i="1"/>
  <c r="AI91" i="1"/>
  <c r="AI86" i="1"/>
  <c r="AI95" i="1"/>
  <c r="AI100" i="1"/>
  <c r="AI89" i="1"/>
  <c r="AI94" i="1"/>
  <c r="AI101" i="1"/>
  <c r="AI96" i="1"/>
  <c r="AI88" i="1"/>
  <c r="AI92" i="1"/>
  <c r="AI103" i="1"/>
  <c r="AI98" i="1"/>
  <c r="AI102" i="1"/>
  <c r="AI93" i="1"/>
  <c r="AI99" i="1"/>
  <c r="AI97" i="1"/>
  <c r="AI87" i="1"/>
  <c r="AI81" i="1"/>
  <c r="AI84" i="1"/>
  <c r="AI82" i="1"/>
  <c r="AI83" i="1"/>
  <c r="AI85" i="1"/>
  <c r="AI71" i="1"/>
  <c r="AI70" i="1"/>
  <c r="AI64" i="1"/>
  <c r="AI65" i="1"/>
  <c r="AI66" i="1"/>
  <c r="AI67" i="1"/>
  <c r="AI19" i="1"/>
  <c r="AI56" i="1"/>
  <c r="AD23" i="3" s="1"/>
  <c r="AI57" i="1"/>
  <c r="AI58" i="1"/>
  <c r="AI59" i="1"/>
  <c r="AI60" i="1"/>
  <c r="AI61" i="1"/>
  <c r="AI62" i="1"/>
  <c r="AI63" i="1"/>
  <c r="AI52" i="1"/>
  <c r="AI50" i="1"/>
  <c r="AI51" i="1"/>
  <c r="AI18" i="1"/>
  <c r="AI22" i="1"/>
  <c r="AI23" i="1"/>
  <c r="AI24" i="1"/>
  <c r="AI7" i="1"/>
  <c r="AI8" i="1"/>
  <c r="AI17" i="1"/>
  <c r="AI6" i="1"/>
  <c r="AI5" i="1"/>
  <c r="AI14" i="1"/>
  <c r="AD29" i="3" s="1"/>
  <c r="AJ1" i="1"/>
  <c r="AI12" i="1"/>
  <c r="AG25" i="1"/>
  <c r="AJ11" i="1" l="1"/>
  <c r="AJ77" i="1"/>
  <c r="AJ9" i="1"/>
  <c r="AJ10" i="1"/>
  <c r="AJ30" i="1"/>
  <c r="AJ36" i="1" s="1"/>
  <c r="AJ54" i="1"/>
  <c r="AJ53" i="1"/>
  <c r="AJ55" i="1"/>
  <c r="AD21" i="3"/>
  <c r="D116" i="1"/>
  <c r="D117" i="1" s="1"/>
  <c r="E116" i="1"/>
  <c r="E117" i="1" s="1"/>
  <c r="F115" i="1"/>
  <c r="AE1" i="3"/>
  <c r="A29" i="5" s="1"/>
  <c r="AD28" i="3"/>
  <c r="AD22" i="3"/>
  <c r="AD18" i="3"/>
  <c r="AD16" i="3"/>
  <c r="AJ2" i="1"/>
  <c r="Q79" i="2"/>
  <c r="M35" i="2"/>
  <c r="AA114" i="1"/>
  <c r="Z114" i="1"/>
  <c r="S114" i="1"/>
  <c r="R114" i="1"/>
  <c r="AH114" i="1"/>
  <c r="V114" i="1"/>
  <c r="P114" i="1"/>
  <c r="AF114" i="1"/>
  <c r="AG114" i="1"/>
  <c r="AE114" i="1"/>
  <c r="U114" i="1"/>
  <c r="AC114" i="1"/>
  <c r="O114" i="1"/>
  <c r="Y114" i="1"/>
  <c r="M114" i="1"/>
  <c r="AJ114" i="1"/>
  <c r="AJ124" i="1"/>
  <c r="AE17" i="3" s="1"/>
  <c r="L36" i="2"/>
  <c r="AJ104" i="1"/>
  <c r="AJ105" i="1"/>
  <c r="AJ106" i="1"/>
  <c r="AJ107" i="1"/>
  <c r="AJ108" i="1"/>
  <c r="AJ109" i="1"/>
  <c r="AJ110" i="1"/>
  <c r="AJ111" i="1"/>
  <c r="AJ112" i="1"/>
  <c r="AJ113" i="1"/>
  <c r="N36" i="2"/>
  <c r="AI26" i="1"/>
  <c r="F114" i="1"/>
  <c r="AG16" i="1"/>
  <c r="AB15" i="3" s="1"/>
  <c r="AJ88" i="1"/>
  <c r="AJ91" i="1"/>
  <c r="AJ102" i="1"/>
  <c r="AJ86" i="1"/>
  <c r="AJ98" i="1"/>
  <c r="AJ103" i="1"/>
  <c r="AJ92" i="1"/>
  <c r="AJ100" i="1"/>
  <c r="AJ95" i="1"/>
  <c r="AJ87" i="1"/>
  <c r="AJ93" i="1"/>
  <c r="AJ90" i="1"/>
  <c r="AJ101" i="1"/>
  <c r="AJ94" i="1"/>
  <c r="AJ96" i="1"/>
  <c r="AJ89" i="1"/>
  <c r="AJ99" i="1"/>
  <c r="AJ97" i="1"/>
  <c r="AJ81" i="1"/>
  <c r="AJ84" i="1"/>
  <c r="AJ82" i="1"/>
  <c r="AJ83" i="1"/>
  <c r="AJ85" i="1"/>
  <c r="AJ71" i="1"/>
  <c r="AJ70" i="1"/>
  <c r="AJ64" i="1"/>
  <c r="AJ65" i="1"/>
  <c r="AJ66" i="1"/>
  <c r="AJ67" i="1"/>
  <c r="AJ56" i="1"/>
  <c r="AE23" i="3" s="1"/>
  <c r="AJ57" i="1"/>
  <c r="AJ58" i="1"/>
  <c r="AJ59" i="1"/>
  <c r="AJ60" i="1"/>
  <c r="AJ61" i="1"/>
  <c r="AJ62" i="1"/>
  <c r="AJ63" i="1"/>
  <c r="AJ52" i="1"/>
  <c r="AJ51" i="1"/>
  <c r="AJ50" i="1"/>
  <c r="AJ19" i="1"/>
  <c r="AJ18" i="1"/>
  <c r="AJ8" i="1"/>
  <c r="AJ5" i="1"/>
  <c r="AJ17" i="1"/>
  <c r="AJ7" i="1"/>
  <c r="AJ6" i="1"/>
  <c r="AK1" i="1"/>
  <c r="AJ22" i="1"/>
  <c r="AJ12" i="1"/>
  <c r="AJ23" i="1"/>
  <c r="AJ14" i="1"/>
  <c r="AE29" i="3" s="1"/>
  <c r="AJ24" i="1"/>
  <c r="AH25" i="1"/>
  <c r="AK11" i="1" l="1"/>
  <c r="AK77" i="1"/>
  <c r="AK9" i="1"/>
  <c r="AK10" i="1"/>
  <c r="AJ37" i="1"/>
  <c r="AJ46" i="1" s="1"/>
  <c r="AK55" i="1"/>
  <c r="AK53" i="1"/>
  <c r="AK54" i="1"/>
  <c r="AE21" i="3"/>
  <c r="AJ27" i="1"/>
  <c r="AJ45" i="1"/>
  <c r="I115" i="1"/>
  <c r="J115" i="1"/>
  <c r="AF1" i="3"/>
  <c r="A30" i="5" s="1"/>
  <c r="AE28" i="3"/>
  <c r="AE16" i="3"/>
  <c r="AE18" i="3"/>
  <c r="AE22" i="3"/>
  <c r="AK2" i="1"/>
  <c r="M36" i="2"/>
  <c r="J114" i="1"/>
  <c r="I114" i="1"/>
  <c r="Q115" i="1"/>
  <c r="X115" i="1"/>
  <c r="N114" i="1"/>
  <c r="L114" i="1"/>
  <c r="K114" i="1"/>
  <c r="AC115" i="1"/>
  <c r="L115" i="1"/>
  <c r="K115" i="1"/>
  <c r="W115" i="1"/>
  <c r="AE115" i="1"/>
  <c r="AF115" i="1"/>
  <c r="AK115" i="1"/>
  <c r="AB115" i="1"/>
  <c r="AI115" i="1"/>
  <c r="O115" i="1"/>
  <c r="T115" i="1"/>
  <c r="AD115" i="1"/>
  <c r="U115" i="1"/>
  <c r="AJ115" i="1"/>
  <c r="M115" i="1"/>
  <c r="S115" i="1"/>
  <c r="AA115" i="1"/>
  <c r="V115" i="1"/>
  <c r="P115" i="1"/>
  <c r="Z115" i="1"/>
  <c r="AH115" i="1"/>
  <c r="N115" i="1"/>
  <c r="R115" i="1"/>
  <c r="AG115" i="1"/>
  <c r="Y115" i="1"/>
  <c r="AK124" i="1"/>
  <c r="AF17" i="3" s="1"/>
  <c r="L37" i="2"/>
  <c r="AK104" i="1"/>
  <c r="AK105" i="1"/>
  <c r="AK106" i="1"/>
  <c r="AK107" i="1"/>
  <c r="AK110" i="1"/>
  <c r="AK109" i="1"/>
  <c r="AK108" i="1"/>
  <c r="AK111" i="1"/>
  <c r="AK112" i="1"/>
  <c r="AK113" i="1"/>
  <c r="AK114" i="1"/>
  <c r="N37" i="2"/>
  <c r="AJ26" i="1"/>
  <c r="AH116" i="1"/>
  <c r="AH16" i="1"/>
  <c r="AC15" i="3" s="1"/>
  <c r="AK91" i="1"/>
  <c r="AK94" i="1"/>
  <c r="AK101" i="1"/>
  <c r="AK93" i="1"/>
  <c r="AK90" i="1"/>
  <c r="AK88" i="1"/>
  <c r="AK86" i="1"/>
  <c r="AK96" i="1"/>
  <c r="AK103" i="1"/>
  <c r="AK92" i="1"/>
  <c r="AK102" i="1"/>
  <c r="AK95" i="1"/>
  <c r="AK98" i="1"/>
  <c r="AK100" i="1"/>
  <c r="AK97" i="1"/>
  <c r="AK89" i="1"/>
  <c r="AK87" i="1"/>
  <c r="AK99" i="1"/>
  <c r="AK81" i="1"/>
  <c r="AK82" i="1"/>
  <c r="AK84" i="1"/>
  <c r="AK83" i="1"/>
  <c r="AK85" i="1"/>
  <c r="AK71" i="1"/>
  <c r="AK70" i="1"/>
  <c r="AK64" i="1"/>
  <c r="AK65" i="1"/>
  <c r="AK66" i="1"/>
  <c r="AK67" i="1"/>
  <c r="AK56" i="1"/>
  <c r="AF23" i="3" s="1"/>
  <c r="AK57" i="1"/>
  <c r="AK58" i="1"/>
  <c r="AK59" i="1"/>
  <c r="AK60" i="1"/>
  <c r="AK61" i="1"/>
  <c r="AK62" i="1"/>
  <c r="AK63" i="1"/>
  <c r="AK52" i="1"/>
  <c r="AK51" i="1"/>
  <c r="AK50" i="1"/>
  <c r="AK18" i="1"/>
  <c r="AK17" i="1"/>
  <c r="AK8" i="1"/>
  <c r="AK7" i="1"/>
  <c r="AK22" i="1"/>
  <c r="AK6" i="1"/>
  <c r="AK23" i="1"/>
  <c r="AK12" i="1"/>
  <c r="AK24" i="1"/>
  <c r="AK14" i="1"/>
  <c r="AF29" i="3" s="1"/>
  <c r="AK5" i="1"/>
  <c r="AL1" i="1"/>
  <c r="AK19" i="1"/>
  <c r="AI25" i="1"/>
  <c r="AL11" i="1" l="1"/>
  <c r="AL77" i="1"/>
  <c r="AL9" i="1"/>
  <c r="AL10" i="1"/>
  <c r="AF21" i="3"/>
  <c r="AL53" i="1"/>
  <c r="AL54" i="1"/>
  <c r="AL55" i="1"/>
  <c r="AH138" i="1"/>
  <c r="AG1" i="3"/>
  <c r="A31" i="5" s="1"/>
  <c r="AF18" i="3"/>
  <c r="AF22" i="3"/>
  <c r="AF28" i="3"/>
  <c r="AF16" i="3"/>
  <c r="AL2" i="1"/>
  <c r="M37" i="2"/>
  <c r="AF116" i="1"/>
  <c r="X116" i="1"/>
  <c r="AK116" i="1"/>
  <c r="R116" i="1"/>
  <c r="Q116" i="1"/>
  <c r="M116" i="1"/>
  <c r="AI116" i="1"/>
  <c r="AJ116" i="1"/>
  <c r="W116" i="1"/>
  <c r="AB116" i="1"/>
  <c r="Y116" i="1"/>
  <c r="AA116" i="1"/>
  <c r="AD116" i="1"/>
  <c r="Z116" i="1"/>
  <c r="O116" i="1"/>
  <c r="S116" i="1"/>
  <c r="AC116" i="1"/>
  <c r="AG116" i="1"/>
  <c r="V116" i="1"/>
  <c r="AE116" i="1"/>
  <c r="U116" i="1"/>
  <c r="T116" i="1"/>
  <c r="AL124" i="1"/>
  <c r="AG17" i="3" s="1"/>
  <c r="L38" i="2"/>
  <c r="AL104" i="1"/>
  <c r="AL105" i="1"/>
  <c r="AL106" i="1"/>
  <c r="AL107" i="1"/>
  <c r="AL108" i="1"/>
  <c r="AL109" i="1"/>
  <c r="AL111" i="1"/>
  <c r="AL110" i="1"/>
  <c r="AL112" i="1"/>
  <c r="AL113" i="1"/>
  <c r="AL114" i="1"/>
  <c r="AL115" i="1"/>
  <c r="AL116" i="1"/>
  <c r="N38" i="2"/>
  <c r="AK26" i="1"/>
  <c r="F117" i="1"/>
  <c r="AC117" i="1" s="1"/>
  <c r="F116" i="1"/>
  <c r="I116" i="1" s="1"/>
  <c r="AI16" i="1"/>
  <c r="AD15" i="3" s="1"/>
  <c r="AL88" i="1"/>
  <c r="AL86" i="1"/>
  <c r="AL96" i="1"/>
  <c r="AL91" i="1"/>
  <c r="AL98" i="1"/>
  <c r="AL100" i="1"/>
  <c r="AL92" i="1"/>
  <c r="AL102" i="1"/>
  <c r="AL94" i="1"/>
  <c r="AL95" i="1"/>
  <c r="AL101" i="1"/>
  <c r="AL87" i="1"/>
  <c r="AL103" i="1"/>
  <c r="AL99" i="1"/>
  <c r="AL97" i="1"/>
  <c r="AL93" i="1"/>
  <c r="AL89" i="1"/>
  <c r="AL90" i="1"/>
  <c r="AL81" i="1"/>
  <c r="AL82" i="1"/>
  <c r="AL84" i="1"/>
  <c r="AL85" i="1"/>
  <c r="AL83" i="1"/>
  <c r="AL70" i="1"/>
  <c r="AL71" i="1"/>
  <c r="AL19" i="1"/>
  <c r="AL64" i="1"/>
  <c r="AL65" i="1"/>
  <c r="AL66" i="1"/>
  <c r="AL67" i="1"/>
  <c r="AL56" i="1"/>
  <c r="AG23" i="3" s="1"/>
  <c r="AL57" i="1"/>
  <c r="AL58" i="1"/>
  <c r="AL59" i="1"/>
  <c r="AL60" i="1"/>
  <c r="AL61" i="1"/>
  <c r="AL62" i="1"/>
  <c r="AL63" i="1"/>
  <c r="AL51" i="1"/>
  <c r="AL50" i="1"/>
  <c r="AL52" i="1"/>
  <c r="AL18" i="1"/>
  <c r="AL14" i="1"/>
  <c r="AG29" i="3" s="1"/>
  <c r="AL23" i="1"/>
  <c r="AL7" i="1"/>
  <c r="AL22" i="1"/>
  <c r="AL6" i="1"/>
  <c r="AL17" i="1"/>
  <c r="AL8" i="1"/>
  <c r="AL12" i="1"/>
  <c r="AM1" i="1"/>
  <c r="AL24" i="1"/>
  <c r="AL5" i="1"/>
  <c r="AJ25" i="1"/>
  <c r="AM11" i="1" l="1"/>
  <c r="AM77" i="1"/>
  <c r="AJ138" i="1"/>
  <c r="AI138" i="1"/>
  <c r="AM9" i="1"/>
  <c r="AM10" i="1"/>
  <c r="AM53" i="1"/>
  <c r="AM55" i="1"/>
  <c r="AM54" i="1"/>
  <c r="AG21" i="3"/>
  <c r="AL138" i="1"/>
  <c r="AC138" i="1"/>
  <c r="AK138" i="1"/>
  <c r="AJ33" i="1"/>
  <c r="AJ28" i="1"/>
  <c r="J117" i="1"/>
  <c r="K117" i="1"/>
  <c r="AA117" i="1"/>
  <c r="AF117" i="1"/>
  <c r="AF138" i="1" s="1"/>
  <c r="AD117" i="1"/>
  <c r="AD128" i="1" s="1"/>
  <c r="D23" i="5" s="1"/>
  <c r="AH1" i="3"/>
  <c r="A32" i="5" s="1"/>
  <c r="AG16" i="3"/>
  <c r="AG22" i="3"/>
  <c r="AG18" i="3"/>
  <c r="AG28" i="3"/>
  <c r="AM2" i="1"/>
  <c r="M38" i="2"/>
  <c r="Q117" i="1"/>
  <c r="Q138" i="1" s="1"/>
  <c r="L117" i="1"/>
  <c r="I117" i="1"/>
  <c r="J116" i="1"/>
  <c r="AL117" i="1"/>
  <c r="N117" i="1"/>
  <c r="AH117" i="1"/>
  <c r="M117" i="1"/>
  <c r="P116" i="1"/>
  <c r="K116" i="1"/>
  <c r="L116" i="1"/>
  <c r="AK117" i="1"/>
  <c r="AB117" i="1"/>
  <c r="AB138" i="1" s="1"/>
  <c r="O117" i="1"/>
  <c r="N116" i="1"/>
  <c r="AI117" i="1"/>
  <c r="Z117" i="1"/>
  <c r="Z138" i="1" s="1"/>
  <c r="V117" i="1"/>
  <c r="U117" i="1"/>
  <c r="W117" i="1"/>
  <c r="AM117" i="1"/>
  <c r="P117" i="1"/>
  <c r="AE117" i="1"/>
  <c r="AE138" i="1" s="1"/>
  <c r="R117" i="1"/>
  <c r="R128" i="1" s="1"/>
  <c r="D11" i="5" s="1"/>
  <c r="S117" i="1"/>
  <c r="X117" i="1"/>
  <c r="X128" i="1" s="1"/>
  <c r="D17" i="5" s="1"/>
  <c r="AG117" i="1"/>
  <c r="AG138" i="1" s="1"/>
  <c r="Y117" i="1"/>
  <c r="T117" i="1"/>
  <c r="T138" i="1" s="1"/>
  <c r="AJ117" i="1"/>
  <c r="AM124" i="1"/>
  <c r="AH17" i="3" s="1"/>
  <c r="L39" i="2"/>
  <c r="AM104" i="1"/>
  <c r="AM105" i="1"/>
  <c r="AM106" i="1"/>
  <c r="AM107" i="1"/>
  <c r="AM108" i="1"/>
  <c r="AM109" i="1"/>
  <c r="AM111" i="1"/>
  <c r="AM112" i="1"/>
  <c r="AM110" i="1"/>
  <c r="AM113" i="1"/>
  <c r="AM114" i="1"/>
  <c r="AM115" i="1"/>
  <c r="AM116" i="1"/>
  <c r="N39" i="2"/>
  <c r="AL26" i="1"/>
  <c r="AD121" i="1"/>
  <c r="Y6" i="3" s="1"/>
  <c r="AJ16" i="1"/>
  <c r="AE15" i="3" s="1"/>
  <c r="AM102" i="1"/>
  <c r="AM92" i="1"/>
  <c r="AM103" i="1"/>
  <c r="AM98" i="1"/>
  <c r="AM90" i="1"/>
  <c r="AM100" i="1"/>
  <c r="AM96" i="1"/>
  <c r="AM94" i="1"/>
  <c r="AM93" i="1"/>
  <c r="AM88" i="1"/>
  <c r="AM91" i="1"/>
  <c r="AM86" i="1"/>
  <c r="AM95" i="1"/>
  <c r="AM101" i="1"/>
  <c r="AM97" i="1"/>
  <c r="AM99" i="1"/>
  <c r="AM87" i="1"/>
  <c r="AM89" i="1"/>
  <c r="AM81" i="1"/>
  <c r="AM84" i="1"/>
  <c r="AM82" i="1"/>
  <c r="AM83" i="1"/>
  <c r="AM85" i="1"/>
  <c r="AM71" i="1"/>
  <c r="AM70" i="1"/>
  <c r="AM65" i="1"/>
  <c r="AM64" i="1"/>
  <c r="AM66" i="1"/>
  <c r="AM67" i="1"/>
  <c r="AM56" i="1"/>
  <c r="AH23" i="3" s="1"/>
  <c r="AM57" i="1"/>
  <c r="AM58" i="1"/>
  <c r="AM59" i="1"/>
  <c r="AM60" i="1"/>
  <c r="AM61" i="1"/>
  <c r="AM62" i="1"/>
  <c r="AM63" i="1"/>
  <c r="AM51" i="1"/>
  <c r="AM52" i="1"/>
  <c r="AM50" i="1"/>
  <c r="AM18" i="1"/>
  <c r="AM17" i="1"/>
  <c r="AM8" i="1"/>
  <c r="AM5" i="1"/>
  <c r="AM22" i="1"/>
  <c r="AM14" i="1"/>
  <c r="AH29" i="3" s="1"/>
  <c r="AN1" i="1"/>
  <c r="AM7" i="1"/>
  <c r="AM12" i="1"/>
  <c r="AM24" i="1"/>
  <c r="AM23" i="1"/>
  <c r="AM6" i="1"/>
  <c r="AM19" i="1"/>
  <c r="AK25" i="1"/>
  <c r="AN11" i="1" l="1"/>
  <c r="AN77" i="1"/>
  <c r="X138" i="1"/>
  <c r="V138" i="1"/>
  <c r="R138" i="1"/>
  <c r="M138" i="1"/>
  <c r="O138" i="1"/>
  <c r="U138" i="1"/>
  <c r="S138" i="1"/>
  <c r="Y138" i="1"/>
  <c r="W138" i="1"/>
  <c r="I138" i="1"/>
  <c r="AN9" i="1"/>
  <c r="AN10" i="1"/>
  <c r="AN55" i="1"/>
  <c r="AN54" i="1"/>
  <c r="AN53" i="1"/>
  <c r="AH21" i="3"/>
  <c r="AJ142" i="1"/>
  <c r="L138" i="1"/>
  <c r="AA138" i="1"/>
  <c r="K138" i="1"/>
  <c r="AD138" i="1"/>
  <c r="AM138" i="1"/>
  <c r="J138" i="1"/>
  <c r="P138" i="1"/>
  <c r="N138" i="1"/>
  <c r="X121" i="1"/>
  <c r="S6" i="3" s="1"/>
  <c r="R121" i="1"/>
  <c r="M6" i="3" s="1"/>
  <c r="AI1" i="3"/>
  <c r="A33" i="5" s="1"/>
  <c r="AH18" i="3"/>
  <c r="O80" i="2"/>
  <c r="Q80" i="2"/>
  <c r="AH22" i="3"/>
  <c r="AH28" i="3"/>
  <c r="AH16" i="3"/>
  <c r="O81" i="2"/>
  <c r="AN2" i="1"/>
  <c r="Q81" i="2"/>
  <c r="M39" i="2"/>
  <c r="AN124" i="1"/>
  <c r="AI17" i="3" s="1"/>
  <c r="L40" i="2"/>
  <c r="AN104" i="1"/>
  <c r="AN105" i="1"/>
  <c r="AN106" i="1"/>
  <c r="AN107" i="1"/>
  <c r="AN108" i="1"/>
  <c r="AN109" i="1"/>
  <c r="AN110" i="1"/>
  <c r="AN111" i="1"/>
  <c r="AN114" i="1"/>
  <c r="AN113" i="1"/>
  <c r="AN112" i="1"/>
  <c r="AN115" i="1"/>
  <c r="AN116" i="1"/>
  <c r="AN117" i="1"/>
  <c r="N40" i="2"/>
  <c r="AM26" i="1"/>
  <c r="AE4" i="3"/>
  <c r="C29" i="5" s="1"/>
  <c r="O36" i="2"/>
  <c r="AK16" i="1"/>
  <c r="AF15" i="3" s="1"/>
  <c r="AJ42" i="1"/>
  <c r="AE11" i="3" s="1"/>
  <c r="AJ127" i="1"/>
  <c r="AJ119" i="1" s="1"/>
  <c r="AJ128" i="1" s="1"/>
  <c r="D29" i="5" s="1"/>
  <c r="AN95" i="1"/>
  <c r="AN92" i="1"/>
  <c r="AN98" i="1"/>
  <c r="AN90" i="1"/>
  <c r="AN100" i="1"/>
  <c r="AN102" i="1"/>
  <c r="AN96" i="1"/>
  <c r="AN94" i="1"/>
  <c r="AN101" i="1"/>
  <c r="AN86" i="1"/>
  <c r="AN99" i="1"/>
  <c r="AN103" i="1"/>
  <c r="AN88" i="1"/>
  <c r="AN97" i="1"/>
  <c r="AN93" i="1"/>
  <c r="AN89" i="1"/>
  <c r="AN91" i="1"/>
  <c r="AN87" i="1"/>
  <c r="AN81" i="1"/>
  <c r="AN82" i="1"/>
  <c r="AN84" i="1"/>
  <c r="AN85" i="1"/>
  <c r="AN83" i="1"/>
  <c r="AJ75" i="1"/>
  <c r="AJ74" i="1"/>
  <c r="AN71" i="1"/>
  <c r="AN70" i="1"/>
  <c r="AN64" i="1"/>
  <c r="AN65" i="1"/>
  <c r="AN66" i="1"/>
  <c r="AN67" i="1"/>
  <c r="AN56" i="1"/>
  <c r="AI23" i="3" s="1"/>
  <c r="AN57" i="1"/>
  <c r="AN58" i="1"/>
  <c r="AN59" i="1"/>
  <c r="AN61" i="1"/>
  <c r="AN60" i="1"/>
  <c r="AN62" i="1"/>
  <c r="AN63" i="1"/>
  <c r="AN52" i="1"/>
  <c r="AN51" i="1"/>
  <c r="AN50" i="1"/>
  <c r="AN18" i="1"/>
  <c r="AN22" i="1"/>
  <c r="AN12" i="1"/>
  <c r="AN6" i="1"/>
  <c r="AN8" i="1"/>
  <c r="AN17" i="1"/>
  <c r="AN14" i="1"/>
  <c r="AI29" i="3" s="1"/>
  <c r="AN24" i="1"/>
  <c r="AN5" i="1"/>
  <c r="AO1" i="1"/>
  <c r="AN23" i="1"/>
  <c r="AN7" i="1"/>
  <c r="AN19" i="1"/>
  <c r="AL25" i="1"/>
  <c r="AO11" i="1" l="1"/>
  <c r="AO77" i="1"/>
  <c r="AJ121" i="1"/>
  <c r="AE6" i="3" s="1"/>
  <c r="AO9" i="1"/>
  <c r="AO10" i="1"/>
  <c r="AO53" i="1"/>
  <c r="AO55" i="1"/>
  <c r="AO54" i="1"/>
  <c r="AI21" i="3"/>
  <c r="AN138" i="1"/>
  <c r="AJ1" i="3"/>
  <c r="A34" i="5" s="1"/>
  <c r="AE24" i="3"/>
  <c r="AI18" i="3"/>
  <c r="AI28" i="3"/>
  <c r="AI22" i="3"/>
  <c r="AI16" i="3"/>
  <c r="AO2" i="1"/>
  <c r="O82" i="2"/>
  <c r="M40" i="2"/>
  <c r="AO124" i="1"/>
  <c r="AJ17" i="3" s="1"/>
  <c r="L41" i="2"/>
  <c r="AO104" i="1"/>
  <c r="AO105" i="1"/>
  <c r="AO106" i="1"/>
  <c r="AO108" i="1"/>
  <c r="AO107" i="1"/>
  <c r="AO109" i="1"/>
  <c r="AO110" i="1"/>
  <c r="AO111" i="1"/>
  <c r="AO113" i="1"/>
  <c r="AO112" i="1"/>
  <c r="AO114" i="1"/>
  <c r="AO115" i="1"/>
  <c r="AO116" i="1"/>
  <c r="AO117" i="1"/>
  <c r="N41" i="2"/>
  <c r="AN26" i="1"/>
  <c r="AL16" i="1"/>
  <c r="AG15" i="3" s="1"/>
  <c r="AO98" i="1"/>
  <c r="AO100" i="1"/>
  <c r="AO95" i="1"/>
  <c r="AO96" i="1"/>
  <c r="AO94" i="1"/>
  <c r="AO93" i="1"/>
  <c r="AO88" i="1"/>
  <c r="AO102" i="1"/>
  <c r="AO92" i="1"/>
  <c r="AO86" i="1"/>
  <c r="AO101" i="1"/>
  <c r="AO97" i="1"/>
  <c r="AO103" i="1"/>
  <c r="AO89" i="1"/>
  <c r="AO90" i="1"/>
  <c r="AO99" i="1"/>
  <c r="AO87" i="1"/>
  <c r="AO91" i="1"/>
  <c r="AO81" i="1"/>
  <c r="AO82" i="1"/>
  <c r="AO84" i="1"/>
  <c r="AO85" i="1"/>
  <c r="AO83" i="1"/>
  <c r="AO71" i="1"/>
  <c r="AO70" i="1"/>
  <c r="AO65" i="1"/>
  <c r="AO64" i="1"/>
  <c r="AO66" i="1"/>
  <c r="AO67" i="1"/>
  <c r="AO56" i="1"/>
  <c r="AJ23" i="3" s="1"/>
  <c r="AO57" i="1"/>
  <c r="AO58" i="1"/>
  <c r="AO59" i="1"/>
  <c r="AO60" i="1"/>
  <c r="AO61" i="1"/>
  <c r="AO62" i="1"/>
  <c r="AO63" i="1"/>
  <c r="AO50" i="1"/>
  <c r="AO51" i="1"/>
  <c r="AO52" i="1"/>
  <c r="AO19" i="1"/>
  <c r="AO18" i="1"/>
  <c r="AO14" i="1"/>
  <c r="AJ29" i="3" s="1"/>
  <c r="AP1" i="1"/>
  <c r="AO23" i="1"/>
  <c r="AO12" i="1"/>
  <c r="AO7" i="1"/>
  <c r="AO8" i="1"/>
  <c r="AO17" i="1"/>
  <c r="AO5" i="1"/>
  <c r="AO24" i="1"/>
  <c r="AO22" i="1"/>
  <c r="AO6" i="1"/>
  <c r="AM25" i="1"/>
  <c r="AP11" i="1" l="1"/>
  <c r="AP77" i="1"/>
  <c r="AP9" i="1"/>
  <c r="AP10" i="1"/>
  <c r="AP30" i="1"/>
  <c r="AP36" i="1" s="1"/>
  <c r="AP54" i="1"/>
  <c r="AP53" i="1"/>
  <c r="AP55" i="1"/>
  <c r="AJ21" i="3"/>
  <c r="AO138" i="1"/>
  <c r="AK1" i="3"/>
  <c r="A35" i="5" s="1"/>
  <c r="AJ28" i="3"/>
  <c r="AJ16" i="3"/>
  <c r="AJ22" i="3"/>
  <c r="AJ18" i="3"/>
  <c r="AP2" i="1"/>
  <c r="Q82" i="2"/>
  <c r="M41" i="2"/>
  <c r="AP124" i="1"/>
  <c r="AK17" i="3" s="1"/>
  <c r="L42" i="2"/>
  <c r="AP104" i="1"/>
  <c r="AP105" i="1"/>
  <c r="AP106" i="1"/>
  <c r="AP107" i="1"/>
  <c r="AP108" i="1"/>
  <c r="AP110" i="1"/>
  <c r="AP109" i="1"/>
  <c r="AP111" i="1"/>
  <c r="AP112" i="1"/>
  <c r="AP113" i="1"/>
  <c r="AP116" i="1"/>
  <c r="AP114" i="1"/>
  <c r="AP115" i="1"/>
  <c r="AP117" i="1"/>
  <c r="N42" i="2"/>
  <c r="AO26" i="1"/>
  <c r="AM16" i="1"/>
  <c r="AH15" i="3" s="1"/>
  <c r="AP103" i="1"/>
  <c r="AP100" i="1"/>
  <c r="AP96" i="1"/>
  <c r="AP94" i="1"/>
  <c r="AP88" i="1"/>
  <c r="AP102" i="1"/>
  <c r="AP93" i="1"/>
  <c r="AP92" i="1"/>
  <c r="AP98" i="1"/>
  <c r="AP95" i="1"/>
  <c r="AP101" i="1"/>
  <c r="AP89" i="1"/>
  <c r="AP99" i="1"/>
  <c r="AP97" i="1"/>
  <c r="AP90" i="1"/>
  <c r="AP86" i="1"/>
  <c r="AP87" i="1"/>
  <c r="AP91" i="1"/>
  <c r="AP81" i="1"/>
  <c r="AP84" i="1"/>
  <c r="AP82" i="1"/>
  <c r="AP83" i="1"/>
  <c r="AP85" i="1"/>
  <c r="AP70" i="1"/>
  <c r="AP71" i="1"/>
  <c r="AP64" i="1"/>
  <c r="AP65" i="1"/>
  <c r="AP66" i="1"/>
  <c r="AP67" i="1"/>
  <c r="AP56" i="1"/>
  <c r="AK23" i="3" s="1"/>
  <c r="AP57" i="1"/>
  <c r="AP58" i="1"/>
  <c r="AP59" i="1"/>
  <c r="AP60" i="1"/>
  <c r="AP61" i="1"/>
  <c r="AP62" i="1"/>
  <c r="AP63" i="1"/>
  <c r="AP52" i="1"/>
  <c r="AP51" i="1"/>
  <c r="AP50" i="1"/>
  <c r="AP18" i="1"/>
  <c r="AP7" i="1"/>
  <c r="AP5" i="1"/>
  <c r="AP6" i="1"/>
  <c r="AP14" i="1"/>
  <c r="AK29" i="3" s="1"/>
  <c r="AQ1" i="1"/>
  <c r="AP22" i="1"/>
  <c r="AP8" i="1"/>
  <c r="AP23" i="1"/>
  <c r="AP24" i="1"/>
  <c r="AP12" i="1"/>
  <c r="AP17" i="1"/>
  <c r="AP19" i="1"/>
  <c r="AN25" i="1"/>
  <c r="AQ11" i="1" l="1"/>
  <c r="AQ77" i="1"/>
  <c r="AQ9" i="1"/>
  <c r="AQ10" i="1"/>
  <c r="AP37" i="1"/>
  <c r="AP46" i="1" s="1"/>
  <c r="AK21" i="3"/>
  <c r="AQ55" i="1"/>
  <c r="AQ54" i="1"/>
  <c r="AQ53" i="1"/>
  <c r="AP45" i="1"/>
  <c r="AP27" i="1"/>
  <c r="AP138" i="1"/>
  <c r="AL1" i="3"/>
  <c r="A36" i="5" s="1"/>
  <c r="AK18" i="3"/>
  <c r="AK28" i="3"/>
  <c r="AK16" i="3"/>
  <c r="AK22" i="3"/>
  <c r="AQ2" i="1"/>
  <c r="O83" i="2"/>
  <c r="M42" i="2"/>
  <c r="AQ124" i="1"/>
  <c r="AL17" i="3" s="1"/>
  <c r="L43" i="2"/>
  <c r="AQ104" i="1"/>
  <c r="AQ105" i="1"/>
  <c r="AQ106" i="1"/>
  <c r="AQ107" i="1"/>
  <c r="AQ108" i="1"/>
  <c r="AQ109" i="1"/>
  <c r="AQ110" i="1"/>
  <c r="AQ111" i="1"/>
  <c r="AQ112" i="1"/>
  <c r="AQ113" i="1"/>
  <c r="AQ115" i="1"/>
  <c r="AQ116" i="1"/>
  <c r="AQ114" i="1"/>
  <c r="AQ117" i="1"/>
  <c r="N43" i="2"/>
  <c r="AP26" i="1"/>
  <c r="AN16" i="1"/>
  <c r="AI15" i="3" s="1"/>
  <c r="AQ100" i="1"/>
  <c r="AQ96" i="1"/>
  <c r="AQ94" i="1"/>
  <c r="AQ88" i="1"/>
  <c r="AQ102" i="1"/>
  <c r="AQ99" i="1"/>
  <c r="AQ93" i="1"/>
  <c r="AQ92" i="1"/>
  <c r="AQ98" i="1"/>
  <c r="AQ101" i="1"/>
  <c r="AQ103" i="1"/>
  <c r="AQ86" i="1"/>
  <c r="AQ89" i="1"/>
  <c r="AQ95" i="1"/>
  <c r="AQ90" i="1"/>
  <c r="AQ97" i="1"/>
  <c r="AQ91" i="1"/>
  <c r="AQ87" i="1"/>
  <c r="AQ81" i="1"/>
  <c r="AQ82" i="1"/>
  <c r="AQ84" i="1"/>
  <c r="AQ83" i="1"/>
  <c r="AQ85" i="1"/>
  <c r="AQ70" i="1"/>
  <c r="AQ71" i="1"/>
  <c r="AQ65" i="1"/>
  <c r="AQ64" i="1"/>
  <c r="AQ66" i="1"/>
  <c r="AQ67" i="1"/>
  <c r="AQ56" i="1"/>
  <c r="AL23" i="3" s="1"/>
  <c r="AQ57" i="1"/>
  <c r="AQ58" i="1"/>
  <c r="AQ59" i="1"/>
  <c r="AQ60" i="1"/>
  <c r="AQ61" i="1"/>
  <c r="AQ62" i="1"/>
  <c r="AQ63" i="1"/>
  <c r="AQ50" i="1"/>
  <c r="AQ52" i="1"/>
  <c r="AQ51" i="1"/>
  <c r="AQ19" i="1"/>
  <c r="AQ18" i="1"/>
  <c r="AQ22" i="1"/>
  <c r="AQ8" i="1"/>
  <c r="AQ7" i="1"/>
  <c r="AQ6" i="1"/>
  <c r="AR1" i="1"/>
  <c r="AQ12" i="1"/>
  <c r="AQ17" i="1"/>
  <c r="AQ23" i="1"/>
  <c r="AQ14" i="1"/>
  <c r="AL29" i="3" s="1"/>
  <c r="AQ24" i="1"/>
  <c r="AQ5" i="1"/>
  <c r="AO25" i="1"/>
  <c r="AR11" i="1" l="1"/>
  <c r="G11" i="1" s="1"/>
  <c r="AR77" i="1"/>
  <c r="AR9" i="1"/>
  <c r="G9" i="1" s="1"/>
  <c r="AR10" i="1"/>
  <c r="G10" i="1" s="1"/>
  <c r="AR55" i="1"/>
  <c r="G55" i="1" s="1"/>
  <c r="AR53" i="1"/>
  <c r="G53" i="1" s="1"/>
  <c r="AR54" i="1"/>
  <c r="G54" i="1" s="1"/>
  <c r="AL21" i="3"/>
  <c r="I30" i="1"/>
  <c r="J35" i="1"/>
  <c r="J30" i="1"/>
  <c r="K35" i="1"/>
  <c r="K30" i="1"/>
  <c r="I35" i="1"/>
  <c r="M30" i="1"/>
  <c r="M35" i="1"/>
  <c r="L35" i="1"/>
  <c r="L30" i="1"/>
  <c r="N30" i="1"/>
  <c r="N35" i="1"/>
  <c r="AQ138" i="1"/>
  <c r="J44" i="1"/>
  <c r="K44" i="1"/>
  <c r="L44" i="1"/>
  <c r="L40" i="1" s="1"/>
  <c r="I44" i="1"/>
  <c r="M44" i="1"/>
  <c r="N44" i="1"/>
  <c r="O44" i="1"/>
  <c r="P44" i="1"/>
  <c r="Q44" i="1"/>
  <c r="Q40" i="1" s="1"/>
  <c r="S44" i="1"/>
  <c r="R44" i="1"/>
  <c r="T44" i="1"/>
  <c r="AM1" i="3"/>
  <c r="A37" i="5" s="1"/>
  <c r="AL18" i="3"/>
  <c r="AL16" i="3"/>
  <c r="AL28" i="3"/>
  <c r="AL22" i="3"/>
  <c r="AR2" i="1"/>
  <c r="Q83" i="2"/>
  <c r="M43" i="2"/>
  <c r="AR124" i="1"/>
  <c r="L44" i="2"/>
  <c r="AR104" i="1"/>
  <c r="G104" i="1" s="1"/>
  <c r="AR105" i="1"/>
  <c r="G105" i="1" s="1"/>
  <c r="AR106" i="1"/>
  <c r="G106" i="1" s="1"/>
  <c r="AR107" i="1"/>
  <c r="G107" i="1" s="1"/>
  <c r="AR108" i="1"/>
  <c r="G108" i="1" s="1"/>
  <c r="AR109" i="1"/>
  <c r="G109" i="1" s="1"/>
  <c r="AR110" i="1"/>
  <c r="G110" i="1" s="1"/>
  <c r="AR111" i="1"/>
  <c r="G111" i="1" s="1"/>
  <c r="AR112" i="1"/>
  <c r="G112" i="1" s="1"/>
  <c r="AR113" i="1"/>
  <c r="G113" i="1" s="1"/>
  <c r="AR114" i="1"/>
  <c r="G114" i="1" s="1"/>
  <c r="AR115" i="1"/>
  <c r="G115" i="1" s="1"/>
  <c r="AR116" i="1"/>
  <c r="G116" i="1" s="1"/>
  <c r="AR117" i="1"/>
  <c r="G117" i="1" s="1"/>
  <c r="N44" i="2"/>
  <c r="AR26" i="1" s="1"/>
  <c r="AQ26" i="1"/>
  <c r="AO16" i="1"/>
  <c r="AJ15" i="3" s="1"/>
  <c r="AR96" i="1"/>
  <c r="G96" i="1" s="1"/>
  <c r="AR94" i="1"/>
  <c r="G94" i="1" s="1"/>
  <c r="AR88" i="1"/>
  <c r="G88" i="1" s="1"/>
  <c r="AR102" i="1"/>
  <c r="G102" i="1" s="1"/>
  <c r="AR100" i="1"/>
  <c r="G100" i="1" s="1"/>
  <c r="AR93" i="1"/>
  <c r="G93" i="1" s="1"/>
  <c r="AR92" i="1"/>
  <c r="G92" i="1" s="1"/>
  <c r="AR98" i="1"/>
  <c r="G98" i="1" s="1"/>
  <c r="AR89" i="1"/>
  <c r="G89" i="1" s="1"/>
  <c r="AR95" i="1"/>
  <c r="G95" i="1" s="1"/>
  <c r="AR86" i="1"/>
  <c r="G86" i="1" s="1"/>
  <c r="AR103" i="1"/>
  <c r="G103" i="1" s="1"/>
  <c r="AR99" i="1"/>
  <c r="G99" i="1" s="1"/>
  <c r="AR90" i="1"/>
  <c r="G90" i="1" s="1"/>
  <c r="AR101" i="1"/>
  <c r="G101" i="1" s="1"/>
  <c r="AR97" i="1"/>
  <c r="G97" i="1" s="1"/>
  <c r="AR91" i="1"/>
  <c r="G91" i="1" s="1"/>
  <c r="AR87" i="1"/>
  <c r="G87" i="1" s="1"/>
  <c r="AR81" i="1"/>
  <c r="AR84" i="1"/>
  <c r="AR82" i="1"/>
  <c r="AR85" i="1"/>
  <c r="G85" i="1" s="1"/>
  <c r="AR83" i="1"/>
  <c r="AR71" i="1"/>
  <c r="G71" i="1" s="1"/>
  <c r="AR70" i="1"/>
  <c r="AR64" i="1"/>
  <c r="G64" i="1" s="1"/>
  <c r="AR65" i="1"/>
  <c r="G65" i="1" s="1"/>
  <c r="AR66" i="1"/>
  <c r="G66" i="1" s="1"/>
  <c r="AR67" i="1"/>
  <c r="G67" i="1" s="1"/>
  <c r="AR56" i="1"/>
  <c r="AR57" i="1"/>
  <c r="AR58" i="1"/>
  <c r="G58" i="1" s="1"/>
  <c r="AR59" i="1"/>
  <c r="G59" i="1" s="1"/>
  <c r="AR60" i="1"/>
  <c r="G60" i="1" s="1"/>
  <c r="AR61" i="1"/>
  <c r="G61" i="1" s="1"/>
  <c r="AR62" i="1"/>
  <c r="G62" i="1" s="1"/>
  <c r="AR63" i="1"/>
  <c r="G63" i="1" s="1"/>
  <c r="AR52" i="1"/>
  <c r="G52" i="1" s="1"/>
  <c r="AR50" i="1"/>
  <c r="AR51" i="1"/>
  <c r="G51" i="1" s="1"/>
  <c r="AR19" i="1"/>
  <c r="AR18" i="1"/>
  <c r="AR17" i="1"/>
  <c r="AR6" i="1"/>
  <c r="G6" i="1" s="1"/>
  <c r="AR8" i="1"/>
  <c r="G8" i="1" s="1"/>
  <c r="AR22" i="1"/>
  <c r="AR24" i="1"/>
  <c r="G24" i="1" s="1"/>
  <c r="AR14" i="1"/>
  <c r="AR23" i="1"/>
  <c r="G23" i="1" s="1"/>
  <c r="AR12" i="1"/>
  <c r="G12" i="1" s="1"/>
  <c r="AR5" i="1"/>
  <c r="AR7" i="1"/>
  <c r="G7" i="1" s="1"/>
  <c r="AP25" i="1"/>
  <c r="AM21" i="3" l="1"/>
  <c r="K36" i="1"/>
  <c r="K37" i="1"/>
  <c r="K46" i="1" s="1"/>
  <c r="K33" i="1"/>
  <c r="N37" i="1"/>
  <c r="N46" i="1" s="1"/>
  <c r="N36" i="1"/>
  <c r="N33" i="1"/>
  <c r="J36" i="1"/>
  <c r="J37" i="1"/>
  <c r="J46" i="1" s="1"/>
  <c r="J33" i="1"/>
  <c r="L37" i="1"/>
  <c r="L46" i="1" s="1"/>
  <c r="L36" i="1"/>
  <c r="L33" i="1"/>
  <c r="M36" i="1"/>
  <c r="M37" i="1"/>
  <c r="M46" i="1" s="1"/>
  <c r="M33" i="1"/>
  <c r="I36" i="1"/>
  <c r="I37" i="1"/>
  <c r="I46" i="1" s="1"/>
  <c r="I33" i="1"/>
  <c r="AR138" i="1"/>
  <c r="G84" i="1"/>
  <c r="G83" i="1"/>
  <c r="G72" i="2"/>
  <c r="G88" i="2"/>
  <c r="AP33" i="1"/>
  <c r="AP28" i="1"/>
  <c r="AP142" i="1" s="1"/>
  <c r="P40" i="1"/>
  <c r="O40" i="1"/>
  <c r="M40" i="1"/>
  <c r="I40" i="1"/>
  <c r="S40" i="1"/>
  <c r="N40" i="1"/>
  <c r="T40" i="1"/>
  <c r="R40" i="1"/>
  <c r="K40" i="1"/>
  <c r="J40" i="1"/>
  <c r="AM16" i="3"/>
  <c r="G70" i="1"/>
  <c r="AM18" i="3"/>
  <c r="AM28" i="3"/>
  <c r="G14" i="1"/>
  <c r="AM29" i="3"/>
  <c r="G50" i="1"/>
  <c r="G57" i="1"/>
  <c r="AM22" i="3"/>
  <c r="G124" i="1"/>
  <c r="AM17" i="3"/>
  <c r="G56" i="1"/>
  <c r="AM23" i="3"/>
  <c r="Q84" i="2"/>
  <c r="O84" i="2"/>
  <c r="M44" i="2"/>
  <c r="G81" i="1"/>
  <c r="G82" i="1"/>
  <c r="G22" i="1"/>
  <c r="AP16" i="1"/>
  <c r="AK15" i="3" s="1"/>
  <c r="AQ25" i="1"/>
  <c r="M74" i="1" l="1"/>
  <c r="M75" i="1"/>
  <c r="J45" i="1"/>
  <c r="J27" i="1"/>
  <c r="J28" i="1" s="1"/>
  <c r="N74" i="1"/>
  <c r="N75" i="1"/>
  <c r="I34" i="1"/>
  <c r="I75" i="1"/>
  <c r="I74" i="1"/>
  <c r="L74" i="1"/>
  <c r="L75" i="1"/>
  <c r="L45" i="1"/>
  <c r="L27" i="1"/>
  <c r="L28" i="1" s="1"/>
  <c r="N45" i="1"/>
  <c r="N27" i="1"/>
  <c r="N28" i="1" s="1"/>
  <c r="I45" i="1"/>
  <c r="I27" i="1"/>
  <c r="I28" i="1" s="1"/>
  <c r="K75" i="1"/>
  <c r="K74" i="1"/>
  <c r="J75" i="1"/>
  <c r="J74" i="1"/>
  <c r="M45" i="1"/>
  <c r="M27" i="1"/>
  <c r="M28" i="1" s="1"/>
  <c r="K27" i="1"/>
  <c r="K28" i="1" s="1"/>
  <c r="K45" i="1"/>
  <c r="B16" i="3"/>
  <c r="D16" i="4"/>
  <c r="B23" i="3"/>
  <c r="D23" i="4"/>
  <c r="B29" i="3"/>
  <c r="D29" i="4"/>
  <c r="B21" i="3"/>
  <c r="D21" i="4"/>
  <c r="B28" i="3"/>
  <c r="D28" i="4"/>
  <c r="B17" i="3"/>
  <c r="D17" i="4"/>
  <c r="B18" i="3"/>
  <c r="D18" i="4"/>
  <c r="B22" i="3"/>
  <c r="D22" i="4"/>
  <c r="AK4" i="3"/>
  <c r="C35" i="5" s="1"/>
  <c r="O42" i="2"/>
  <c r="AP127" i="1"/>
  <c r="AP119" i="1" s="1"/>
  <c r="AP42" i="1"/>
  <c r="AK11" i="3" s="1"/>
  <c r="AQ16" i="1"/>
  <c r="AL15" i="3" s="1"/>
  <c r="AP74" i="1"/>
  <c r="AP75" i="1"/>
  <c r="AR25" i="1"/>
  <c r="AP128" i="1" l="1"/>
  <c r="D35" i="5" s="1"/>
  <c r="AP121" i="1"/>
  <c r="AK6" i="3" s="1"/>
  <c r="F24" i="3"/>
  <c r="G24" i="3"/>
  <c r="N42" i="1"/>
  <c r="I11" i="3" s="1"/>
  <c r="N142" i="1"/>
  <c r="N127" i="1"/>
  <c r="N119" i="1" s="1"/>
  <c r="I4" i="3"/>
  <c r="C7" i="5" s="1"/>
  <c r="O14" i="2"/>
  <c r="T30" i="1"/>
  <c r="D24" i="3"/>
  <c r="K142" i="1"/>
  <c r="K42" i="1"/>
  <c r="F11" i="3" s="1"/>
  <c r="O11" i="2"/>
  <c r="K127" i="1"/>
  <c r="K119" i="1" s="1"/>
  <c r="F4" i="3"/>
  <c r="C4" i="5" s="1"/>
  <c r="Q30" i="1"/>
  <c r="L42" i="1"/>
  <c r="G11" i="3" s="1"/>
  <c r="L127" i="1"/>
  <c r="L119" i="1" s="1"/>
  <c r="O12" i="2"/>
  <c r="L142" i="1"/>
  <c r="G4" i="3"/>
  <c r="C5" i="5" s="1"/>
  <c r="R30" i="1"/>
  <c r="J34" i="1"/>
  <c r="I38" i="1"/>
  <c r="J142" i="1"/>
  <c r="J127" i="1"/>
  <c r="J119" i="1" s="1"/>
  <c r="J42" i="1"/>
  <c r="E11" i="3" s="1"/>
  <c r="O10" i="2"/>
  <c r="E4" i="3"/>
  <c r="C3" i="5" s="1"/>
  <c r="P30" i="1"/>
  <c r="M142" i="1"/>
  <c r="H4" i="3"/>
  <c r="C6" i="5" s="1"/>
  <c r="S30" i="1"/>
  <c r="M42" i="1"/>
  <c r="H11" i="3" s="1"/>
  <c r="O13" i="2"/>
  <c r="M127" i="1"/>
  <c r="M119" i="1" s="1"/>
  <c r="H24" i="3"/>
  <c r="O30" i="1"/>
  <c r="I42" i="1"/>
  <c r="D11" i="3" s="1"/>
  <c r="D4" i="3"/>
  <c r="I127" i="1"/>
  <c r="I142" i="1"/>
  <c r="O9" i="2"/>
  <c r="P9" i="2" s="1"/>
  <c r="I29" i="1"/>
  <c r="E24" i="3"/>
  <c r="I24" i="3"/>
  <c r="AK24" i="3"/>
  <c r="AR16" i="1"/>
  <c r="G25" i="1"/>
  <c r="G26" i="1" s="1"/>
  <c r="K128" i="1" l="1"/>
  <c r="D4" i="5" s="1"/>
  <c r="K121" i="1"/>
  <c r="F6" i="3" s="1"/>
  <c r="M128" i="1"/>
  <c r="D6" i="5" s="1"/>
  <c r="M121" i="1"/>
  <c r="H6" i="3" s="1"/>
  <c r="J128" i="1"/>
  <c r="D3" i="5" s="1"/>
  <c r="J121" i="1"/>
  <c r="E6" i="3" s="1"/>
  <c r="L128" i="1"/>
  <c r="D5" i="5" s="1"/>
  <c r="L121" i="1"/>
  <c r="G6" i="3" s="1"/>
  <c r="N128" i="1"/>
  <c r="D7" i="5" s="1"/>
  <c r="N121" i="1"/>
  <c r="I6" i="3" s="1"/>
  <c r="I130" i="1"/>
  <c r="I119" i="1"/>
  <c r="P10" i="2"/>
  <c r="P11" i="2" s="1"/>
  <c r="P12" i="2" s="1"/>
  <c r="P13" i="2" s="1"/>
  <c r="P14" i="2" s="1"/>
  <c r="T37" i="1"/>
  <c r="T46" i="1" s="1"/>
  <c r="T36" i="1"/>
  <c r="T33" i="1"/>
  <c r="C2" i="5"/>
  <c r="I39" i="1"/>
  <c r="D5" i="3"/>
  <c r="Q36" i="1"/>
  <c r="Q37" i="1"/>
  <c r="Q46" i="1" s="1"/>
  <c r="Q33" i="1"/>
  <c r="S37" i="1"/>
  <c r="S46" i="1" s="1"/>
  <c r="S36" i="1"/>
  <c r="S33" i="1"/>
  <c r="J38" i="1"/>
  <c r="K34" i="1"/>
  <c r="O36" i="1"/>
  <c r="O37" i="1"/>
  <c r="O46" i="1" s="1"/>
  <c r="O33" i="1"/>
  <c r="P37" i="1"/>
  <c r="P46" i="1" s="1"/>
  <c r="P36" i="1"/>
  <c r="P33" i="1"/>
  <c r="R37" i="1"/>
  <c r="R46" i="1" s="1"/>
  <c r="R36" i="1"/>
  <c r="R33" i="1"/>
  <c r="J130" i="1"/>
  <c r="I31" i="1"/>
  <c r="O35" i="1" s="1"/>
  <c r="J29" i="1"/>
  <c r="G16" i="1"/>
  <c r="AM15" i="3"/>
  <c r="G5" i="1"/>
  <c r="I128" i="1" l="1"/>
  <c r="I121" i="1"/>
  <c r="D6" i="3" s="1"/>
  <c r="D8" i="3" s="1"/>
  <c r="S27" i="1"/>
  <c r="S28" i="1" s="1"/>
  <c r="S45" i="1"/>
  <c r="T74" i="1"/>
  <c r="T75" i="1"/>
  <c r="P27" i="1"/>
  <c r="P28" i="1" s="1"/>
  <c r="P45" i="1"/>
  <c r="Q74" i="1"/>
  <c r="Q75" i="1"/>
  <c r="Q45" i="1"/>
  <c r="Q27" i="1"/>
  <c r="Q28" i="1" s="1"/>
  <c r="R45" i="1"/>
  <c r="R27" i="1"/>
  <c r="K38" i="1"/>
  <c r="L34" i="1"/>
  <c r="T45" i="1"/>
  <c r="T27" i="1"/>
  <c r="T28" i="1" s="1"/>
  <c r="O45" i="1"/>
  <c r="O27" i="1"/>
  <c r="O28" i="1" s="1"/>
  <c r="J39" i="1"/>
  <c r="E5" i="3"/>
  <c r="E8" i="3" s="1"/>
  <c r="U44" i="1"/>
  <c r="U40" i="1" s="1"/>
  <c r="I43" i="1"/>
  <c r="D12" i="3" s="1"/>
  <c r="J31" i="1"/>
  <c r="P35" i="1" s="1"/>
  <c r="K29" i="1"/>
  <c r="O75" i="1"/>
  <c r="O74" i="1"/>
  <c r="K130" i="1"/>
  <c r="R75" i="1"/>
  <c r="R74" i="1"/>
  <c r="P75" i="1"/>
  <c r="P74" i="1"/>
  <c r="S74" i="1"/>
  <c r="S75" i="1"/>
  <c r="B15" i="3"/>
  <c r="D15" i="4"/>
  <c r="L24" i="3" l="1"/>
  <c r="D2" i="5"/>
  <c r="I131" i="1"/>
  <c r="M24" i="3"/>
  <c r="N24" i="3"/>
  <c r="K24" i="3"/>
  <c r="J24" i="3"/>
  <c r="L38" i="1"/>
  <c r="M34" i="1"/>
  <c r="D31" i="3"/>
  <c r="D33" i="3" s="1"/>
  <c r="L130" i="1"/>
  <c r="V44" i="1"/>
  <c r="V40" i="1" s="1"/>
  <c r="J43" i="1"/>
  <c r="E12" i="3" s="1"/>
  <c r="E31" i="3" s="1"/>
  <c r="E33" i="3" s="1"/>
  <c r="K39" i="1"/>
  <c r="F5" i="3"/>
  <c r="P142" i="1"/>
  <c r="P127" i="1"/>
  <c r="P119" i="1" s="1"/>
  <c r="V30" i="1"/>
  <c r="P42" i="1"/>
  <c r="K11" i="3" s="1"/>
  <c r="O16" i="2"/>
  <c r="K4" i="3"/>
  <c r="C9" i="5" s="1"/>
  <c r="O142" i="1"/>
  <c r="U30" i="1"/>
  <c r="J4" i="3"/>
  <c r="O127" i="1"/>
  <c r="O119" i="1" s="1"/>
  <c r="O42" i="1"/>
  <c r="O15" i="2"/>
  <c r="P15" i="2" s="1"/>
  <c r="O24" i="3"/>
  <c r="K31" i="1"/>
  <c r="Q35" i="1" s="1"/>
  <c r="L29" i="1"/>
  <c r="O20" i="2"/>
  <c r="T42" i="1"/>
  <c r="O11" i="3" s="1"/>
  <c r="O4" i="3"/>
  <c r="C13" i="5" s="1"/>
  <c r="T142" i="1"/>
  <c r="T127" i="1"/>
  <c r="T119" i="1" s="1"/>
  <c r="Z30" i="1"/>
  <c r="Q127" i="1"/>
  <c r="Q119" i="1" s="1"/>
  <c r="L4" i="3"/>
  <c r="C10" i="5" s="1"/>
  <c r="W30" i="1"/>
  <c r="Q142" i="1"/>
  <c r="Q42" i="1"/>
  <c r="L11" i="3" s="1"/>
  <c r="O17" i="2"/>
  <c r="S127" i="1"/>
  <c r="S119" i="1" s="1"/>
  <c r="S42" i="1"/>
  <c r="N11" i="3" s="1"/>
  <c r="N4" i="3"/>
  <c r="C12" i="5" s="1"/>
  <c r="S142" i="1"/>
  <c r="O19" i="2"/>
  <c r="Y30" i="1"/>
  <c r="S128" i="1" l="1"/>
  <c r="D12" i="5" s="1"/>
  <c r="S121" i="1"/>
  <c r="N6" i="3" s="1"/>
  <c r="Q128" i="1"/>
  <c r="D10" i="5" s="1"/>
  <c r="Q121" i="1"/>
  <c r="L6" i="3" s="1"/>
  <c r="O128" i="1"/>
  <c r="O121" i="1"/>
  <c r="J6" i="3" s="1"/>
  <c r="P128" i="1"/>
  <c r="D9" i="5" s="1"/>
  <c r="P121" i="1"/>
  <c r="K6" i="3" s="1"/>
  <c r="J131" i="1"/>
  <c r="I133" i="1"/>
  <c r="T128" i="1"/>
  <c r="D13" i="5" s="1"/>
  <c r="T121" i="1"/>
  <c r="O6" i="3" s="1"/>
  <c r="B24" i="4"/>
  <c r="J11" i="3"/>
  <c r="B11" i="4" s="1"/>
  <c r="V36" i="1"/>
  <c r="V37" i="1"/>
  <c r="V46" i="1" s="1"/>
  <c r="V33" i="1"/>
  <c r="M130" i="1"/>
  <c r="W37" i="1"/>
  <c r="W46" i="1" s="1"/>
  <c r="W36" i="1"/>
  <c r="W33" i="1"/>
  <c r="C8" i="5"/>
  <c r="B4" i="4"/>
  <c r="E2" i="5"/>
  <c r="I135" i="1"/>
  <c r="D34" i="3"/>
  <c r="L31" i="1"/>
  <c r="R35" i="1" s="1"/>
  <c r="M29" i="1"/>
  <c r="U36" i="1"/>
  <c r="U37" i="1"/>
  <c r="U46" i="1" s="1"/>
  <c r="U33" i="1"/>
  <c r="F8" i="3"/>
  <c r="W44" i="1"/>
  <c r="W40" i="1" s="1"/>
  <c r="K43" i="1"/>
  <c r="F12" i="3" s="1"/>
  <c r="F31" i="3" s="1"/>
  <c r="M38" i="1"/>
  <c r="N34" i="1"/>
  <c r="Z37" i="1"/>
  <c r="Z46" i="1" s="1"/>
  <c r="Z36" i="1"/>
  <c r="Z33" i="1"/>
  <c r="J135" i="1"/>
  <c r="E3" i="5"/>
  <c r="L39" i="1"/>
  <c r="G5" i="3"/>
  <c r="G8" i="3" s="1"/>
  <c r="Y37" i="1"/>
  <c r="Y46" i="1" s="1"/>
  <c r="Y36" i="1"/>
  <c r="Y33" i="1"/>
  <c r="P16" i="2"/>
  <c r="P17" i="2" s="1"/>
  <c r="P18" i="2" s="1"/>
  <c r="P19" i="2" s="1"/>
  <c r="P20" i="2" s="1"/>
  <c r="B6" i="4" l="1"/>
  <c r="D8" i="5"/>
  <c r="K131" i="1"/>
  <c r="J133" i="1"/>
  <c r="F33" i="3"/>
  <c r="K135" i="1" s="1"/>
  <c r="I136" i="1"/>
  <c r="E34" i="3"/>
  <c r="M39" i="1"/>
  <c r="H5" i="3"/>
  <c r="H8" i="3" s="1"/>
  <c r="N130" i="1"/>
  <c r="X44" i="1"/>
  <c r="X40" i="1" s="1"/>
  <c r="L43" i="1"/>
  <c r="G12" i="3" s="1"/>
  <c r="O34" i="1"/>
  <c r="N38" i="1"/>
  <c r="V75" i="1"/>
  <c r="V74" i="1"/>
  <c r="Y74" i="1"/>
  <c r="Y75" i="1"/>
  <c r="Z27" i="1"/>
  <c r="Z28" i="1" s="1"/>
  <c r="Z45" i="1"/>
  <c r="U45" i="1"/>
  <c r="U27" i="1"/>
  <c r="U28" i="1" s="1"/>
  <c r="V45" i="1"/>
  <c r="V27" i="1"/>
  <c r="V28" i="1" s="1"/>
  <c r="Y27" i="1"/>
  <c r="Y28" i="1" s="1"/>
  <c r="Y45" i="1"/>
  <c r="N29" i="1"/>
  <c r="M31" i="1"/>
  <c r="S35" i="1" s="1"/>
  <c r="W74" i="1"/>
  <c r="W75" i="1"/>
  <c r="U74" i="1"/>
  <c r="U75" i="1"/>
  <c r="Z74" i="1"/>
  <c r="Z75" i="1"/>
  <c r="W45" i="1"/>
  <c r="W27" i="1"/>
  <c r="W28" i="1" s="1"/>
  <c r="L131" i="1" l="1"/>
  <c r="K133" i="1"/>
  <c r="E4" i="5"/>
  <c r="Q24" i="3"/>
  <c r="U24" i="3"/>
  <c r="T24" i="3"/>
  <c r="P24" i="3"/>
  <c r="O130" i="1"/>
  <c r="Y44" i="1"/>
  <c r="Y40" i="1" s="1"/>
  <c r="M43" i="1"/>
  <c r="H12" i="3" s="1"/>
  <c r="H31" i="3" s="1"/>
  <c r="H33" i="3" s="1"/>
  <c r="N31" i="1"/>
  <c r="T35" i="1" s="1"/>
  <c r="O29" i="1"/>
  <c r="F34" i="3"/>
  <c r="K136" i="1" s="1"/>
  <c r="J136" i="1"/>
  <c r="Y142" i="1"/>
  <c r="T4" i="3"/>
  <c r="C18" i="5" s="1"/>
  <c r="O25" i="2"/>
  <c r="Y42" i="1"/>
  <c r="T11" i="3" s="1"/>
  <c r="Y127" i="1"/>
  <c r="Y119" i="1" s="1"/>
  <c r="AE30" i="1"/>
  <c r="V142" i="1"/>
  <c r="Q4" i="3"/>
  <c r="C15" i="5" s="1"/>
  <c r="V127" i="1"/>
  <c r="V119" i="1" s="1"/>
  <c r="O22" i="2"/>
  <c r="V42" i="1"/>
  <c r="Q11" i="3" s="1"/>
  <c r="AB30" i="1"/>
  <c r="O23" i="2"/>
  <c r="W142" i="1"/>
  <c r="R4" i="3"/>
  <c r="C16" i="5" s="1"/>
  <c r="W42" i="1"/>
  <c r="R11" i="3" s="1"/>
  <c r="W127" i="1"/>
  <c r="W119" i="1" s="1"/>
  <c r="AC30" i="1"/>
  <c r="O21" i="2"/>
  <c r="P21" i="2" s="1"/>
  <c r="U127" i="1"/>
  <c r="U119" i="1" s="1"/>
  <c r="P4" i="3"/>
  <c r="U142" i="1"/>
  <c r="U42" i="1"/>
  <c r="AA30" i="1"/>
  <c r="R24" i="3"/>
  <c r="Z42" i="1"/>
  <c r="U11" i="3" s="1"/>
  <c r="Z127" i="1"/>
  <c r="Z119" i="1" s="1"/>
  <c r="O26" i="2"/>
  <c r="Z142" i="1"/>
  <c r="U4" i="3"/>
  <c r="C19" i="5" s="1"/>
  <c r="AF30" i="1"/>
  <c r="N39" i="1"/>
  <c r="I5" i="3"/>
  <c r="P34" i="1"/>
  <c r="O38" i="1"/>
  <c r="W128" i="1" l="1"/>
  <c r="D16" i="5" s="1"/>
  <c r="W121" i="1"/>
  <c r="R6" i="3" s="1"/>
  <c r="V128" i="1"/>
  <c r="D15" i="5" s="1"/>
  <c r="V121" i="1"/>
  <c r="Q6" i="3" s="1"/>
  <c r="Y128" i="1"/>
  <c r="D18" i="5" s="1"/>
  <c r="Y121" i="1"/>
  <c r="T6" i="3" s="1"/>
  <c r="U128" i="1"/>
  <c r="U121" i="1"/>
  <c r="P6" i="3" s="1"/>
  <c r="Z128" i="1"/>
  <c r="D19" i="5" s="1"/>
  <c r="Z121" i="1"/>
  <c r="U6" i="3" s="1"/>
  <c r="M131" i="1"/>
  <c r="L133" i="1"/>
  <c r="C14" i="5"/>
  <c r="Q34" i="1"/>
  <c r="P38" i="1"/>
  <c r="AB37" i="1"/>
  <c r="AB46" i="1" s="1"/>
  <c r="AB36" i="1"/>
  <c r="AB33" i="1"/>
  <c r="I8" i="3"/>
  <c r="P22" i="2"/>
  <c r="P23" i="2" s="1"/>
  <c r="P24" i="2" s="1"/>
  <c r="P25" i="2" s="1"/>
  <c r="P26" i="2" s="1"/>
  <c r="M135" i="1"/>
  <c r="E6" i="5"/>
  <c r="Z44" i="1"/>
  <c r="Z40" i="1" s="1"/>
  <c r="N43" i="1"/>
  <c r="O39" i="1"/>
  <c r="J5" i="3"/>
  <c r="AC36" i="1"/>
  <c r="AC37" i="1"/>
  <c r="AC46" i="1" s="1"/>
  <c r="AC33" i="1"/>
  <c r="AF37" i="1"/>
  <c r="AF46" i="1" s="1"/>
  <c r="AF36" i="1"/>
  <c r="AF33" i="1"/>
  <c r="P130" i="1"/>
  <c r="AA36" i="1"/>
  <c r="AA37" i="1"/>
  <c r="AA46" i="1" s="1"/>
  <c r="AA33" i="1"/>
  <c r="P11" i="3"/>
  <c r="AE36" i="1"/>
  <c r="AE37" i="1"/>
  <c r="AE46" i="1" s="1"/>
  <c r="AE33" i="1"/>
  <c r="P29" i="1"/>
  <c r="O31" i="1"/>
  <c r="U35" i="1" s="1"/>
  <c r="D14" i="5" l="1"/>
  <c r="N131" i="1"/>
  <c r="M133" i="1"/>
  <c r="AE74" i="1"/>
  <c r="AE75" i="1"/>
  <c r="Q130" i="1"/>
  <c r="P39" i="1"/>
  <c r="K5" i="3"/>
  <c r="AA75" i="1"/>
  <c r="AA74" i="1"/>
  <c r="AC45" i="1"/>
  <c r="AC27" i="1"/>
  <c r="AC28" i="1" s="1"/>
  <c r="Q38" i="1"/>
  <c r="R34" i="1"/>
  <c r="AE45" i="1"/>
  <c r="AE27" i="1"/>
  <c r="AE28" i="1" s="1"/>
  <c r="AA45" i="1"/>
  <c r="AA27" i="1"/>
  <c r="AA28" i="1" s="1"/>
  <c r="AF75" i="1"/>
  <c r="AF74" i="1"/>
  <c r="AA44" i="1"/>
  <c r="AA40" i="1" s="1"/>
  <c r="O43" i="1"/>
  <c r="J12" i="3" s="1"/>
  <c r="J31" i="3" s="1"/>
  <c r="AC75" i="1"/>
  <c r="AC74" i="1"/>
  <c r="X24" i="3" s="1"/>
  <c r="J8" i="3"/>
  <c r="I12" i="3"/>
  <c r="AB74" i="1"/>
  <c r="AB75" i="1"/>
  <c r="AF27" i="1"/>
  <c r="AF28" i="1" s="1"/>
  <c r="AF45" i="1"/>
  <c r="P31" i="1"/>
  <c r="V35" i="1" s="1"/>
  <c r="Q29" i="1"/>
  <c r="AB45" i="1"/>
  <c r="AB27" i="1"/>
  <c r="AB28" i="1" s="1"/>
  <c r="O131" i="1" l="1"/>
  <c r="N133" i="1"/>
  <c r="AA24" i="3"/>
  <c r="W24" i="3"/>
  <c r="K8" i="3"/>
  <c r="V24" i="3"/>
  <c r="Z4" i="3"/>
  <c r="C24" i="5" s="1"/>
  <c r="O31" i="2"/>
  <c r="AE142" i="1"/>
  <c r="AE42" i="1"/>
  <c r="Z11" i="3" s="1"/>
  <c r="AE127" i="1"/>
  <c r="AE119" i="1" s="1"/>
  <c r="AK30" i="1"/>
  <c r="J33" i="3"/>
  <c r="S34" i="1"/>
  <c r="R38" i="1"/>
  <c r="AB44" i="1"/>
  <c r="AB40" i="1" s="1"/>
  <c r="P43" i="1"/>
  <c r="I31" i="3"/>
  <c r="I33" i="3" s="1"/>
  <c r="Q39" i="1"/>
  <c r="L5" i="3"/>
  <c r="L8" i="3" s="1"/>
  <c r="AF42" i="1"/>
  <c r="AA11" i="3" s="1"/>
  <c r="AA4" i="3"/>
  <c r="C25" i="5" s="1"/>
  <c r="O32" i="2"/>
  <c r="AF142" i="1"/>
  <c r="AF127" i="1"/>
  <c r="AF119" i="1" s="1"/>
  <c r="AL30" i="1"/>
  <c r="W4" i="3"/>
  <c r="C21" i="5" s="1"/>
  <c r="O28" i="2"/>
  <c r="AB142" i="1"/>
  <c r="AB127" i="1"/>
  <c r="AB119" i="1" s="1"/>
  <c r="AB42" i="1"/>
  <c r="W11" i="3" s="1"/>
  <c r="AH30" i="1"/>
  <c r="R29" i="1"/>
  <c r="Q31" i="1"/>
  <c r="W35" i="1" s="1"/>
  <c r="AC42" i="1"/>
  <c r="X11" i="3" s="1"/>
  <c r="AC127" i="1"/>
  <c r="AC119" i="1" s="1"/>
  <c r="O29" i="2"/>
  <c r="X4" i="3"/>
  <c r="C22" i="5" s="1"/>
  <c r="AC142" i="1"/>
  <c r="AI30" i="1"/>
  <c r="R130" i="1"/>
  <c r="AA127" i="1"/>
  <c r="AA119" i="1" s="1"/>
  <c r="AA42" i="1"/>
  <c r="AA142" i="1"/>
  <c r="V4" i="3"/>
  <c r="O27" i="2"/>
  <c r="P27" i="2" s="1"/>
  <c r="AG30" i="1"/>
  <c r="Z24" i="3"/>
  <c r="AC128" i="1" l="1"/>
  <c r="D22" i="5" s="1"/>
  <c r="AC121" i="1"/>
  <c r="X6" i="3" s="1"/>
  <c r="AE128" i="1"/>
  <c r="D24" i="5" s="1"/>
  <c r="AE121" i="1"/>
  <c r="Z6" i="3" s="1"/>
  <c r="AB128" i="1"/>
  <c r="D21" i="5" s="1"/>
  <c r="AB121" i="1"/>
  <c r="W6" i="3" s="1"/>
  <c r="AA128" i="1"/>
  <c r="AA121" i="1"/>
  <c r="V6" i="3" s="1"/>
  <c r="C6" i="4" s="1"/>
  <c r="AF128" i="1"/>
  <c r="D25" i="5" s="1"/>
  <c r="AF121" i="1"/>
  <c r="AA6" i="3" s="1"/>
  <c r="P131" i="1"/>
  <c r="O133" i="1"/>
  <c r="C24" i="4"/>
  <c r="R39" i="1"/>
  <c r="M5" i="3"/>
  <c r="AL36" i="1"/>
  <c r="AL37" i="1"/>
  <c r="AL46" i="1" s="1"/>
  <c r="AL33" i="1"/>
  <c r="T34" i="1"/>
  <c r="S38" i="1"/>
  <c r="AG36" i="1"/>
  <c r="AG37" i="1"/>
  <c r="AG46" i="1" s="1"/>
  <c r="AG33" i="1"/>
  <c r="S130" i="1"/>
  <c r="S29" i="1"/>
  <c r="R31" i="1"/>
  <c r="X35" i="1" s="1"/>
  <c r="AC44" i="1"/>
  <c r="AC40" i="1" s="1"/>
  <c r="Q43" i="1"/>
  <c r="L12" i="3" s="1"/>
  <c r="O135" i="1"/>
  <c r="E8" i="5"/>
  <c r="V11" i="3"/>
  <c r="C11" i="4" s="1"/>
  <c r="P28" i="2"/>
  <c r="P29" i="2" s="1"/>
  <c r="P30" i="2" s="1"/>
  <c r="P31" i="2" s="1"/>
  <c r="P32" i="2" s="1"/>
  <c r="AK37" i="1"/>
  <c r="AK46" i="1" s="1"/>
  <c r="AK36" i="1"/>
  <c r="AK33" i="1"/>
  <c r="AH37" i="1"/>
  <c r="AH46" i="1" s="1"/>
  <c r="AH36" i="1"/>
  <c r="AH33" i="1"/>
  <c r="E7" i="5"/>
  <c r="N135" i="1"/>
  <c r="AI36" i="1"/>
  <c r="AI37" i="1"/>
  <c r="AI46" i="1" s="1"/>
  <c r="AI33" i="1"/>
  <c r="C20" i="5"/>
  <c r="C4" i="4"/>
  <c r="K12" i="3"/>
  <c r="K31" i="3" s="1"/>
  <c r="K33" i="3" s="1"/>
  <c r="D20" i="5" l="1"/>
  <c r="Q131" i="1"/>
  <c r="P133" i="1"/>
  <c r="T38" i="1"/>
  <c r="U34" i="1"/>
  <c r="AL74" i="1"/>
  <c r="AL75" i="1"/>
  <c r="S39" i="1"/>
  <c r="N5" i="3"/>
  <c r="N8" i="3" s="1"/>
  <c r="S31" i="1"/>
  <c r="Y35" i="1" s="1"/>
  <c r="T29" i="1"/>
  <c r="T130" i="1"/>
  <c r="AL45" i="1"/>
  <c r="AL27" i="1"/>
  <c r="AL28" i="1" s="1"/>
  <c r="AH75" i="1"/>
  <c r="AH74" i="1"/>
  <c r="AC24" i="3" s="1"/>
  <c r="AI74" i="1"/>
  <c r="AI75" i="1"/>
  <c r="AH27" i="1"/>
  <c r="AH28" i="1" s="1"/>
  <c r="AH45" i="1"/>
  <c r="AG75" i="1"/>
  <c r="AG74" i="1"/>
  <c r="M8" i="3"/>
  <c r="AD44" i="1"/>
  <c r="AD40" i="1" s="1"/>
  <c r="R43" i="1"/>
  <c r="P135" i="1"/>
  <c r="E9" i="5"/>
  <c r="AI45" i="1"/>
  <c r="AI27" i="1"/>
  <c r="AI28" i="1" s="1"/>
  <c r="AK75" i="1"/>
  <c r="AK74" i="1"/>
  <c r="AF24" i="3" s="1"/>
  <c r="AK45" i="1"/>
  <c r="AK27" i="1"/>
  <c r="AK28" i="1" s="1"/>
  <c r="AG45" i="1"/>
  <c r="AG27" i="1"/>
  <c r="AG28" i="1" s="1"/>
  <c r="R131" i="1" l="1"/>
  <c r="Q133" i="1"/>
  <c r="AD24" i="3"/>
  <c r="AG24" i="3"/>
  <c r="O33" i="2"/>
  <c r="P33" i="2" s="1"/>
  <c r="AG42" i="1"/>
  <c r="AG142" i="1"/>
  <c r="AG127" i="1"/>
  <c r="AG119" i="1" s="1"/>
  <c r="AB4" i="3"/>
  <c r="AM30" i="1"/>
  <c r="AB24" i="3"/>
  <c r="AL142" i="1"/>
  <c r="AL127" i="1"/>
  <c r="AL119" i="1" s="1"/>
  <c r="AL42" i="1"/>
  <c r="AG11" i="3" s="1"/>
  <c r="AG4" i="3"/>
  <c r="C31" i="5" s="1"/>
  <c r="O38" i="2"/>
  <c r="AR30" i="1"/>
  <c r="AE44" i="1"/>
  <c r="AE40" i="1" s="1"/>
  <c r="S43" i="1"/>
  <c r="N12" i="3" s="1"/>
  <c r="N31" i="3" s="1"/>
  <c r="N33" i="3" s="1"/>
  <c r="M12" i="3"/>
  <c r="M31" i="3" s="1"/>
  <c r="M33" i="3" s="1"/>
  <c r="AH127" i="1"/>
  <c r="AH119" i="1" s="1"/>
  <c r="AH42" i="1"/>
  <c r="AC11" i="3" s="1"/>
  <c r="AC4" i="3"/>
  <c r="C27" i="5" s="1"/>
  <c r="AH142" i="1"/>
  <c r="O34" i="2"/>
  <c r="AN30" i="1"/>
  <c r="U130" i="1"/>
  <c r="AK42" i="1"/>
  <c r="AF11" i="3" s="1"/>
  <c r="AK142" i="1"/>
  <c r="AK127" i="1"/>
  <c r="AK119" i="1" s="1"/>
  <c r="AF4" i="3"/>
  <c r="C30" i="5" s="1"/>
  <c r="O37" i="2"/>
  <c r="AQ30" i="1"/>
  <c r="U29" i="1"/>
  <c r="T31" i="1"/>
  <c r="Z35" i="1" s="1"/>
  <c r="U38" i="1"/>
  <c r="V34" i="1"/>
  <c r="AD4" i="3"/>
  <c r="C28" i="5" s="1"/>
  <c r="O35" i="2"/>
  <c r="AI127" i="1"/>
  <c r="AI119" i="1" s="1"/>
  <c r="AI142" i="1"/>
  <c r="AI42" i="1"/>
  <c r="AD11" i="3" s="1"/>
  <c r="AO30" i="1"/>
  <c r="T39" i="1"/>
  <c r="O5" i="3"/>
  <c r="AL128" i="1" l="1"/>
  <c r="D31" i="5" s="1"/>
  <c r="AL121" i="1"/>
  <c r="AG6" i="3" s="1"/>
  <c r="AG128" i="1"/>
  <c r="AG121" i="1"/>
  <c r="AB6" i="3" s="1"/>
  <c r="AH128" i="1"/>
  <c r="D27" i="5" s="1"/>
  <c r="AH121" i="1"/>
  <c r="AC6" i="3" s="1"/>
  <c r="AK128" i="1"/>
  <c r="D30" i="5" s="1"/>
  <c r="AK121" i="1"/>
  <c r="AF6" i="3" s="1"/>
  <c r="AI128" i="1"/>
  <c r="D28" i="5" s="1"/>
  <c r="AI121" i="1"/>
  <c r="AD6" i="3" s="1"/>
  <c r="S131" i="1"/>
  <c r="R133" i="1"/>
  <c r="AM37" i="1"/>
  <c r="AM46" i="1" s="1"/>
  <c r="AM36" i="1"/>
  <c r="AM33" i="1"/>
  <c r="G30" i="1"/>
  <c r="AR37" i="1"/>
  <c r="AR46" i="1" s="1"/>
  <c r="AR36" i="1"/>
  <c r="AR33" i="1"/>
  <c r="O8" i="3"/>
  <c r="B5" i="4"/>
  <c r="B8" i="4" s="1"/>
  <c r="W34" i="1"/>
  <c r="V38" i="1"/>
  <c r="C26" i="5"/>
  <c r="AF44" i="1"/>
  <c r="AF40" i="1" s="1"/>
  <c r="T43" i="1"/>
  <c r="U39" i="1"/>
  <c r="P5" i="3"/>
  <c r="AO36" i="1"/>
  <c r="AO37" i="1"/>
  <c r="AO46" i="1" s="1"/>
  <c r="AO33" i="1"/>
  <c r="V29" i="1"/>
  <c r="U31" i="1"/>
  <c r="AA35" i="1" s="1"/>
  <c r="V130" i="1"/>
  <c r="E11" i="5"/>
  <c r="R135" i="1"/>
  <c r="AB11" i="3"/>
  <c r="AQ36" i="1"/>
  <c r="AQ37" i="1"/>
  <c r="AQ46" i="1" s="1"/>
  <c r="AQ33" i="1"/>
  <c r="AN36" i="1"/>
  <c r="AN37" i="1"/>
  <c r="AN46" i="1" s="1"/>
  <c r="AN33" i="1"/>
  <c r="S135" i="1"/>
  <c r="E12" i="5"/>
  <c r="P34" i="2"/>
  <c r="P35" i="2" s="1"/>
  <c r="P36" i="2" s="1"/>
  <c r="P37" i="2" s="1"/>
  <c r="P38" i="2" s="1"/>
  <c r="T131" i="1" l="1"/>
  <c r="S133" i="1"/>
  <c r="D26" i="5"/>
  <c r="AR75" i="1"/>
  <c r="AR74" i="1"/>
  <c r="AR45" i="1"/>
  <c r="AR27" i="1"/>
  <c r="AR28" i="1" s="1"/>
  <c r="AO27" i="1"/>
  <c r="AO28" i="1" s="1"/>
  <c r="AO45" i="1"/>
  <c r="W130" i="1"/>
  <c r="AQ27" i="1"/>
  <c r="AQ28" i="1" s="1"/>
  <c r="AQ45" i="1"/>
  <c r="W29" i="1"/>
  <c r="V31" i="1"/>
  <c r="AB35" i="1" s="1"/>
  <c r="P8" i="3"/>
  <c r="X34" i="1"/>
  <c r="W38" i="1"/>
  <c r="AM74" i="1"/>
  <c r="AM75" i="1"/>
  <c r="G33" i="1"/>
  <c r="AN45" i="1"/>
  <c r="AN27" i="1"/>
  <c r="AN28" i="1" s="1"/>
  <c r="AG44" i="1"/>
  <c r="AG40" i="1" s="1"/>
  <c r="U43" i="1"/>
  <c r="P12" i="3" s="1"/>
  <c r="AM27" i="1"/>
  <c r="AM28" i="1" s="1"/>
  <c r="AM45" i="1"/>
  <c r="AN74" i="1"/>
  <c r="AN75" i="1"/>
  <c r="AO74" i="1"/>
  <c r="AO75" i="1"/>
  <c r="AQ75" i="1"/>
  <c r="AQ74" i="1"/>
  <c r="G46" i="1"/>
  <c r="V39" i="1"/>
  <c r="Q5" i="3"/>
  <c r="Q8" i="3" s="1"/>
  <c r="O12" i="3"/>
  <c r="U131" i="1" l="1"/>
  <c r="T133" i="1"/>
  <c r="AM24" i="3"/>
  <c r="AJ24" i="3"/>
  <c r="AO142" i="1"/>
  <c r="AJ4" i="3"/>
  <c r="C34" i="5" s="1"/>
  <c r="AO42" i="1"/>
  <c r="AJ11" i="3" s="1"/>
  <c r="O41" i="2"/>
  <c r="AO127" i="1"/>
  <c r="AO119" i="1" s="1"/>
  <c r="AR142" i="1"/>
  <c r="AM4" i="3"/>
  <c r="C37" i="5" s="1"/>
  <c r="AR127" i="1"/>
  <c r="AR119" i="1" s="1"/>
  <c r="O44" i="2"/>
  <c r="AR42" i="1"/>
  <c r="AM11" i="3" s="1"/>
  <c r="P31" i="3"/>
  <c r="P33" i="3" s="1"/>
  <c r="Y34" i="1"/>
  <c r="X38" i="1"/>
  <c r="X130" i="1"/>
  <c r="AN142" i="1"/>
  <c r="AI4" i="3"/>
  <c r="C33" i="5" s="1"/>
  <c r="AN42" i="1"/>
  <c r="AI11" i="3" s="1"/>
  <c r="O40" i="2"/>
  <c r="AN127" i="1"/>
  <c r="AN119" i="1" s="1"/>
  <c r="X29" i="1"/>
  <c r="W31" i="1"/>
  <c r="AC35" i="1" s="1"/>
  <c r="V43" i="1"/>
  <c r="Q12" i="3" s="1"/>
  <c r="AH44" i="1"/>
  <c r="AH40" i="1" s="1"/>
  <c r="G45" i="1"/>
  <c r="O31" i="3"/>
  <c r="O33" i="3" s="1"/>
  <c r="B12" i="4"/>
  <c r="B31" i="4" s="1"/>
  <c r="B33" i="4" s="1"/>
  <c r="B34" i="4" s="1"/>
  <c r="AI24" i="3"/>
  <c r="AM142" i="1"/>
  <c r="O39" i="2"/>
  <c r="P39" i="2" s="1"/>
  <c r="AM42" i="1"/>
  <c r="AM127" i="1"/>
  <c r="AM119" i="1" s="1"/>
  <c r="AH4" i="3"/>
  <c r="G28" i="1"/>
  <c r="AH24" i="3"/>
  <c r="G74" i="1"/>
  <c r="AQ142" i="1"/>
  <c r="AQ127" i="1"/>
  <c r="AQ119" i="1" s="1"/>
  <c r="AQ42" i="1"/>
  <c r="AL11" i="3" s="1"/>
  <c r="O43" i="2"/>
  <c r="AL4" i="3"/>
  <c r="C36" i="5" s="1"/>
  <c r="AL24" i="3"/>
  <c r="W39" i="1"/>
  <c r="R5" i="3"/>
  <c r="G75" i="1"/>
  <c r="AN128" i="1" l="1"/>
  <c r="D33" i="5" s="1"/>
  <c r="AN121" i="1"/>
  <c r="AI6" i="3" s="1"/>
  <c r="AR128" i="1"/>
  <c r="AR121" i="1"/>
  <c r="AM6" i="3" s="1"/>
  <c r="AM128" i="1"/>
  <c r="D32" i="5" s="1"/>
  <c r="AM121" i="1"/>
  <c r="AH6" i="3" s="1"/>
  <c r="AQ128" i="1"/>
  <c r="D36" i="5" s="1"/>
  <c r="AQ121" i="1"/>
  <c r="AL6" i="3" s="1"/>
  <c r="AO128" i="1"/>
  <c r="D34" i="5" s="1"/>
  <c r="AO121" i="1"/>
  <c r="AJ6" i="3" s="1"/>
  <c r="V131" i="1"/>
  <c r="U133" i="1"/>
  <c r="P40" i="2"/>
  <c r="P41" i="2" s="1"/>
  <c r="P42" i="2" s="1"/>
  <c r="P43" i="2" s="1"/>
  <c r="P44" i="2" s="1"/>
  <c r="J1" i="2" s="1"/>
  <c r="D24" i="4"/>
  <c r="G127" i="1"/>
  <c r="R8" i="3"/>
  <c r="X31" i="1"/>
  <c r="AD35" i="1" s="1"/>
  <c r="Y29" i="1"/>
  <c r="X39" i="1"/>
  <c r="S5" i="3"/>
  <c r="S8" i="3" s="1"/>
  <c r="W43" i="1"/>
  <c r="R12" i="3" s="1"/>
  <c r="R31" i="3" s="1"/>
  <c r="AI44" i="1"/>
  <c r="AI40" i="1" s="1"/>
  <c r="Z34" i="1"/>
  <c r="Y38" i="1"/>
  <c r="E14" i="5"/>
  <c r="U135" i="1"/>
  <c r="B24" i="3"/>
  <c r="E13" i="5"/>
  <c r="T135" i="1"/>
  <c r="AH11" i="3"/>
  <c r="D11" i="4" s="1"/>
  <c r="G42" i="1"/>
  <c r="Y130" i="1"/>
  <c r="C32" i="5"/>
  <c r="D4" i="4"/>
  <c r="B4" i="3"/>
  <c r="D6" i="4" l="1"/>
  <c r="B6" i="3"/>
  <c r="G2" i="2" s="1"/>
  <c r="D37" i="5"/>
  <c r="G128" i="1"/>
  <c r="J2" i="2" s="1"/>
  <c r="J3" i="2" s="1"/>
  <c r="W131" i="1"/>
  <c r="V133" i="1"/>
  <c r="B11" i="3"/>
  <c r="X43" i="1"/>
  <c r="S12" i="3" s="1"/>
  <c r="S31" i="3" s="1"/>
  <c r="S33" i="3" s="1"/>
  <c r="AJ44" i="1"/>
  <c r="AJ40" i="1" s="1"/>
  <c r="Z29" i="1"/>
  <c r="Y31" i="1"/>
  <c r="AE35" i="1" s="1"/>
  <c r="Z130" i="1"/>
  <c r="AA34" i="1"/>
  <c r="Z38" i="1"/>
  <c r="R33" i="3"/>
  <c r="Y39" i="1"/>
  <c r="T5" i="3"/>
  <c r="T8" i="3" s="1"/>
  <c r="X131" i="1" l="1"/>
  <c r="W133" i="1"/>
  <c r="X135" i="1"/>
  <c r="E17" i="5"/>
  <c r="Z31" i="1"/>
  <c r="AF35" i="1" s="1"/>
  <c r="AA29" i="1"/>
  <c r="AA38" i="1"/>
  <c r="AB34" i="1"/>
  <c r="AA130" i="1"/>
  <c r="Y43" i="1"/>
  <c r="T12" i="3" s="1"/>
  <c r="AK44" i="1"/>
  <c r="AK40" i="1" s="1"/>
  <c r="E16" i="5"/>
  <c r="W135" i="1"/>
  <c r="Z39" i="1"/>
  <c r="U5" i="3"/>
  <c r="U8" i="3" s="1"/>
  <c r="Y131" i="1" l="1"/>
  <c r="X133" i="1"/>
  <c r="AA31" i="1"/>
  <c r="AG35" i="1" s="1"/>
  <c r="AB29" i="1"/>
  <c r="AA39" i="1"/>
  <c r="V5" i="3"/>
  <c r="Z43" i="1"/>
  <c r="U12" i="3" s="1"/>
  <c r="U31" i="3" s="1"/>
  <c r="U33" i="3" s="1"/>
  <c r="AL44" i="1"/>
  <c r="AL40" i="1" s="1"/>
  <c r="AB130" i="1"/>
  <c r="AC34" i="1"/>
  <c r="AB38" i="1"/>
  <c r="T31" i="3"/>
  <c r="T33" i="3" s="1"/>
  <c r="Z131" i="1" l="1"/>
  <c r="Y133" i="1"/>
  <c r="Z135" i="1"/>
  <c r="E19" i="5"/>
  <c r="V8" i="3"/>
  <c r="AC130" i="1"/>
  <c r="Y135" i="1"/>
  <c r="E18" i="5"/>
  <c r="AB39" i="1"/>
  <c r="W5" i="3"/>
  <c r="W8" i="3" s="1"/>
  <c r="AA43" i="1"/>
  <c r="V12" i="3" s="1"/>
  <c r="AM44" i="1"/>
  <c r="AM40" i="1" s="1"/>
  <c r="AD34" i="1"/>
  <c r="AC38" i="1"/>
  <c r="AB31" i="1"/>
  <c r="AH35" i="1" s="1"/>
  <c r="AC29" i="1"/>
  <c r="AA131" i="1" l="1"/>
  <c r="Z133" i="1"/>
  <c r="AC31" i="1"/>
  <c r="AI35" i="1" s="1"/>
  <c r="AD29" i="1"/>
  <c r="AD38" i="1"/>
  <c r="AE34" i="1"/>
  <c r="AC39" i="1"/>
  <c r="X5" i="3"/>
  <c r="X8" i="3" s="1"/>
  <c r="AD130" i="1"/>
  <c r="AB43" i="1"/>
  <c r="W12" i="3" s="1"/>
  <c r="W31" i="3" s="1"/>
  <c r="W33" i="3" s="1"/>
  <c r="AN44" i="1"/>
  <c r="AN40" i="1" s="1"/>
  <c r="AB131" i="1" l="1"/>
  <c r="AA133" i="1"/>
  <c r="AB135" i="1"/>
  <c r="E21" i="5"/>
  <c r="AC43" i="1"/>
  <c r="X12" i="3" s="1"/>
  <c r="X31" i="3" s="1"/>
  <c r="X33" i="3" s="1"/>
  <c r="AO44" i="1"/>
  <c r="AO40" i="1" s="1"/>
  <c r="AE38" i="1"/>
  <c r="AF34" i="1"/>
  <c r="AD39" i="1"/>
  <c r="Y5" i="3"/>
  <c r="Y8" i="3" s="1"/>
  <c r="AE29" i="1"/>
  <c r="AD31" i="1"/>
  <c r="AJ35" i="1" s="1"/>
  <c r="AE130" i="1"/>
  <c r="AC131" i="1" l="1"/>
  <c r="AB133" i="1"/>
  <c r="AC135" i="1"/>
  <c r="E22" i="5"/>
  <c r="AD43" i="1"/>
  <c r="Y12" i="3" s="1"/>
  <c r="Y31" i="3" s="1"/>
  <c r="Y33" i="3" s="1"/>
  <c r="AP44" i="1"/>
  <c r="AP40" i="1" s="1"/>
  <c r="AF130" i="1"/>
  <c r="AF38" i="1"/>
  <c r="AG34" i="1"/>
  <c r="AE39" i="1"/>
  <c r="Z5" i="3"/>
  <c r="Z8" i="3" s="1"/>
  <c r="AE31" i="1"/>
  <c r="AK35" i="1" s="1"/>
  <c r="AF29" i="1"/>
  <c r="AD131" i="1" l="1"/>
  <c r="AC133" i="1"/>
  <c r="AG130" i="1"/>
  <c r="AG38" i="1"/>
  <c r="AH34" i="1"/>
  <c r="AF39" i="1"/>
  <c r="AA5" i="3"/>
  <c r="AD135" i="1"/>
  <c r="E23" i="5"/>
  <c r="AG29" i="1"/>
  <c r="AF31" i="1"/>
  <c r="AL35" i="1" s="1"/>
  <c r="AE43" i="1"/>
  <c r="Z12" i="3" s="1"/>
  <c r="Z31" i="3" s="1"/>
  <c r="Z33" i="3" s="1"/>
  <c r="AQ44" i="1"/>
  <c r="AQ40" i="1" s="1"/>
  <c r="AE131" i="1" l="1"/>
  <c r="AD133" i="1"/>
  <c r="E24" i="5"/>
  <c r="AE135" i="1"/>
  <c r="AA8" i="3"/>
  <c r="C5" i="4"/>
  <c r="C8" i="4" s="1"/>
  <c r="AF43" i="1"/>
  <c r="AA12" i="3" s="1"/>
  <c r="AR44" i="1"/>
  <c r="AR40" i="1" s="1"/>
  <c r="AH38" i="1"/>
  <c r="AI34" i="1"/>
  <c r="AG39" i="1"/>
  <c r="AG43" i="1" s="1"/>
  <c r="AB12" i="3" s="1"/>
  <c r="AB31" i="3" s="1"/>
  <c r="AB5" i="3"/>
  <c r="AG31" i="1"/>
  <c r="AM35" i="1" s="1"/>
  <c r="AH29" i="1"/>
  <c r="AH130" i="1"/>
  <c r="AF131" i="1" l="1"/>
  <c r="AE133" i="1"/>
  <c r="AH31" i="1"/>
  <c r="AN35" i="1" s="1"/>
  <c r="AI29" i="1"/>
  <c r="AB8" i="3"/>
  <c r="AB33" i="3" s="1"/>
  <c r="AJ34" i="1"/>
  <c r="AI38" i="1"/>
  <c r="AH39" i="1"/>
  <c r="AH43" i="1" s="1"/>
  <c r="AC12" i="3" s="1"/>
  <c r="AC31" i="3" s="1"/>
  <c r="AC5" i="3"/>
  <c r="AC8" i="3" s="1"/>
  <c r="AI130" i="1"/>
  <c r="AA31" i="3"/>
  <c r="AA33" i="3" s="1"/>
  <c r="C12" i="4"/>
  <c r="C31" i="4" s="1"/>
  <c r="C33" i="4" s="1"/>
  <c r="C34" i="4" s="1"/>
  <c r="AG131" i="1" l="1"/>
  <c r="AF133" i="1"/>
  <c r="AC33" i="3"/>
  <c r="AF135" i="1"/>
  <c r="E25" i="5"/>
  <c r="AK34" i="1"/>
  <c r="AJ38" i="1"/>
  <c r="AI39" i="1"/>
  <c r="AI43" i="1" s="1"/>
  <c r="AD12" i="3" s="1"/>
  <c r="AD31" i="3" s="1"/>
  <c r="AD5" i="3"/>
  <c r="AD8" i="3" s="1"/>
  <c r="AG135" i="1"/>
  <c r="E26" i="5"/>
  <c r="AI31" i="1"/>
  <c r="AO35" i="1" s="1"/>
  <c r="AJ29" i="1"/>
  <c r="AJ130" i="1"/>
  <c r="L31" i="3"/>
  <c r="L33" i="3" s="1"/>
  <c r="Q31" i="3"/>
  <c r="Q33" i="3" s="1"/>
  <c r="V31" i="3"/>
  <c r="V33" i="3" s="1"/>
  <c r="G44" i="1"/>
  <c r="AH131" i="1" l="1"/>
  <c r="AG133" i="1"/>
  <c r="AD33" i="3"/>
  <c r="AI135" i="1" s="1"/>
  <c r="AK130" i="1"/>
  <c r="AJ39" i="1"/>
  <c r="AJ43" i="1" s="1"/>
  <c r="AE12" i="3" s="1"/>
  <c r="AE31" i="3" s="1"/>
  <c r="AE5" i="3"/>
  <c r="AE8" i="3" s="1"/>
  <c r="AJ31" i="1"/>
  <c r="AP35" i="1" s="1"/>
  <c r="AK29" i="1"/>
  <c r="AK38" i="1"/>
  <c r="AL34" i="1"/>
  <c r="AH135" i="1"/>
  <c r="E27" i="5"/>
  <c r="V135" i="1"/>
  <c r="E15" i="5"/>
  <c r="AA135" i="1"/>
  <c r="E20" i="5"/>
  <c r="Q135" i="1"/>
  <c r="E10" i="5"/>
  <c r="G31" i="3"/>
  <c r="AI131" i="1" l="1"/>
  <c r="AH133" i="1"/>
  <c r="E28" i="5"/>
  <c r="AL130" i="1"/>
  <c r="AK39" i="1"/>
  <c r="AK43" i="1" s="1"/>
  <c r="AF12" i="3" s="1"/>
  <c r="AF5" i="3"/>
  <c r="AF8" i="3" s="1"/>
  <c r="AL38" i="1"/>
  <c r="AM34" i="1"/>
  <c r="AK31" i="1"/>
  <c r="AQ35" i="1" s="1"/>
  <c r="AL29" i="1"/>
  <c r="AE33" i="3"/>
  <c r="G33" i="3"/>
  <c r="E5" i="5" s="1"/>
  <c r="AJ131" i="1" l="1"/>
  <c r="AI133" i="1"/>
  <c r="AM38" i="1"/>
  <c r="AN34" i="1"/>
  <c r="AL39" i="1"/>
  <c r="AL43" i="1" s="1"/>
  <c r="AG12" i="3" s="1"/>
  <c r="AG31" i="3" s="1"/>
  <c r="AG5" i="3"/>
  <c r="AG8" i="3" s="1"/>
  <c r="AF31" i="3"/>
  <c r="AJ135" i="1"/>
  <c r="E29" i="5"/>
  <c r="AM29" i="1"/>
  <c r="AL31" i="1"/>
  <c r="AR35" i="1" s="1"/>
  <c r="G35" i="1" s="1"/>
  <c r="AM130" i="1"/>
  <c r="L135" i="1"/>
  <c r="G34" i="3"/>
  <c r="AK131" i="1" l="1"/>
  <c r="AJ133" i="1"/>
  <c r="AG33" i="3"/>
  <c r="AL135" i="1" s="1"/>
  <c r="AN29" i="1"/>
  <c r="AM31" i="1"/>
  <c r="AF33" i="3"/>
  <c r="AN130" i="1"/>
  <c r="AN38" i="1"/>
  <c r="AO34" i="1"/>
  <c r="AM39" i="1"/>
  <c r="AM43" i="1" s="1"/>
  <c r="AH12" i="3" s="1"/>
  <c r="AH5" i="3"/>
  <c r="AH8" i="3" s="1"/>
  <c r="L136" i="1"/>
  <c r="H34" i="3"/>
  <c r="AL131" i="1" l="1"/>
  <c r="AK133" i="1"/>
  <c r="E31" i="5"/>
  <c r="AO130" i="1"/>
  <c r="E30" i="5"/>
  <c r="AK135" i="1"/>
  <c r="AO29" i="1"/>
  <c r="AN31" i="1"/>
  <c r="AH31" i="3"/>
  <c r="AH33" i="3" s="1"/>
  <c r="AP34" i="1"/>
  <c r="AO38" i="1"/>
  <c r="AN39" i="1"/>
  <c r="AN43" i="1" s="1"/>
  <c r="AI12" i="3" s="1"/>
  <c r="AI31" i="3" s="1"/>
  <c r="AI5" i="3"/>
  <c r="AI8" i="3" s="1"/>
  <c r="I34" i="3"/>
  <c r="M136" i="1"/>
  <c r="AM131" i="1" l="1"/>
  <c r="AL133" i="1"/>
  <c r="AI33" i="3"/>
  <c r="AP29" i="1"/>
  <c r="AO31" i="1"/>
  <c r="AM135" i="1"/>
  <c r="E32" i="5"/>
  <c r="AO39" i="1"/>
  <c r="AO43" i="1" s="1"/>
  <c r="AJ12" i="3" s="1"/>
  <c r="AJ31" i="3" s="1"/>
  <c r="AJ5" i="3"/>
  <c r="AJ8" i="3" s="1"/>
  <c r="AP38" i="1"/>
  <c r="AQ34" i="1"/>
  <c r="AP130" i="1"/>
  <c r="J34" i="3"/>
  <c r="N136" i="1"/>
  <c r="AN131" i="1" l="1"/>
  <c r="AM133" i="1"/>
  <c r="AJ33" i="3"/>
  <c r="AO135" i="1" s="1"/>
  <c r="AQ29" i="1"/>
  <c r="AP31" i="1"/>
  <c r="AQ130" i="1"/>
  <c r="AQ38" i="1"/>
  <c r="AR34" i="1"/>
  <c r="AP39" i="1"/>
  <c r="AP43" i="1" s="1"/>
  <c r="AK12" i="3" s="1"/>
  <c r="AK31" i="3" s="1"/>
  <c r="AK5" i="3"/>
  <c r="AK8" i="3" s="1"/>
  <c r="E33" i="5"/>
  <c r="AN135" i="1"/>
  <c r="O136" i="1"/>
  <c r="K34" i="3"/>
  <c r="AO131" i="1" l="1"/>
  <c r="AN133" i="1"/>
  <c r="E34" i="5"/>
  <c r="AR130" i="1"/>
  <c r="AK33" i="3"/>
  <c r="AQ31" i="1"/>
  <c r="AR29" i="1"/>
  <c r="AR31" i="1" s="1"/>
  <c r="AR38" i="1"/>
  <c r="G34" i="1"/>
  <c r="AQ39" i="1"/>
  <c r="AQ43" i="1" s="1"/>
  <c r="AL12" i="3" s="1"/>
  <c r="AL5" i="3"/>
  <c r="AL8" i="3" s="1"/>
  <c r="L34" i="3"/>
  <c r="P136" i="1"/>
  <c r="AP131" i="1" l="1"/>
  <c r="AO133" i="1"/>
  <c r="AR39" i="1"/>
  <c r="AR43" i="1" s="1"/>
  <c r="AM5" i="3"/>
  <c r="G38" i="1"/>
  <c r="E35" i="5"/>
  <c r="AP135" i="1"/>
  <c r="AL31" i="3"/>
  <c r="AL33" i="3" s="1"/>
  <c r="M34" i="3"/>
  <c r="Q136" i="1"/>
  <c r="AQ131" i="1" l="1"/>
  <c r="AP133" i="1"/>
  <c r="AQ135" i="1"/>
  <c r="E36" i="5"/>
  <c r="AM8" i="3"/>
  <c r="B5" i="3"/>
  <c r="G1" i="2" s="1"/>
  <c r="D5" i="4"/>
  <c r="D8" i="4" s="1"/>
  <c r="AM12" i="3"/>
  <c r="G43" i="1"/>
  <c r="N34" i="3"/>
  <c r="R136" i="1"/>
  <c r="AR131" i="1" l="1"/>
  <c r="AR133" i="1" s="1"/>
  <c r="AQ133" i="1"/>
  <c r="D12" i="4"/>
  <c r="D31" i="4" s="1"/>
  <c r="D33" i="4" s="1"/>
  <c r="D34" i="4" s="1"/>
  <c r="AM31" i="3"/>
  <c r="B31" i="3" s="1"/>
  <c r="G3" i="2" s="1"/>
  <c r="G4" i="2" s="1"/>
  <c r="B12" i="3"/>
  <c r="B8" i="3"/>
  <c r="S136" i="1"/>
  <c r="O34" i="3"/>
  <c r="AM33" i="3" l="1"/>
  <c r="AR135" i="1" s="1"/>
  <c r="G135" i="1" s="1" a="1"/>
  <c r="G135" i="1" s="1"/>
  <c r="M1" i="2" s="1"/>
  <c r="N1" i="2" s="1"/>
  <c r="P34" i="3"/>
  <c r="T136" i="1"/>
  <c r="B33" i="3" l="1"/>
  <c r="E37" i="5"/>
  <c r="Q34" i="3"/>
  <c r="U136" i="1"/>
  <c r="R34" i="3" l="1"/>
  <c r="V136" i="1"/>
  <c r="W136" i="1" l="1"/>
  <c r="S34" i="3"/>
  <c r="X136" i="1" l="1"/>
  <c r="T34" i="3"/>
  <c r="U34" i="3" l="1"/>
  <c r="Y136" i="1"/>
  <c r="V34" i="3" l="1"/>
  <c r="Z136" i="1"/>
  <c r="AA136" i="1" l="1"/>
  <c r="W34" i="3"/>
  <c r="AB136" i="1" l="1"/>
  <c r="X34" i="3"/>
  <c r="Y34" i="3" l="1"/>
  <c r="AC136" i="1"/>
  <c r="Z34" i="3" l="1"/>
  <c r="AD136" i="1"/>
  <c r="AE136" i="1" l="1"/>
  <c r="AA34" i="3"/>
  <c r="AF136" i="1" l="1"/>
  <c r="AB34" i="3"/>
  <c r="AC34" i="3" l="1"/>
  <c r="AG136" i="1"/>
  <c r="AD34" i="3" l="1"/>
  <c r="AH136" i="1"/>
  <c r="AI136" i="1" l="1"/>
  <c r="AE34" i="3"/>
  <c r="AJ136" i="1" l="1"/>
  <c r="AF34" i="3"/>
  <c r="AG34" i="3" l="1"/>
  <c r="AK136" i="1"/>
  <c r="AH34" i="3" l="1"/>
  <c r="AL136" i="1"/>
  <c r="AM136" i="1" l="1"/>
  <c r="AI34" i="3"/>
  <c r="AN136" i="1" l="1"/>
  <c r="AJ34" i="3"/>
  <c r="AK34" i="3" l="1"/>
  <c r="AO136" i="1"/>
  <c r="AL34" i="3" l="1"/>
  <c r="AP136" i="1"/>
  <c r="AM34" i="3" l="1"/>
  <c r="AR136" i="1" s="1"/>
  <c r="AQ136" i="1"/>
  <c r="G136" i="1" l="1" a="1"/>
  <c r="G136" i="1" s="1"/>
  <c r="M2" i="2" s="1"/>
  <c r="N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Helton (SMC)</author>
  </authors>
  <commentList>
    <comment ref="L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First period where cash becomes positive</t>
        </r>
      </text>
    </comment>
    <comment ref="L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First period where cummulative cash becomes positive</t>
        </r>
      </text>
    </comment>
    <comment ref="C15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Per period increase after third period</t>
        </r>
      </text>
    </comment>
    <comment ref="D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After this many periods the rental rate reduces to supplied rate.</t>
        </r>
      </text>
    </comment>
    <comment ref="D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After this many periods the commission on outstanding rentals will reduce to % stated</t>
        </r>
      </text>
    </comment>
    <comment ref="D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After this many periods units sold as % of units outstanding.</t>
        </r>
      </text>
    </comment>
    <comment ref="D3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Increase per period after intial per period amount</t>
        </r>
      </text>
    </comment>
    <comment ref="F3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Number of Periods that General Marketing expense will run</t>
        </r>
      </text>
    </comment>
    <comment ref="B4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Amount after upfront fee</t>
        </r>
      </text>
    </comment>
    <comment ref="B69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Select "Sales Unit" if you want production based on sales. Select "Defined Prod" if you want to use following volumes</t>
        </r>
      </text>
    </comment>
    <comment ref="A70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The initial units for testing do not count as part of inventory and are not included as units for sale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Helton (SMC)</author>
  </authors>
  <commentList>
    <comment ref="B3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Total Sales Revenue less sold units, tech fee for calculating commissions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<sst xmlns="http://schemas.openxmlformats.org/spreadsheetml/2006/main" count="338" uniqueCount="163">
  <si>
    <t>Design &amp; Engineering</t>
  </si>
  <si>
    <t>FDA Certification</t>
  </si>
  <si>
    <t>Application cost</t>
  </si>
  <si>
    <t>Marketing</t>
  </si>
  <si>
    <t>Device Placement</t>
  </si>
  <si>
    <t>General Marketing</t>
  </si>
  <si>
    <t>Sales</t>
  </si>
  <si>
    <t>General &amp; Administration</t>
  </si>
  <si>
    <t>Primary expense</t>
  </si>
  <si>
    <t>Legal Costs</t>
  </si>
  <si>
    <t>Staff</t>
  </si>
  <si>
    <t>Website Development</t>
  </si>
  <si>
    <t>Production Cost</t>
  </si>
  <si>
    <t>Video Production</t>
  </si>
  <si>
    <t>Video production</t>
  </si>
  <si>
    <t>Category</t>
  </si>
  <si>
    <t>Software ongoing</t>
  </si>
  <si>
    <t>Fixed</t>
  </si>
  <si>
    <t>Per Customer</t>
  </si>
  <si>
    <t>Start</t>
  </si>
  <si>
    <t>Units</t>
  </si>
  <si>
    <t>Initial</t>
  </si>
  <si>
    <t>Rental/Lease Devices</t>
  </si>
  <si>
    <t>Units produced</t>
  </si>
  <si>
    <t>Sales support cost per hour</t>
  </si>
  <si>
    <t>Call per hour per person</t>
  </si>
  <si>
    <t>Units needing Phone support</t>
  </si>
  <si>
    <t>Business &amp; Liability Insurance</t>
  </si>
  <si>
    <t>Theft &amp; non-Return</t>
  </si>
  <si>
    <t>Steve</t>
  </si>
  <si>
    <t>Assistant</t>
  </si>
  <si>
    <t>Per Year</t>
  </si>
  <si>
    <t>Per Quarter</t>
  </si>
  <si>
    <t>Upfront Fee</t>
  </si>
  <si>
    <t>Ongoing</t>
  </si>
  <si>
    <t>Initial Units for testing</t>
  </si>
  <si>
    <t>Unit cost</t>
  </si>
  <si>
    <t>Intial production run</t>
  </si>
  <si>
    <t>Second production run</t>
  </si>
  <si>
    <t>Regular Production run</t>
  </si>
  <si>
    <t>Start Month-Year</t>
  </si>
  <si>
    <t>End</t>
  </si>
  <si>
    <t>Amount</t>
  </si>
  <si>
    <t>Cal Amt.</t>
  </si>
  <si>
    <t>Total</t>
  </si>
  <si>
    <t>Sales forecast First Month</t>
  </si>
  <si>
    <t>Sales forecast Second Month</t>
  </si>
  <si>
    <t>Sales forecast Third Month</t>
  </si>
  <si>
    <t>Sales forecast Onward</t>
  </si>
  <si>
    <t>Blk</t>
  </si>
  <si>
    <t>Value</t>
  </si>
  <si>
    <t>Scale back sales growth %</t>
  </si>
  <si>
    <t>Increase after initial months - first month</t>
  </si>
  <si>
    <t>Increase after initial months - remaining</t>
  </si>
  <si>
    <t>Claudio</t>
  </si>
  <si>
    <t>Staff Increase</t>
  </si>
  <si>
    <t>Insurance</t>
  </si>
  <si>
    <t>Description</t>
  </si>
  <si>
    <t>Sales Units</t>
  </si>
  <si>
    <t>Units Sum</t>
  </si>
  <si>
    <t>Units Produced (excludes test units)</t>
  </si>
  <si>
    <t>Cummulative Sales</t>
  </si>
  <si>
    <t>Cummulative Units</t>
  </si>
  <si>
    <t>Inventory/(Shortage)</t>
  </si>
  <si>
    <t>Selling Costs</t>
  </si>
  <si>
    <t>Sales Support</t>
  </si>
  <si>
    <t>Unit Sales</t>
  </si>
  <si>
    <t>Total Cost</t>
  </si>
  <si>
    <t>Cost of Sales</t>
  </si>
  <si>
    <t>Production</t>
  </si>
  <si>
    <t>Sales Growth per Period</t>
  </si>
  <si>
    <t>Cummulative</t>
  </si>
  <si>
    <t>Tablet</t>
  </si>
  <si>
    <t>Tablet cost</t>
  </si>
  <si>
    <t>Insurances</t>
  </si>
  <si>
    <t>Next Prod</t>
  </si>
  <si>
    <t>End Period</t>
  </si>
  <si>
    <t>Start Period</t>
  </si>
  <si>
    <t>Mon-Year</t>
  </si>
  <si>
    <t>This is a 3 year budget so start and stop periods should be between 1 and 36 only.</t>
  </si>
  <si>
    <t xml:space="preserve">Sales &amp; Marketing </t>
  </si>
  <si>
    <t>Adminstration &amp; Insurances</t>
  </si>
  <si>
    <t>Development &amp; Design</t>
  </si>
  <si>
    <t>Intial Prod</t>
  </si>
  <si>
    <t>2nd Prod</t>
  </si>
  <si>
    <t>Regular Prod</t>
  </si>
  <si>
    <t>End Per</t>
  </si>
  <si>
    <t>Gross Profit</t>
  </si>
  <si>
    <t>Marketing Costs</t>
  </si>
  <si>
    <t>Commission</t>
  </si>
  <si>
    <t>General &amp; Adminstrative</t>
  </si>
  <si>
    <t>Executive &amp; Assistant Salaries</t>
  </si>
  <si>
    <t>Staff Salaries</t>
  </si>
  <si>
    <t>Total Expense</t>
  </si>
  <si>
    <t>Profit/(Loss)</t>
  </si>
  <si>
    <t>Ongoing Sales Revenue</t>
  </si>
  <si>
    <t>Sales increase forward</t>
  </si>
  <si>
    <t>Cummulative Units Leased</t>
  </si>
  <si>
    <t>Unit sale Price</t>
  </si>
  <si>
    <t>Each</t>
  </si>
  <si>
    <t>Annual Tech Fee</t>
  </si>
  <si>
    <t>Tech Fee per year on sold units</t>
  </si>
  <si>
    <t>per Month</t>
  </si>
  <si>
    <t>Total Sales Value</t>
  </si>
  <si>
    <t>Commission on Unit Sales</t>
  </si>
  <si>
    <t>Commission on Tech Fee</t>
  </si>
  <si>
    <t>Commision first year Rentals/Leases</t>
  </si>
  <si>
    <t>COGS</t>
  </si>
  <si>
    <t>Expenses</t>
  </si>
  <si>
    <t>Profit</t>
  </si>
  <si>
    <t>Units Sold</t>
  </si>
  <si>
    <t>Units Produced</t>
  </si>
  <si>
    <t>Over/(Short)</t>
  </si>
  <si>
    <t>Cash Positive</t>
  </si>
  <si>
    <t>Cummulative Casn Positive</t>
  </si>
  <si>
    <t>Start Per</t>
  </si>
  <si>
    <t>No. of Per</t>
  </si>
  <si>
    <t>Commission after fixed period Rental/Leases</t>
  </si>
  <si>
    <t>No. of Periods</t>
  </si>
  <si>
    <t>Commissions after Fixed Period</t>
  </si>
  <si>
    <t>Commissions Fixed Period</t>
  </si>
  <si>
    <t>Sales for commission</t>
  </si>
  <si>
    <t>Monthly Lease Sales Revenue</t>
  </si>
  <si>
    <t>Row</t>
  </si>
  <si>
    <t>Sales after Fixed Period</t>
  </si>
  <si>
    <t>Commission on Tech Fees</t>
  </si>
  <si>
    <t>Reduced Fee after Set # of periods</t>
  </si>
  <si>
    <t>Units sold after Fixed # of Periods</t>
  </si>
  <si>
    <t>Rental/Lease Device after Fixed # of periods</t>
  </si>
  <si>
    <t>Units sold after fixed # of periods</t>
  </si>
  <si>
    <t>Value Units sold after fixed # of periods</t>
  </si>
  <si>
    <t>Units leased after units sold</t>
  </si>
  <si>
    <t>Cummulative Profit/(Loss)</t>
  </si>
  <si>
    <t>Per Period</t>
  </si>
  <si>
    <t>Increase Number of Periods</t>
  </si>
  <si>
    <t>Duration Periods</t>
  </si>
  <si>
    <t>Periods forward</t>
  </si>
  <si>
    <t>First Period</t>
  </si>
  <si>
    <t>Second Period</t>
  </si>
  <si>
    <t>Third Period</t>
  </si>
  <si>
    <t>Periods</t>
  </si>
  <si>
    <t>Periods 1 to 12</t>
  </si>
  <si>
    <t>Periods 13 to 24</t>
  </si>
  <si>
    <t>Periods 25 to 36</t>
  </si>
  <si>
    <t>Period</t>
  </si>
  <si>
    <t>Tablets bought</t>
  </si>
  <si>
    <t>End period can't be less than Start Period!</t>
  </si>
  <si>
    <t>Cost of Goods Sold</t>
  </si>
  <si>
    <t>Initial Disc</t>
  </si>
  <si>
    <t>No. Per</t>
  </si>
  <si>
    <t>Phase 0 - Planning, Requirements &amp; Technical De-Risk</t>
  </si>
  <si>
    <t>Phase 1 - Prototype Design</t>
  </si>
  <si>
    <t>Phase 2 - Prototype Implementation</t>
  </si>
  <si>
    <t>Phase 3 - Development</t>
  </si>
  <si>
    <t>Phase 4 - Design Verification</t>
  </si>
  <si>
    <t>Phase 5 - Design Transfer</t>
  </si>
  <si>
    <t>Estimated Additional Cost</t>
  </si>
  <si>
    <t>Method</t>
  </si>
  <si>
    <t>Cost of Sales base:</t>
  </si>
  <si>
    <t>General Administration Expenses</t>
  </si>
  <si>
    <t>Per Month</t>
  </si>
  <si>
    <t>Increase</t>
  </si>
  <si>
    <t>General Administration Expenese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</si>
</sst>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%"/>
    <numFmt numFmtId="167" formatCode="_-* #,##0.0_-;\-* #,##0.0_-;_-* &quot;-&quot;??_-;_-@_-"/>
    <numFmt numFmtId="168" formatCode="_-* #,##0_-;\-* #,##0_-;_-* &quot;-&quot;??_-;_-@_-"/>
    <numFmt numFmtId="169" formatCode="#,##0_ ;[Red]\-#,##0\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i/>
      <sz val="11"/>
      <color theme="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left"/>
    </xf>
    <xf numFmtId="165" fontId="0" fillId="0" borderId="0" xfId="2" applyNumberFormat="1" applyFont="1"/>
    <xf numFmtId="0" fontId="2" fillId="0" borderId="0" xfId="0" applyFont="1" applyAlignment="1">
      <alignment horizontal="center" wrapText="1"/>
    </xf>
    <xf numFmtId="43" fontId="0" fillId="0" borderId="0" xfId="1" applyFont="1"/>
    <xf numFmtId="168" fontId="0" fillId="0" borderId="0" xfId="1" applyNumberFormat="1" applyFont="1"/>
    <xf numFmtId="17" fontId="0" fillId="0" borderId="0" xfId="0" applyNumberFormat="1"/>
    <xf numFmtId="168" fontId="0" fillId="0" borderId="0" xfId="1" applyNumberFormat="1" applyFont="1" applyAlignment="1">
      <alignment horizontal="left" indent="1"/>
    </xf>
    <xf numFmtId="168" fontId="2" fillId="0" borderId="0" xfId="1" applyNumberFormat="1" applyFont="1" applyAlignment="1">
      <alignment horizontal="left"/>
    </xf>
    <xf numFmtId="168" fontId="2" fillId="0" borderId="0" xfId="1" applyNumberFormat="1" applyFont="1" applyAlignment="1"/>
    <xf numFmtId="168" fontId="0" fillId="3" borderId="0" xfId="1" applyNumberFormat="1" applyFont="1" applyFill="1" applyAlignment="1">
      <alignment horizontal="left" indent="1"/>
    </xf>
    <xf numFmtId="9" fontId="0" fillId="0" borderId="0" xfId="3" applyFont="1" applyAlignment="1">
      <alignment horizontal="right" indent="1"/>
    </xf>
    <xf numFmtId="168" fontId="0" fillId="3" borderId="0" xfId="1" applyNumberFormat="1" applyFont="1" applyFill="1"/>
    <xf numFmtId="17" fontId="2" fillId="2" borderId="1" xfId="1" applyNumberFormat="1" applyFont="1" applyFill="1" applyBorder="1"/>
    <xf numFmtId="168" fontId="0" fillId="0" borderId="0" xfId="1" applyNumberFormat="1" applyFont="1" applyAlignment="1">
      <alignment horizontal="right" indent="1"/>
    </xf>
    <xf numFmtId="166" fontId="0" fillId="0" borderId="0" xfId="3" applyNumberFormat="1" applyFont="1" applyAlignment="1">
      <alignment horizontal="right" indent="1"/>
    </xf>
    <xf numFmtId="0" fontId="2" fillId="0" borderId="0" xfId="0" applyFont="1" applyAlignment="1">
      <alignment horizontal="left" indent="1"/>
    </xf>
    <xf numFmtId="166" fontId="0" fillId="0" borderId="0" xfId="3" applyNumberFormat="1" applyFont="1"/>
    <xf numFmtId="167" fontId="0" fillId="0" borderId="0" xfId="0" applyNumberFormat="1" applyAlignment="1">
      <alignment horizontal="left" indent="1"/>
    </xf>
    <xf numFmtId="0" fontId="2" fillId="0" borderId="0" xfId="0" applyFont="1" applyAlignment="1">
      <alignment horizontal="center"/>
    </xf>
    <xf numFmtId="169" fontId="0" fillId="0" borderId="0" xfId="1" applyNumberFormat="1" applyFont="1"/>
    <xf numFmtId="17" fontId="2" fillId="0" borderId="0" xfId="0" applyNumberFormat="1" applyFont="1" applyAlignment="1">
      <alignment horizontal="center"/>
    </xf>
    <xf numFmtId="168" fontId="0" fillId="0" borderId="0" xfId="0" applyNumberFormat="1"/>
    <xf numFmtId="168" fontId="2" fillId="0" borderId="0" xfId="1" applyNumberFormat="1" applyFont="1" applyAlignment="1">
      <alignment horizontal="left" indent="1"/>
    </xf>
    <xf numFmtId="167" fontId="2" fillId="0" borderId="0" xfId="0" applyNumberFormat="1" applyFont="1" applyAlignment="1">
      <alignment horizontal="left" indent="1"/>
    </xf>
    <xf numFmtId="168" fontId="2" fillId="0" borderId="0" xfId="1" applyNumberFormat="1" applyFont="1"/>
    <xf numFmtId="168" fontId="1" fillId="0" borderId="0" xfId="1" applyNumberFormat="1" applyFont="1"/>
    <xf numFmtId="168" fontId="2" fillId="0" borderId="0" xfId="1" applyNumberFormat="1" applyFont="1" applyAlignment="1">
      <alignment horizontal="center"/>
    </xf>
    <xf numFmtId="168" fontId="2" fillId="0" borderId="0" xfId="0" applyNumberFormat="1" applyFont="1"/>
    <xf numFmtId="166" fontId="0" fillId="0" borderId="0" xfId="0" applyNumberFormat="1"/>
    <xf numFmtId="0" fontId="0" fillId="0" borderId="0" xfId="0" applyAlignment="1">
      <alignment horizontal="left" wrapText="1"/>
    </xf>
    <xf numFmtId="17" fontId="0" fillId="0" borderId="0" xfId="2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9" fontId="2" fillId="0" borderId="0" xfId="0" applyNumberFormat="1" applyFont="1"/>
    <xf numFmtId="169" fontId="2" fillId="0" borderId="0" xfId="1" applyNumberFormat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 indent="1"/>
    </xf>
    <xf numFmtId="0" fontId="5" fillId="0" borderId="0" xfId="0" applyFont="1"/>
    <xf numFmtId="165" fontId="5" fillId="0" borderId="0" xfId="2" applyNumberFormat="1" applyFont="1"/>
    <xf numFmtId="168" fontId="5" fillId="0" borderId="0" xfId="1" applyNumberFormat="1" applyFont="1"/>
    <xf numFmtId="0" fontId="6" fillId="0" borderId="0" xfId="0" applyFont="1"/>
    <xf numFmtId="165" fontId="6" fillId="0" borderId="0" xfId="2" applyNumberFormat="1" applyFont="1"/>
    <xf numFmtId="169" fontId="6" fillId="0" borderId="0" xfId="1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2" applyNumberFormat="1" applyFont="1" applyAlignment="1">
      <alignment horizontal="center"/>
    </xf>
    <xf numFmtId="168" fontId="5" fillId="0" borderId="0" xfId="0" applyNumberFormat="1" applyFont="1"/>
    <xf numFmtId="166" fontId="5" fillId="0" borderId="0" xfId="0" applyNumberFormat="1" applyFont="1"/>
    <xf numFmtId="0" fontId="5" fillId="0" borderId="0" xfId="0" applyFont="1" applyAlignment="1">
      <alignment horizontal="left" indent="1"/>
    </xf>
    <xf numFmtId="0" fontId="9" fillId="0" borderId="0" xfId="0" applyFont="1"/>
    <xf numFmtId="0" fontId="10" fillId="0" borderId="0" xfId="0" applyFont="1"/>
    <xf numFmtId="168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7" fontId="5" fillId="0" borderId="0" xfId="0" applyNumberFormat="1" applyFont="1" applyAlignment="1">
      <alignment horizontal="center" wrapText="1"/>
    </xf>
    <xf numFmtId="166" fontId="5" fillId="2" borderId="1" xfId="3" applyNumberFormat="1" applyFont="1" applyFill="1" applyBorder="1"/>
    <xf numFmtId="168" fontId="5" fillId="0" borderId="0" xfId="1" applyNumberFormat="1" applyFont="1" applyAlignment="1">
      <alignment horizontal="center" wrapText="1"/>
    </xf>
    <xf numFmtId="168" fontId="5" fillId="0" borderId="0" xfId="0" applyNumberFormat="1" applyFont="1" applyAlignment="1">
      <alignment horizontal="center" wrapText="1"/>
    </xf>
    <xf numFmtId="167" fontId="5" fillId="2" borderId="1" xfId="1" applyNumberFormat="1" applyFont="1" applyFill="1" applyBorder="1"/>
    <xf numFmtId="168" fontId="5" fillId="2" borderId="1" xfId="1" applyNumberFormat="1" applyFont="1" applyFill="1" applyBorder="1"/>
    <xf numFmtId="165" fontId="5" fillId="2" borderId="1" xfId="2" applyNumberFormat="1" applyFont="1" applyFill="1" applyBorder="1"/>
    <xf numFmtId="0" fontId="11" fillId="0" borderId="0" xfId="0" applyFont="1"/>
    <xf numFmtId="165" fontId="11" fillId="0" borderId="0" xfId="2" applyNumberFormat="1" applyFont="1"/>
    <xf numFmtId="0" fontId="6" fillId="0" borderId="0" xfId="0" applyFont="1" applyAlignment="1">
      <alignment horizontal="left"/>
    </xf>
    <xf numFmtId="168" fontId="5" fillId="0" borderId="0" xfId="2" applyNumberFormat="1" applyFont="1"/>
    <xf numFmtId="165" fontId="6" fillId="0" borderId="0" xfId="2" applyNumberFormat="1" applyFont="1" applyAlignment="1">
      <alignment horizontal="center"/>
    </xf>
    <xf numFmtId="0" fontId="12" fillId="0" borderId="0" xfId="0" applyFont="1"/>
    <xf numFmtId="168" fontId="6" fillId="0" borderId="0" xfId="0" applyNumberFormat="1" applyFont="1" applyAlignment="1">
      <alignment horizontal="center"/>
    </xf>
    <xf numFmtId="167" fontId="5" fillId="0" borderId="0" xfId="0" applyNumberFormat="1" applyFont="1"/>
    <xf numFmtId="165" fontId="5" fillId="2" borderId="0" xfId="2" applyNumberFormat="1" applyFont="1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 inden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11"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Sales &amp; Production Units</a:t>
            </a:r>
          </a:p>
          <a:p>
            <a:pPr>
              <a:defRPr/>
            </a:pP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'Sales &amp; Production'!$C$1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'Sales &amp; Production'!$B$2:$B$37</c:f>
              <c:numCache>
                <c:formatCode>mmm\-yy</c:formatCode>
                <c:ptCount val="36"/>
                <c:pt idx="0">
                  <c:v>46113</c:v>
                </c:pt>
                <c:pt idx="1">
                  <c:v>46143</c:v>
                </c:pt>
                <c:pt idx="2">
                  <c:v>46174</c:v>
                </c:pt>
                <c:pt idx="3">
                  <c:v>46204</c:v>
                </c:pt>
                <c:pt idx="4">
                  <c:v>46235</c:v>
                </c:pt>
                <c:pt idx="5">
                  <c:v>46266</c:v>
                </c:pt>
                <c:pt idx="6">
                  <c:v>46296</c:v>
                </c:pt>
                <c:pt idx="7">
                  <c:v>46327</c:v>
                </c:pt>
                <c:pt idx="8">
                  <c:v>46357</c:v>
                </c:pt>
                <c:pt idx="9">
                  <c:v>46388</c:v>
                </c:pt>
                <c:pt idx="10">
                  <c:v>46419</c:v>
                </c:pt>
                <c:pt idx="11">
                  <c:v>46447</c:v>
                </c:pt>
                <c:pt idx="12">
                  <c:v>46478</c:v>
                </c:pt>
                <c:pt idx="13">
                  <c:v>46508</c:v>
                </c:pt>
                <c:pt idx="14">
                  <c:v>46539</c:v>
                </c:pt>
                <c:pt idx="15">
                  <c:v>46569</c:v>
                </c:pt>
                <c:pt idx="16">
                  <c:v>46600</c:v>
                </c:pt>
                <c:pt idx="17">
                  <c:v>46631</c:v>
                </c:pt>
                <c:pt idx="18">
                  <c:v>46661</c:v>
                </c:pt>
                <c:pt idx="19">
                  <c:v>46692</c:v>
                </c:pt>
                <c:pt idx="20">
                  <c:v>46722</c:v>
                </c:pt>
                <c:pt idx="21">
                  <c:v>46753</c:v>
                </c:pt>
                <c:pt idx="22">
                  <c:v>46784</c:v>
                </c:pt>
                <c:pt idx="23">
                  <c:v>46813</c:v>
                </c:pt>
                <c:pt idx="24">
                  <c:v>46844</c:v>
                </c:pt>
                <c:pt idx="25">
                  <c:v>46874</c:v>
                </c:pt>
                <c:pt idx="26">
                  <c:v>46905</c:v>
                </c:pt>
                <c:pt idx="27">
                  <c:v>46935</c:v>
                </c:pt>
                <c:pt idx="28">
                  <c:v>46966</c:v>
                </c:pt>
                <c:pt idx="29">
                  <c:v>46997</c:v>
                </c:pt>
                <c:pt idx="30">
                  <c:v>47027</c:v>
                </c:pt>
                <c:pt idx="31">
                  <c:v>47058</c:v>
                </c:pt>
                <c:pt idx="32">
                  <c:v>47088</c:v>
                </c:pt>
                <c:pt idx="33">
                  <c:v>47119</c:v>
                </c:pt>
                <c:pt idx="34">
                  <c:v>47150</c:v>
                </c:pt>
                <c:pt idx="35">
                  <c:v>47178</c:v>
                </c:pt>
              </c:numCache>
            </c:numRef>
          </c:cat>
          <c:val>
            <c:numRef>
              <c:f>'Sales &amp; Production'!$C$2:$C$37</c:f>
              <c:numCache>
                <c:formatCode>_-* #,##0_-;\-* #,##0_-;_-* "-"??_-;_-@_-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200</c:v>
                </c:pt>
                <c:pt idx="16">
                  <c:v>350</c:v>
                </c:pt>
                <c:pt idx="17">
                  <c:v>450</c:v>
                </c:pt>
                <c:pt idx="18">
                  <c:v>469.125</c:v>
                </c:pt>
                <c:pt idx="19">
                  <c:v>489.06281250000001</c:v>
                </c:pt>
                <c:pt idx="20">
                  <c:v>509.84798203125001</c:v>
                </c:pt>
                <c:pt idx="21">
                  <c:v>541.51652126757813</c:v>
                </c:pt>
                <c:pt idx="22">
                  <c:v>571.60597342145024</c:v>
                </c:pt>
                <c:pt idx="23">
                  <c:v>600.15547729186187</c:v>
                </c:pt>
                <c:pt idx="24">
                  <c:v>625.66208507676595</c:v>
                </c:pt>
                <c:pt idx="25">
                  <c:v>652.25272369252843</c:v>
                </c:pt>
                <c:pt idx="26">
                  <c:v>679.97346444946095</c:v>
                </c:pt>
                <c:pt idx="27">
                  <c:v>709.37233668856311</c:v>
                </c:pt>
                <c:pt idx="28">
                  <c:v>739.874410997827</c:v>
                </c:pt>
                <c:pt idx="29">
                  <c:v>771.53188596523455</c:v>
                </c:pt>
                <c:pt idx="30">
                  <c:v>804.32199111875696</c:v>
                </c:pt>
                <c:pt idx="31">
                  <c:v>838.50567574130423</c:v>
                </c:pt>
                <c:pt idx="32">
                  <c:v>874.14216696030962</c:v>
                </c:pt>
                <c:pt idx="33">
                  <c:v>911.31820905612278</c:v>
                </c:pt>
                <c:pt idx="34">
                  <c:v>950.06692044100794</c:v>
                </c:pt>
                <c:pt idx="35">
                  <c:v>990.45540518475082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C-4D13-99B0-70D46D6A60C6}"/>
            </c:ext>
          </c:extLst>
        </c:ser>
        <c:ser>
          <c:idx val="1"/>
          <c:order val="1"/>
          <c:tx>
            <c:strRef>
              <c:f>'Sales &amp; Production'!$D$1</c:f>
              <c:strCache>
                <c:ptCount val="1"/>
                <c:pt idx="0">
                  <c:v> Production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'Sales &amp; Production'!$B$2:$B$37</c:f>
              <c:numCache>
                <c:formatCode>mmm\-yy</c:formatCode>
                <c:ptCount val="36"/>
                <c:pt idx="0">
                  <c:v>46113</c:v>
                </c:pt>
                <c:pt idx="1">
                  <c:v>46143</c:v>
                </c:pt>
                <c:pt idx="2">
                  <c:v>46174</c:v>
                </c:pt>
                <c:pt idx="3">
                  <c:v>46204</c:v>
                </c:pt>
                <c:pt idx="4">
                  <c:v>46235</c:v>
                </c:pt>
                <c:pt idx="5">
                  <c:v>46266</c:v>
                </c:pt>
                <c:pt idx="6">
                  <c:v>46296</c:v>
                </c:pt>
                <c:pt idx="7">
                  <c:v>46327</c:v>
                </c:pt>
                <c:pt idx="8">
                  <c:v>46357</c:v>
                </c:pt>
                <c:pt idx="9">
                  <c:v>46388</c:v>
                </c:pt>
                <c:pt idx="10">
                  <c:v>46419</c:v>
                </c:pt>
                <c:pt idx="11">
                  <c:v>46447</c:v>
                </c:pt>
                <c:pt idx="12">
                  <c:v>46478</c:v>
                </c:pt>
                <c:pt idx="13">
                  <c:v>46508</c:v>
                </c:pt>
                <c:pt idx="14">
                  <c:v>46539</c:v>
                </c:pt>
                <c:pt idx="15">
                  <c:v>46569</c:v>
                </c:pt>
                <c:pt idx="16">
                  <c:v>46600</c:v>
                </c:pt>
                <c:pt idx="17">
                  <c:v>46631</c:v>
                </c:pt>
                <c:pt idx="18">
                  <c:v>46661</c:v>
                </c:pt>
                <c:pt idx="19">
                  <c:v>46692</c:v>
                </c:pt>
                <c:pt idx="20">
                  <c:v>46722</c:v>
                </c:pt>
                <c:pt idx="21">
                  <c:v>46753</c:v>
                </c:pt>
                <c:pt idx="22">
                  <c:v>46784</c:v>
                </c:pt>
                <c:pt idx="23">
                  <c:v>46813</c:v>
                </c:pt>
                <c:pt idx="24">
                  <c:v>46844</c:v>
                </c:pt>
                <c:pt idx="25">
                  <c:v>46874</c:v>
                </c:pt>
                <c:pt idx="26">
                  <c:v>46905</c:v>
                </c:pt>
                <c:pt idx="27">
                  <c:v>46935</c:v>
                </c:pt>
                <c:pt idx="28">
                  <c:v>46966</c:v>
                </c:pt>
                <c:pt idx="29">
                  <c:v>46997</c:v>
                </c:pt>
                <c:pt idx="30">
                  <c:v>47027</c:v>
                </c:pt>
                <c:pt idx="31">
                  <c:v>47058</c:v>
                </c:pt>
                <c:pt idx="32">
                  <c:v>47088</c:v>
                </c:pt>
                <c:pt idx="33">
                  <c:v>47119</c:v>
                </c:pt>
                <c:pt idx="34">
                  <c:v>47150</c:v>
                </c:pt>
                <c:pt idx="35">
                  <c:v>47178</c:v>
                </c:pt>
              </c:numCache>
            </c:numRef>
          </c:cat>
          <c:val>
            <c:numRef>
              <c:f>'Sales &amp; Production'!$D$2:$D$37</c:f>
              <c:numCache>
                <c:formatCode>_-* #,##0_-;\-* #,##0_-;_-* "-"??_-;_-@_-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200</c:v>
                </c:pt>
                <c:pt idx="16">
                  <c:v>350</c:v>
                </c:pt>
                <c:pt idx="17">
                  <c:v>450</c:v>
                </c:pt>
                <c:pt idx="18">
                  <c:v>469.125</c:v>
                </c:pt>
                <c:pt idx="19">
                  <c:v>489.06281250000001</c:v>
                </c:pt>
                <c:pt idx="20">
                  <c:v>509.84798203125001</c:v>
                </c:pt>
                <c:pt idx="21">
                  <c:v>541.51652126757813</c:v>
                </c:pt>
                <c:pt idx="22">
                  <c:v>571.60597342145024</c:v>
                </c:pt>
                <c:pt idx="23">
                  <c:v>600.15547729186187</c:v>
                </c:pt>
                <c:pt idx="24">
                  <c:v>625.66208507676595</c:v>
                </c:pt>
                <c:pt idx="25">
                  <c:v>652.25272369252843</c:v>
                </c:pt>
                <c:pt idx="26">
                  <c:v>679.97346444946083</c:v>
                </c:pt>
                <c:pt idx="27">
                  <c:v>709.37233668856311</c:v>
                </c:pt>
                <c:pt idx="28">
                  <c:v>739.87441099782711</c:v>
                </c:pt>
                <c:pt idx="29">
                  <c:v>771.53188596523455</c:v>
                </c:pt>
                <c:pt idx="30">
                  <c:v>804.32199111875696</c:v>
                </c:pt>
                <c:pt idx="31">
                  <c:v>838.50567574130434</c:v>
                </c:pt>
                <c:pt idx="32">
                  <c:v>874.14216696030951</c:v>
                </c:pt>
                <c:pt idx="33">
                  <c:v>911.31820905612267</c:v>
                </c:pt>
                <c:pt idx="34">
                  <c:v>950.06692044100794</c:v>
                </c:pt>
                <c:pt idx="35">
                  <c:v>990.45540518475082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D13-99B0-70D46D6A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37888"/>
        <c:axId val="218447872"/>
      </c:lineChart>
      <c:dateAx>
        <c:axId val="218437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47872"/>
        <c:crosses val="autoZero"/>
        <c:auto val="1"/>
        <c:lblOffset val="100"/>
        <c:baseTimeUnit val="months"/>
      </c:dateAx>
      <c:valAx>
        <c:axId val="21844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'Sales &amp; Production'!$E$1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'Sales &amp; Production'!$B$2:$B$37</c:f>
              <c:numCache>
                <c:formatCode>mmm\-yy</c:formatCode>
                <c:ptCount val="36"/>
                <c:pt idx="0">
                  <c:v>46113</c:v>
                </c:pt>
                <c:pt idx="1">
                  <c:v>46143</c:v>
                </c:pt>
                <c:pt idx="2">
                  <c:v>46174</c:v>
                </c:pt>
                <c:pt idx="3">
                  <c:v>46204</c:v>
                </c:pt>
                <c:pt idx="4">
                  <c:v>46235</c:v>
                </c:pt>
                <c:pt idx="5">
                  <c:v>46266</c:v>
                </c:pt>
                <c:pt idx="6">
                  <c:v>46296</c:v>
                </c:pt>
                <c:pt idx="7">
                  <c:v>46327</c:v>
                </c:pt>
                <c:pt idx="8">
                  <c:v>46357</c:v>
                </c:pt>
                <c:pt idx="9">
                  <c:v>46388</c:v>
                </c:pt>
                <c:pt idx="10">
                  <c:v>46419</c:v>
                </c:pt>
                <c:pt idx="11">
                  <c:v>46447</c:v>
                </c:pt>
                <c:pt idx="12">
                  <c:v>46478</c:v>
                </c:pt>
                <c:pt idx="13">
                  <c:v>46508</c:v>
                </c:pt>
                <c:pt idx="14">
                  <c:v>46539</c:v>
                </c:pt>
                <c:pt idx="15">
                  <c:v>46569</c:v>
                </c:pt>
                <c:pt idx="16">
                  <c:v>46600</c:v>
                </c:pt>
                <c:pt idx="17">
                  <c:v>46631</c:v>
                </c:pt>
                <c:pt idx="18">
                  <c:v>46661</c:v>
                </c:pt>
                <c:pt idx="19">
                  <c:v>46692</c:v>
                </c:pt>
                <c:pt idx="20">
                  <c:v>46722</c:v>
                </c:pt>
                <c:pt idx="21">
                  <c:v>46753</c:v>
                </c:pt>
                <c:pt idx="22">
                  <c:v>46784</c:v>
                </c:pt>
                <c:pt idx="23">
                  <c:v>46813</c:v>
                </c:pt>
                <c:pt idx="24">
                  <c:v>46844</c:v>
                </c:pt>
                <c:pt idx="25">
                  <c:v>46874</c:v>
                </c:pt>
                <c:pt idx="26">
                  <c:v>46905</c:v>
                </c:pt>
                <c:pt idx="27">
                  <c:v>46935</c:v>
                </c:pt>
                <c:pt idx="28">
                  <c:v>46966</c:v>
                </c:pt>
                <c:pt idx="29">
                  <c:v>46997</c:v>
                </c:pt>
                <c:pt idx="30">
                  <c:v>47027</c:v>
                </c:pt>
                <c:pt idx="31">
                  <c:v>47058</c:v>
                </c:pt>
                <c:pt idx="32">
                  <c:v>47088</c:v>
                </c:pt>
                <c:pt idx="33">
                  <c:v>47119</c:v>
                </c:pt>
                <c:pt idx="34">
                  <c:v>47150</c:v>
                </c:pt>
                <c:pt idx="35">
                  <c:v>47178</c:v>
                </c:pt>
              </c:numCache>
            </c:numRef>
          </c:cat>
          <c:val>
            <c:numRef>
              <c:f>'Sales &amp; Production'!$E$2:$E$37</c:f>
              <c:numCache>
                <c:formatCode>#,##0_ ;[Red]\-#,##0\ </c:formatCode>
                <c:ptCount val="36"/>
                <c:pt idx="0">
                  <c:v>-84583.333333333328</c:v>
                </c:pt>
                <c:pt idx="1">
                  <c:v>-186250.00000000003</c:v>
                </c:pt>
                <c:pt idx="2">
                  <c:v>-228750.00000000003</c:v>
                </c:pt>
                <c:pt idx="3">
                  <c:v>-228750.00000000003</c:v>
                </c:pt>
                <c:pt idx="4">
                  <c:v>-133750</c:v>
                </c:pt>
                <c:pt idx="5">
                  <c:v>-133750</c:v>
                </c:pt>
                <c:pt idx="6">
                  <c:v>-150000</c:v>
                </c:pt>
                <c:pt idx="7">
                  <c:v>-210083.33333333334</c:v>
                </c:pt>
                <c:pt idx="8">
                  <c:v>-110083.33333333333</c:v>
                </c:pt>
                <c:pt idx="9">
                  <c:v>-150083.33333333331</c:v>
                </c:pt>
                <c:pt idx="10">
                  <c:v>-217583.33333333334</c:v>
                </c:pt>
                <c:pt idx="11">
                  <c:v>-205333.33333333331</c:v>
                </c:pt>
                <c:pt idx="12">
                  <c:v>-137833.33333333334</c:v>
                </c:pt>
                <c:pt idx="13">
                  <c:v>-137833.33333333334</c:v>
                </c:pt>
                <c:pt idx="14">
                  <c:v>-137833.33333333334</c:v>
                </c:pt>
                <c:pt idx="15">
                  <c:v>-212500</c:v>
                </c:pt>
                <c:pt idx="16">
                  <c:v>-252625</c:v>
                </c:pt>
                <c:pt idx="17">
                  <c:v>-244875</c:v>
                </c:pt>
                <c:pt idx="18">
                  <c:v>-135375.9375</c:v>
                </c:pt>
                <c:pt idx="19">
                  <c:v>-21823.164843749983</c:v>
                </c:pt>
                <c:pt idx="20">
                  <c:v>97181.100650390668</c:v>
                </c:pt>
                <c:pt idx="21">
                  <c:v>238978.04742803233</c:v>
                </c:pt>
                <c:pt idx="22">
                  <c:v>384913.87694372365</c:v>
                </c:pt>
                <c:pt idx="23">
                  <c:v>526887.67608883185</c:v>
                </c:pt>
                <c:pt idx="24">
                  <c:v>662785.21482260735</c:v>
                </c:pt>
                <c:pt idx="25">
                  <c:v>796450.5239525683</c:v>
                </c:pt>
                <c:pt idx="26">
                  <c:v>944128.33997055236</c:v>
                </c:pt>
                <c:pt idx="27">
                  <c:v>1103560.5309818008</c:v>
                </c:pt>
                <c:pt idx="28">
                  <c:v>1272219.5994391518</c:v>
                </c:pt>
                <c:pt idx="29">
                  <c:v>1441366.5160379724</c:v>
                </c:pt>
                <c:pt idx="30">
                  <c:v>1625426.993531188</c:v>
                </c:pt>
                <c:pt idx="31">
                  <c:v>1817299.4880646942</c:v>
                </c:pt>
                <c:pt idx="32">
                  <c:v>2017315.4827000473</c:v>
                </c:pt>
                <c:pt idx="33">
                  <c:v>2216274.8596457825</c:v>
                </c:pt>
                <c:pt idx="34">
                  <c:v>2432253.1496832604</c:v>
                </c:pt>
                <c:pt idx="35">
                  <c:v>2657680.0224943338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F-4067-BA47-CE1D77B1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77312"/>
        <c:axId val="218478848"/>
      </c:lineChart>
      <c:dateAx>
        <c:axId val="218477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78848"/>
        <c:crosses val="autoZero"/>
        <c:auto val="1"/>
        <c:lblOffset val="100"/>
        <c:baseTimeUnit val="months"/>
      </c:dateAx>
      <c:valAx>
        <c:axId val="21847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79375</xdr:colOff>
      <xdr:row>3</xdr:row>
      <xdr:rowOff>82550</xdr:rowOff>
    </xdr:from>
    <xdr:to>
      <xdr:col>17</xdr:col>
      <xdr:colOff>384175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5F584A-CE13-62DA-60F9-DA48AA9EE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19</xdr:row>
      <xdr:rowOff>31750</xdr:rowOff>
    </xdr:from>
    <xdr:to>
      <xdr:col>17</xdr:col>
      <xdr:colOff>352425</xdr:colOff>
      <xdr:row>34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F7A089-29B9-3440-AD63-C90AD0FA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A9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0" sqref="E10"/>
    </sheetView>
  </sheetViews>
  <sheetFormatPr defaultRowHeight="14.4" x14ac:dyDescent="0.3"/>
  <cols>
    <col min="1" max="1" width="37" customWidth="1"/>
    <col min="2" max="2" width="11.109375" style="2" bestFit="1" customWidth="1"/>
    <col min="3" max="3" width="13.21875" bestFit="1" customWidth="1"/>
    <col min="5" max="5" width="13.6640625" bestFit="1" customWidth="1"/>
    <col min="6" max="6" width="9.44140625" customWidth="1"/>
    <col min="7" max="7" width="12.21875" customWidth="1"/>
    <col min="9" max="9" width="12" customWidth="1"/>
    <col min="10" max="10" width="9.109375" bestFit="1" customWidth="1"/>
    <col min="11" max="11" width="13.44140625" customWidth="1"/>
    <col min="12" max="12" width="10.44140625" customWidth="1"/>
    <col min="14" max="14" width="10.77734375" customWidth="1"/>
    <col min="15" max="15" width="11.88671875" style="28" customWidth="1"/>
    <col min="16" max="16" width="12.88671875" customWidth="1"/>
    <col min="17" max="17" width="10.33203125" customWidth="1"/>
  </cols>
  <sheetData>
    <row r="1" spans="1:53" x14ac:dyDescent="0.3">
      <c r="A1" s="35" t="s">
        <v>79</v>
      </c>
      <c r="E1" s="40"/>
      <c r="F1" s="40" t="s">
        <v>6</v>
      </c>
      <c r="G1" s="41">
        <f>'P&amp;L by Period'!B5</f>
        <v>37733107.994079381</v>
      </c>
      <c r="H1" s="40"/>
      <c r="I1" s="40" t="s">
        <v>110</v>
      </c>
      <c r="J1" s="42">
        <f>P44</f>
        <v>13728.791041884771</v>
      </c>
      <c r="K1" s="40"/>
      <c r="L1" s="40" t="s">
        <v>113</v>
      </c>
      <c r="M1" s="47">
        <f>+Workings!G135</f>
        <v>21</v>
      </c>
      <c r="N1" s="48">
        <f>HLOOKUP(M1,Workings!R$1:$AR$2,2,1)</f>
        <v>46140</v>
      </c>
      <c r="O1" s="42"/>
      <c r="P1" s="40"/>
      <c r="Q1" s="40"/>
      <c r="R1" s="40"/>
      <c r="S1" s="40"/>
    </row>
    <row r="2" spans="1:53" x14ac:dyDescent="0.3">
      <c r="E2" s="40"/>
      <c r="F2" s="40" t="s">
        <v>107</v>
      </c>
      <c r="G2" s="41">
        <f>'P&amp;L by Period'!B6</f>
        <v>10983032.833507819</v>
      </c>
      <c r="H2" s="40"/>
      <c r="I2" s="40" t="s">
        <v>111</v>
      </c>
      <c r="J2" s="42">
        <f>Workings!G128</f>
        <v>13728.791041884771</v>
      </c>
      <c r="K2" s="40"/>
      <c r="L2" s="40" t="s">
        <v>71</v>
      </c>
      <c r="M2" s="47">
        <f>Workings!G136</f>
        <v>27</v>
      </c>
      <c r="N2" s="48">
        <f>HLOOKUP(M2,Workings!R$1:$AR$2,2,1)</f>
        <v>46323</v>
      </c>
      <c r="O2" s="42"/>
      <c r="P2" s="40"/>
      <c r="Q2" s="40"/>
      <c r="R2" s="40"/>
      <c r="S2" s="49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x14ac:dyDescent="0.3">
      <c r="A3" t="s">
        <v>40</v>
      </c>
      <c r="B3" s="15">
        <v>45535</v>
      </c>
      <c r="E3" s="40"/>
      <c r="F3" s="40" t="s">
        <v>108</v>
      </c>
      <c r="G3" s="41">
        <f>'P&amp;L by Period'!B31</f>
        <v>9835052.8404803779</v>
      </c>
      <c r="H3" s="40"/>
      <c r="I3" s="43" t="s">
        <v>112</v>
      </c>
      <c r="J3" s="45">
        <f>+J2-J1</f>
        <v>0</v>
      </c>
      <c r="K3" s="40"/>
      <c r="L3" s="40"/>
      <c r="M3" s="40"/>
      <c r="N3" s="40"/>
      <c r="O3" s="42"/>
      <c r="P3" s="40"/>
      <c r="Q3" s="40"/>
      <c r="R3" s="40"/>
      <c r="S3" s="40"/>
    </row>
    <row r="4" spans="1:53" x14ac:dyDescent="0.3">
      <c r="E4" s="40"/>
      <c r="F4" s="43" t="s">
        <v>109</v>
      </c>
      <c r="G4" s="44">
        <f>+G1-G2-G3</f>
        <v>16915022.320091181</v>
      </c>
      <c r="H4" s="40"/>
      <c r="I4" s="40"/>
      <c r="J4" s="42"/>
      <c r="K4" s="40"/>
      <c r="L4" s="40"/>
      <c r="M4" s="40"/>
      <c r="N4" s="40"/>
      <c r="O4" s="42"/>
      <c r="P4" s="40"/>
      <c r="Q4" s="40"/>
      <c r="R4" s="40"/>
      <c r="S4" s="40"/>
    </row>
    <row r="5" spans="1:53" x14ac:dyDescent="0.3">
      <c r="E5" s="40"/>
      <c r="F5" s="40"/>
      <c r="G5" s="41"/>
      <c r="H5" s="40"/>
      <c r="I5" s="40"/>
      <c r="J5" s="42"/>
      <c r="K5" s="40"/>
      <c r="L5" s="40"/>
      <c r="M5" s="40"/>
      <c r="N5" s="40"/>
      <c r="O5" s="42"/>
      <c r="P5" s="40"/>
      <c r="Q5" s="40"/>
      <c r="R5" s="40"/>
      <c r="S5" s="40"/>
    </row>
    <row r="6" spans="1:53" x14ac:dyDescent="0.3">
      <c r="J6" s="7"/>
      <c r="L6" s="40"/>
      <c r="M6" s="40"/>
      <c r="N6" s="40"/>
      <c r="O6" s="42"/>
      <c r="P6" s="40"/>
      <c r="Q6" s="40"/>
      <c r="R6" s="50"/>
      <c r="S6" s="40"/>
    </row>
    <row r="7" spans="1:53" ht="21" x14ac:dyDescent="0.4">
      <c r="A7" s="34" t="s">
        <v>80</v>
      </c>
      <c r="B7" s="43"/>
      <c r="C7" s="40"/>
      <c r="D7" s="40"/>
      <c r="E7" s="40"/>
      <c r="F7" s="40"/>
      <c r="G7" s="40"/>
      <c r="H7" s="40"/>
      <c r="I7" s="40"/>
      <c r="J7" s="40"/>
      <c r="K7" s="40"/>
      <c r="L7" s="43" t="s">
        <v>70</v>
      </c>
      <c r="M7" s="40"/>
      <c r="N7" s="40"/>
      <c r="O7" s="42"/>
      <c r="P7" s="40"/>
      <c r="R7" s="31"/>
    </row>
    <row r="8" spans="1:53" x14ac:dyDescent="0.3">
      <c r="A8" s="40"/>
      <c r="B8" s="4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54" t="s">
        <v>20</v>
      </c>
      <c r="P8" s="55" t="s">
        <v>71</v>
      </c>
    </row>
    <row r="9" spans="1:53" x14ac:dyDescent="0.3">
      <c r="A9" s="43" t="s">
        <v>6</v>
      </c>
      <c r="B9" s="41"/>
      <c r="C9" s="41"/>
      <c r="D9" s="56" t="s">
        <v>115</v>
      </c>
      <c r="E9" s="41"/>
      <c r="F9" s="41"/>
      <c r="G9" s="41"/>
      <c r="H9" s="41"/>
      <c r="I9" s="41"/>
      <c r="J9" s="41"/>
      <c r="K9" s="41"/>
      <c r="L9" s="57">
        <f>Workings!I1</f>
        <v>1</v>
      </c>
      <c r="M9" s="58">
        <f>Workings!I2</f>
        <v>45535</v>
      </c>
      <c r="N9" s="59">
        <f>+B15</f>
        <v>4.2500000000000003E-2</v>
      </c>
      <c r="O9" s="60">
        <f>Workings!I28</f>
        <v>0</v>
      </c>
      <c r="P9" s="49">
        <f>O9</f>
        <v>0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53" s="5" customFormat="1" x14ac:dyDescent="0.3">
      <c r="A10" s="51" t="s">
        <v>23</v>
      </c>
      <c r="B10" s="61">
        <f>+B73</f>
        <v>0</v>
      </c>
      <c r="C10" s="41" t="s">
        <v>21</v>
      </c>
      <c r="D10" s="61">
        <f>+D73</f>
        <v>2</v>
      </c>
      <c r="E10" s="48">
        <f>IF(D10&gt;0,HLOOKUP(D10,Workings!I$1:$AR$2,2,1),0)</f>
        <v>45565</v>
      </c>
      <c r="F10" s="41"/>
      <c r="G10" s="41"/>
      <c r="H10" s="41"/>
      <c r="I10" s="41"/>
      <c r="J10" s="41"/>
      <c r="K10" s="41"/>
      <c r="L10" s="57">
        <f>Workings!J1</f>
        <v>2</v>
      </c>
      <c r="M10" s="58">
        <f>Workings!J2</f>
        <v>45565</v>
      </c>
      <c r="N10" s="59">
        <f>+N9</f>
        <v>4.2500000000000003E-2</v>
      </c>
      <c r="O10" s="60">
        <f>Workings!J28</f>
        <v>0</v>
      </c>
      <c r="P10" s="61">
        <f>+P9+O10</f>
        <v>0</v>
      </c>
      <c r="Q10" s="32"/>
    </row>
    <row r="11" spans="1:53" x14ac:dyDescent="0.3">
      <c r="A11" s="51" t="s">
        <v>136</v>
      </c>
      <c r="B11" s="62">
        <v>2</v>
      </c>
      <c r="C11" s="41"/>
      <c r="D11" s="41"/>
      <c r="E11" s="41"/>
      <c r="F11" s="41"/>
      <c r="G11" s="41"/>
      <c r="H11" s="41"/>
      <c r="I11" s="41"/>
      <c r="J11" s="41"/>
      <c r="K11" s="41"/>
      <c r="L11" s="57">
        <f>Workings!K1</f>
        <v>3</v>
      </c>
      <c r="M11" s="58">
        <f>Workings!K2</f>
        <v>45595</v>
      </c>
      <c r="N11" s="59">
        <f t="shared" ref="N11:N44" si="0">+N10</f>
        <v>4.2500000000000003E-2</v>
      </c>
      <c r="O11" s="60">
        <f>Workings!K28</f>
        <v>0</v>
      </c>
      <c r="P11" s="61">
        <f>+P10+O11</f>
        <v>0</v>
      </c>
      <c r="S11" s="31"/>
    </row>
    <row r="12" spans="1:53" x14ac:dyDescent="0.3">
      <c r="A12" s="51" t="s">
        <v>6</v>
      </c>
      <c r="B12" s="62">
        <v>200</v>
      </c>
      <c r="C12" s="41" t="s">
        <v>137</v>
      </c>
      <c r="D12" s="63">
        <v>16</v>
      </c>
      <c r="E12" s="48">
        <f>IF(D12&gt;0,HLOOKUP(D12,Workings!I$1:$AR$2,2,1),0)</f>
        <v>45989</v>
      </c>
      <c r="F12" s="40"/>
      <c r="G12" s="40"/>
      <c r="H12" s="40"/>
      <c r="I12" s="40"/>
      <c r="J12" s="40"/>
      <c r="K12" s="40"/>
      <c r="L12" s="57">
        <f>Workings!L1</f>
        <v>4</v>
      </c>
      <c r="M12" s="58">
        <f>Workings!L2</f>
        <v>45626</v>
      </c>
      <c r="N12" s="59">
        <f t="shared" si="0"/>
        <v>4.2500000000000003E-2</v>
      </c>
      <c r="O12" s="60">
        <f>Workings!L28</f>
        <v>0</v>
      </c>
      <c r="P12" s="61">
        <f t="shared" ref="P12:P44" si="1">+P11+O12</f>
        <v>0</v>
      </c>
      <c r="Q12" s="4"/>
    </row>
    <row r="13" spans="1:53" x14ac:dyDescent="0.3">
      <c r="A13" s="51" t="s">
        <v>6</v>
      </c>
      <c r="B13" s="62">
        <v>350</v>
      </c>
      <c r="C13" s="41" t="s">
        <v>138</v>
      </c>
      <c r="D13" s="40"/>
      <c r="E13" s="40"/>
      <c r="F13" s="40"/>
      <c r="G13" s="40"/>
      <c r="H13" s="40"/>
      <c r="I13" s="40"/>
      <c r="J13" s="40"/>
      <c r="K13" s="41"/>
      <c r="L13" s="57">
        <f>Workings!M1</f>
        <v>5</v>
      </c>
      <c r="M13" s="58">
        <f>Workings!M2</f>
        <v>45656</v>
      </c>
      <c r="N13" s="59">
        <f t="shared" si="0"/>
        <v>4.2500000000000003E-2</v>
      </c>
      <c r="O13" s="60">
        <f>Workings!M28</f>
        <v>0</v>
      </c>
      <c r="P13" s="61">
        <f t="shared" si="1"/>
        <v>0</v>
      </c>
      <c r="Q13" s="4"/>
    </row>
    <row r="14" spans="1:53" x14ac:dyDescent="0.3">
      <c r="A14" s="51" t="s">
        <v>6</v>
      </c>
      <c r="B14" s="62">
        <v>450</v>
      </c>
      <c r="C14" s="41" t="s">
        <v>139</v>
      </c>
      <c r="D14" s="40"/>
      <c r="E14" s="40"/>
      <c r="F14" s="40"/>
      <c r="G14" s="40"/>
      <c r="H14" s="40"/>
      <c r="I14" s="40"/>
      <c r="J14" s="40"/>
      <c r="K14" s="41"/>
      <c r="L14" s="57">
        <f>Workings!N1</f>
        <v>6</v>
      </c>
      <c r="M14" s="58">
        <f>Workings!N2</f>
        <v>45687</v>
      </c>
      <c r="N14" s="59">
        <f t="shared" si="0"/>
        <v>4.2500000000000003E-2</v>
      </c>
      <c r="O14" s="60">
        <f>Workings!N28</f>
        <v>0</v>
      </c>
      <c r="P14" s="61">
        <f t="shared" si="1"/>
        <v>0</v>
      </c>
      <c r="Q14" s="4"/>
    </row>
    <row r="15" spans="1:53" x14ac:dyDescent="0.3">
      <c r="A15" s="51" t="s">
        <v>96</v>
      </c>
      <c r="B15" s="59">
        <v>4.2500000000000003E-2</v>
      </c>
      <c r="C15" s="41" t="s">
        <v>133</v>
      </c>
      <c r="D15" s="40"/>
      <c r="E15" s="40"/>
      <c r="F15" s="40"/>
      <c r="G15" s="40"/>
      <c r="H15" s="40"/>
      <c r="I15" s="40"/>
      <c r="J15" s="40"/>
      <c r="K15" s="41"/>
      <c r="L15" s="57">
        <f>Workings!O1</f>
        <v>7</v>
      </c>
      <c r="M15" s="58">
        <f>Workings!O2</f>
        <v>45716</v>
      </c>
      <c r="N15" s="59">
        <f t="shared" si="0"/>
        <v>4.2500000000000003E-2</v>
      </c>
      <c r="O15" s="60">
        <f>Workings!O28</f>
        <v>0</v>
      </c>
      <c r="P15" s="61">
        <f t="shared" si="1"/>
        <v>0</v>
      </c>
      <c r="Q15" s="4"/>
    </row>
    <row r="16" spans="1:53" x14ac:dyDescent="0.3">
      <c r="A16" s="51" t="s">
        <v>22</v>
      </c>
      <c r="B16" s="64">
        <v>300</v>
      </c>
      <c r="C16" s="41" t="s">
        <v>133</v>
      </c>
      <c r="D16" s="41"/>
      <c r="E16" s="41"/>
      <c r="F16" s="41"/>
      <c r="G16" s="41"/>
      <c r="H16" s="41"/>
      <c r="I16" s="41"/>
      <c r="J16" s="41"/>
      <c r="K16" s="41"/>
      <c r="L16" s="57">
        <f>Workings!P1</f>
        <v>8</v>
      </c>
      <c r="M16" s="58">
        <f>Workings!P2</f>
        <v>45744</v>
      </c>
      <c r="N16" s="59">
        <f t="shared" si="0"/>
        <v>4.2500000000000003E-2</v>
      </c>
      <c r="O16" s="60">
        <f>Workings!P28</f>
        <v>0</v>
      </c>
      <c r="P16" s="61">
        <f t="shared" si="1"/>
        <v>0</v>
      </c>
      <c r="Q16" s="4"/>
    </row>
    <row r="17" spans="1:17" x14ac:dyDescent="0.3">
      <c r="A17" s="51" t="s">
        <v>128</v>
      </c>
      <c r="B17" s="64">
        <v>200</v>
      </c>
      <c r="C17" s="41" t="s">
        <v>133</v>
      </c>
      <c r="D17" s="62">
        <v>6</v>
      </c>
      <c r="E17" s="40" t="s">
        <v>118</v>
      </c>
      <c r="F17" s="41"/>
      <c r="G17" s="41"/>
      <c r="H17" s="40"/>
      <c r="I17" s="40"/>
      <c r="J17" s="41"/>
      <c r="K17" s="41"/>
      <c r="L17" s="57">
        <f>Workings!Q1</f>
        <v>9</v>
      </c>
      <c r="M17" s="58">
        <f>Workings!Q2</f>
        <v>45775</v>
      </c>
      <c r="N17" s="59">
        <f t="shared" si="0"/>
        <v>4.2500000000000003E-2</v>
      </c>
      <c r="O17" s="60">
        <f>Workings!Q28</f>
        <v>0</v>
      </c>
      <c r="P17" s="61">
        <f t="shared" si="1"/>
        <v>0</v>
      </c>
      <c r="Q17" s="4"/>
    </row>
    <row r="18" spans="1:17" x14ac:dyDescent="0.3">
      <c r="A18" s="51" t="s">
        <v>106</v>
      </c>
      <c r="B18" s="59">
        <v>0.1</v>
      </c>
      <c r="C18" s="40"/>
      <c r="D18" s="40"/>
      <c r="E18" s="40"/>
      <c r="F18" s="40"/>
      <c r="G18" s="40"/>
      <c r="H18" s="40"/>
      <c r="I18" s="40"/>
      <c r="J18" s="41"/>
      <c r="K18" s="41"/>
      <c r="L18" s="57">
        <f>Workings!R1</f>
        <v>10</v>
      </c>
      <c r="M18" s="58">
        <f>Workings!R2</f>
        <v>45805</v>
      </c>
      <c r="N18" s="59">
        <f t="shared" si="0"/>
        <v>4.2500000000000003E-2</v>
      </c>
      <c r="O18" s="60">
        <f>Workings!R28</f>
        <v>0</v>
      </c>
      <c r="P18" s="61">
        <f t="shared" si="1"/>
        <v>0</v>
      </c>
      <c r="Q18" s="4"/>
    </row>
    <row r="19" spans="1:17" x14ac:dyDescent="0.3">
      <c r="A19" s="51" t="s">
        <v>117</v>
      </c>
      <c r="B19" s="59">
        <v>0.03</v>
      </c>
      <c r="C19" s="40"/>
      <c r="D19" s="62">
        <v>12</v>
      </c>
      <c r="E19" s="40" t="s">
        <v>118</v>
      </c>
      <c r="F19" s="40"/>
      <c r="G19" s="40"/>
      <c r="H19" s="40"/>
      <c r="I19" s="40"/>
      <c r="J19" s="41"/>
      <c r="K19" s="41"/>
      <c r="L19" s="57">
        <f>Workings!S1</f>
        <v>11</v>
      </c>
      <c r="M19" s="58">
        <f>Workings!S2</f>
        <v>45836</v>
      </c>
      <c r="N19" s="59">
        <f t="shared" si="0"/>
        <v>4.2500000000000003E-2</v>
      </c>
      <c r="O19" s="60">
        <f>Workings!S28</f>
        <v>0</v>
      </c>
      <c r="P19" s="61">
        <f t="shared" si="1"/>
        <v>0</v>
      </c>
      <c r="Q19" s="4"/>
    </row>
    <row r="20" spans="1:17" x14ac:dyDescent="0.3">
      <c r="A20" s="51" t="s">
        <v>104</v>
      </c>
      <c r="B20" s="59">
        <v>0.1</v>
      </c>
      <c r="C20" s="40"/>
      <c r="D20" s="40"/>
      <c r="E20" s="40"/>
      <c r="F20" s="40"/>
      <c r="G20" s="40"/>
      <c r="H20" s="40"/>
      <c r="I20" s="40"/>
      <c r="J20" s="41"/>
      <c r="K20" s="41"/>
      <c r="L20" s="57">
        <f>Workings!T1</f>
        <v>12</v>
      </c>
      <c r="M20" s="58">
        <f>Workings!T2</f>
        <v>45866</v>
      </c>
      <c r="N20" s="59">
        <f t="shared" si="0"/>
        <v>4.2500000000000003E-2</v>
      </c>
      <c r="O20" s="60">
        <f>Workings!T28</f>
        <v>0</v>
      </c>
      <c r="P20" s="61">
        <f t="shared" si="1"/>
        <v>0</v>
      </c>
      <c r="Q20" s="4"/>
    </row>
    <row r="21" spans="1:17" x14ac:dyDescent="0.3">
      <c r="A21" s="51" t="s">
        <v>125</v>
      </c>
      <c r="B21" s="59">
        <v>0.1</v>
      </c>
      <c r="C21" s="40"/>
      <c r="D21" s="40"/>
      <c r="E21" s="40"/>
      <c r="F21" s="40"/>
      <c r="G21" s="40"/>
      <c r="H21" s="40"/>
      <c r="I21" s="40"/>
      <c r="J21" s="41"/>
      <c r="K21" s="41"/>
      <c r="L21" s="57">
        <f>Workings!U1</f>
        <v>13</v>
      </c>
      <c r="M21" s="58">
        <f>Workings!U2</f>
        <v>45897</v>
      </c>
      <c r="N21" s="59">
        <f t="shared" si="0"/>
        <v>4.2500000000000003E-2</v>
      </c>
      <c r="O21" s="60">
        <f>Workings!U28</f>
        <v>0</v>
      </c>
      <c r="P21" s="61">
        <f t="shared" si="1"/>
        <v>0</v>
      </c>
      <c r="Q21" s="4"/>
    </row>
    <row r="22" spans="1:17" x14ac:dyDescent="0.3">
      <c r="A22" s="51" t="s">
        <v>127</v>
      </c>
      <c r="B22" s="59">
        <v>0.05</v>
      </c>
      <c r="C22" s="40"/>
      <c r="D22" s="62">
        <v>6</v>
      </c>
      <c r="E22" s="40" t="s">
        <v>118</v>
      </c>
      <c r="F22" s="40"/>
      <c r="G22" s="40"/>
      <c r="H22" s="40"/>
      <c r="I22" s="40"/>
      <c r="J22" s="41"/>
      <c r="K22" s="40"/>
      <c r="L22" s="57">
        <f>Workings!V1</f>
        <v>14</v>
      </c>
      <c r="M22" s="58">
        <f>Workings!V2</f>
        <v>45928</v>
      </c>
      <c r="N22" s="59">
        <f t="shared" si="0"/>
        <v>4.2500000000000003E-2</v>
      </c>
      <c r="O22" s="60">
        <f>Workings!V28</f>
        <v>0</v>
      </c>
      <c r="P22" s="61">
        <f t="shared" si="1"/>
        <v>0</v>
      </c>
      <c r="Q22" s="4"/>
    </row>
    <row r="23" spans="1:17" x14ac:dyDescent="0.3">
      <c r="A23" s="51" t="s">
        <v>98</v>
      </c>
      <c r="B23" s="64">
        <v>6000</v>
      </c>
      <c r="C23" s="41" t="s">
        <v>99</v>
      </c>
      <c r="D23" s="65"/>
      <c r="E23" s="40"/>
      <c r="F23" s="40"/>
      <c r="G23" s="40"/>
      <c r="H23" s="40"/>
      <c r="I23" s="40"/>
      <c r="J23" s="40"/>
      <c r="K23" s="40"/>
      <c r="L23" s="57">
        <f>Workings!W1</f>
        <v>15</v>
      </c>
      <c r="M23" s="58">
        <f>Workings!W2</f>
        <v>45958</v>
      </c>
      <c r="N23" s="59">
        <f t="shared" si="0"/>
        <v>4.2500000000000003E-2</v>
      </c>
      <c r="O23" s="60">
        <f>Workings!W28</f>
        <v>0</v>
      </c>
      <c r="P23" s="61">
        <f t="shared" si="1"/>
        <v>0</v>
      </c>
      <c r="Q23" s="4"/>
    </row>
    <row r="24" spans="1:17" x14ac:dyDescent="0.3">
      <c r="A24" s="51" t="s">
        <v>104</v>
      </c>
      <c r="B24" s="59">
        <v>0.1</v>
      </c>
      <c r="C24" s="40"/>
      <c r="D24" s="40"/>
      <c r="E24" s="40"/>
      <c r="F24" s="40"/>
      <c r="G24" s="40"/>
      <c r="H24" s="40"/>
      <c r="I24" s="40"/>
      <c r="J24" s="40"/>
      <c r="K24" s="40"/>
      <c r="L24" s="57">
        <f>Workings!X1</f>
        <v>16</v>
      </c>
      <c r="M24" s="58">
        <f>Workings!X2</f>
        <v>45989</v>
      </c>
      <c r="N24" s="59">
        <f t="shared" si="0"/>
        <v>4.2500000000000003E-2</v>
      </c>
      <c r="O24" s="60">
        <f>Workings!X28</f>
        <v>200</v>
      </c>
      <c r="P24" s="61">
        <f t="shared" si="1"/>
        <v>200</v>
      </c>
      <c r="Q24" s="4"/>
    </row>
    <row r="25" spans="1:17" x14ac:dyDescent="0.3">
      <c r="A25" s="51" t="s">
        <v>100</v>
      </c>
      <c r="B25" s="64">
        <v>400</v>
      </c>
      <c r="C25" s="40"/>
      <c r="D25" s="40"/>
      <c r="E25" s="40"/>
      <c r="F25" s="40"/>
      <c r="G25" s="40"/>
      <c r="H25" s="40"/>
      <c r="I25" s="40"/>
      <c r="J25" s="40"/>
      <c r="K25" s="40"/>
      <c r="L25" s="57">
        <f>Workings!Y1</f>
        <v>17</v>
      </c>
      <c r="M25" s="58">
        <f>Workings!Y2</f>
        <v>46019</v>
      </c>
      <c r="N25" s="59">
        <f t="shared" si="0"/>
        <v>4.2500000000000003E-2</v>
      </c>
      <c r="O25" s="60">
        <f>Workings!Y28</f>
        <v>350</v>
      </c>
      <c r="P25" s="61">
        <f t="shared" si="1"/>
        <v>550</v>
      </c>
      <c r="Q25" s="4"/>
    </row>
    <row r="26" spans="1:17" x14ac:dyDescent="0.3">
      <c r="A26" s="51" t="s">
        <v>105</v>
      </c>
      <c r="B26" s="59">
        <v>0.1</v>
      </c>
      <c r="C26" s="40"/>
      <c r="D26" s="65"/>
      <c r="E26" s="40"/>
      <c r="F26" s="40"/>
      <c r="G26" s="40"/>
      <c r="H26" s="40"/>
      <c r="I26" s="40"/>
      <c r="J26" s="40"/>
      <c r="K26" s="40"/>
      <c r="L26" s="57">
        <f>Workings!Z1</f>
        <v>18</v>
      </c>
      <c r="M26" s="58">
        <f>Workings!Z2</f>
        <v>46050</v>
      </c>
      <c r="N26" s="59">
        <f t="shared" si="0"/>
        <v>4.2500000000000003E-2</v>
      </c>
      <c r="O26" s="60">
        <f>Workings!Z28</f>
        <v>450</v>
      </c>
      <c r="P26" s="61">
        <f t="shared" si="1"/>
        <v>1000</v>
      </c>
      <c r="Q26" s="4"/>
    </row>
    <row r="27" spans="1:17" x14ac:dyDescent="0.3">
      <c r="A27" s="51" t="s">
        <v>24</v>
      </c>
      <c r="B27" s="64">
        <v>27</v>
      </c>
      <c r="C27" s="41"/>
      <c r="D27" s="41"/>
      <c r="E27" s="41"/>
      <c r="F27" s="41"/>
      <c r="G27" s="41"/>
      <c r="H27" s="41"/>
      <c r="I27" s="41"/>
      <c r="J27" s="40"/>
      <c r="K27" s="40"/>
      <c r="L27" s="57">
        <f>Workings!AA1</f>
        <v>19</v>
      </c>
      <c r="M27" s="58">
        <f>Workings!AA2</f>
        <v>46081</v>
      </c>
      <c r="N27" s="59">
        <f t="shared" si="0"/>
        <v>4.2500000000000003E-2</v>
      </c>
      <c r="O27" s="60">
        <f>Workings!AA28</f>
        <v>469.125</v>
      </c>
      <c r="P27" s="61">
        <f t="shared" si="1"/>
        <v>1469.125</v>
      </c>
      <c r="Q27" s="4"/>
    </row>
    <row r="28" spans="1:17" x14ac:dyDescent="0.3">
      <c r="A28" s="51" t="s">
        <v>25</v>
      </c>
      <c r="B28" s="62">
        <v>3</v>
      </c>
      <c r="C28" s="41"/>
      <c r="D28" s="41"/>
      <c r="E28" s="41"/>
      <c r="F28" s="41"/>
      <c r="G28" s="41"/>
      <c r="H28" s="41"/>
      <c r="I28" s="41"/>
      <c r="J28" s="40"/>
      <c r="K28" s="40"/>
      <c r="L28" s="57">
        <f>Workings!AB1</f>
        <v>20</v>
      </c>
      <c r="M28" s="58">
        <f>Workings!AB2</f>
        <v>46109</v>
      </c>
      <c r="N28" s="59">
        <f t="shared" si="0"/>
        <v>4.2500000000000003E-2</v>
      </c>
      <c r="O28" s="60">
        <f>Workings!AB28</f>
        <v>489.06281250000001</v>
      </c>
      <c r="P28" s="61">
        <f t="shared" si="1"/>
        <v>1958.1878125000001</v>
      </c>
      <c r="Q28" s="4"/>
    </row>
    <row r="29" spans="1:17" x14ac:dyDescent="0.3">
      <c r="A29" s="51" t="s">
        <v>26</v>
      </c>
      <c r="B29" s="59">
        <v>0.5</v>
      </c>
      <c r="C29" s="41"/>
      <c r="D29" s="66"/>
      <c r="E29" s="41"/>
      <c r="F29" s="41"/>
      <c r="G29" s="41"/>
      <c r="H29" s="41"/>
      <c r="I29" s="41"/>
      <c r="J29" s="40"/>
      <c r="K29" s="40"/>
      <c r="L29" s="57">
        <f>Workings!AC1</f>
        <v>21</v>
      </c>
      <c r="M29" s="58">
        <f>Workings!AC2</f>
        <v>46140</v>
      </c>
      <c r="N29" s="59">
        <f t="shared" si="0"/>
        <v>4.2500000000000003E-2</v>
      </c>
      <c r="O29" s="60">
        <f>Workings!AC28</f>
        <v>509.84798203125001</v>
      </c>
      <c r="P29" s="61">
        <f t="shared" si="1"/>
        <v>2468.0357945312498</v>
      </c>
      <c r="Q29" s="4"/>
    </row>
    <row r="30" spans="1:17" x14ac:dyDescent="0.3">
      <c r="A30" s="40"/>
      <c r="B30" s="43"/>
      <c r="C30" s="41"/>
      <c r="D30" s="66"/>
      <c r="E30" s="41"/>
      <c r="F30" s="41"/>
      <c r="G30" s="41"/>
      <c r="H30" s="41"/>
      <c r="I30" s="41"/>
      <c r="J30" s="40"/>
      <c r="K30" s="40"/>
      <c r="L30" s="57">
        <f>Workings!AD1</f>
        <v>22</v>
      </c>
      <c r="M30" s="58">
        <f>Workings!AD2</f>
        <v>46170</v>
      </c>
      <c r="N30" s="59">
        <f t="shared" si="0"/>
        <v>4.2500000000000003E-2</v>
      </c>
      <c r="O30" s="60">
        <f>Workings!AD28</f>
        <v>541.51652126757813</v>
      </c>
      <c r="P30" s="61">
        <f t="shared" si="1"/>
        <v>3009.5523157988282</v>
      </c>
      <c r="Q30" s="4"/>
    </row>
    <row r="31" spans="1:17" x14ac:dyDescent="0.3">
      <c r="A31" s="40"/>
      <c r="B31" s="43"/>
      <c r="C31" s="41"/>
      <c r="D31" s="41"/>
      <c r="E31" s="41"/>
      <c r="F31" s="41"/>
      <c r="G31" s="41"/>
      <c r="H31" s="41"/>
      <c r="I31" s="41"/>
      <c r="J31" s="40"/>
      <c r="K31" s="40"/>
      <c r="L31" s="57">
        <f>Workings!AE1</f>
        <v>23</v>
      </c>
      <c r="M31" s="58">
        <f>Workings!AE2</f>
        <v>46201</v>
      </c>
      <c r="N31" s="59">
        <f t="shared" si="0"/>
        <v>4.2500000000000003E-2</v>
      </c>
      <c r="O31" s="60">
        <f>Workings!AE28</f>
        <v>571.60597342145024</v>
      </c>
      <c r="P31" s="61">
        <f t="shared" si="1"/>
        <v>3581.1582892202787</v>
      </c>
      <c r="Q31" s="4"/>
    </row>
    <row r="32" spans="1:17" x14ac:dyDescent="0.3">
      <c r="A32" s="40"/>
      <c r="B32" s="43"/>
      <c r="C32" s="40"/>
      <c r="D32" s="40"/>
      <c r="E32" s="40"/>
      <c r="F32" s="40"/>
      <c r="G32" s="40"/>
      <c r="H32" s="40"/>
      <c r="I32" s="40"/>
      <c r="J32" s="40"/>
      <c r="K32" s="41"/>
      <c r="L32" s="57">
        <f>Workings!AF1</f>
        <v>24</v>
      </c>
      <c r="M32" s="58">
        <f>Workings!AF2</f>
        <v>46231</v>
      </c>
      <c r="N32" s="59">
        <f t="shared" si="0"/>
        <v>4.2500000000000003E-2</v>
      </c>
      <c r="O32" s="60">
        <f>Workings!AF28</f>
        <v>600.15547729186187</v>
      </c>
      <c r="P32" s="61">
        <f t="shared" si="1"/>
        <v>4181.3137665121403</v>
      </c>
      <c r="Q32" s="4"/>
    </row>
    <row r="33" spans="1:17" x14ac:dyDescent="0.3">
      <c r="A33" s="67" t="s">
        <v>3</v>
      </c>
      <c r="B33" s="41"/>
      <c r="C33" s="41"/>
      <c r="D33" s="41"/>
      <c r="E33" s="41"/>
      <c r="F33" s="41"/>
      <c r="G33" s="41"/>
      <c r="H33" s="41"/>
      <c r="I33" s="41"/>
      <c r="J33" s="40"/>
      <c r="K33" s="41"/>
      <c r="L33" s="57">
        <f>Workings!AG1</f>
        <v>25</v>
      </c>
      <c r="M33" s="58">
        <f>Workings!AG2</f>
        <v>46262</v>
      </c>
      <c r="N33" s="59">
        <f t="shared" si="0"/>
        <v>4.2500000000000003E-2</v>
      </c>
      <c r="O33" s="60">
        <f>Workings!AG28</f>
        <v>625.66208507676595</v>
      </c>
      <c r="P33" s="61">
        <f t="shared" si="1"/>
        <v>4806.9758515889062</v>
      </c>
      <c r="Q33" s="4"/>
    </row>
    <row r="34" spans="1:17" x14ac:dyDescent="0.3">
      <c r="A34" s="51" t="s">
        <v>4</v>
      </c>
      <c r="B34" s="64">
        <v>75</v>
      </c>
      <c r="C34" s="41" t="s">
        <v>18</v>
      </c>
      <c r="D34" s="41"/>
      <c r="E34" s="41"/>
      <c r="F34" s="41"/>
      <c r="G34" s="41"/>
      <c r="H34" s="56" t="s">
        <v>115</v>
      </c>
      <c r="I34" s="41"/>
      <c r="J34" s="40"/>
      <c r="K34" s="41"/>
      <c r="L34" s="57">
        <f>Workings!AH1</f>
        <v>26</v>
      </c>
      <c r="M34" s="58">
        <f>Workings!AH2</f>
        <v>46293</v>
      </c>
      <c r="N34" s="59">
        <f t="shared" si="0"/>
        <v>4.2500000000000003E-2</v>
      </c>
      <c r="O34" s="60">
        <f>Workings!AH28</f>
        <v>652.25272369252843</v>
      </c>
      <c r="P34" s="61">
        <f t="shared" si="1"/>
        <v>5459.228575281435</v>
      </c>
      <c r="Q34" s="4"/>
    </row>
    <row r="35" spans="1:17" x14ac:dyDescent="0.3">
      <c r="A35" s="51" t="s">
        <v>5</v>
      </c>
      <c r="B35" s="64">
        <v>20000</v>
      </c>
      <c r="C35" s="41" t="s">
        <v>133</v>
      </c>
      <c r="D35" s="59">
        <v>0.05</v>
      </c>
      <c r="E35" s="41" t="s">
        <v>133</v>
      </c>
      <c r="F35" s="63">
        <v>6</v>
      </c>
      <c r="G35" s="68" t="s">
        <v>140</v>
      </c>
      <c r="H35" s="63">
        <v>18</v>
      </c>
      <c r="I35" s="48">
        <f>HLOOKUP(H35,Workings!I$1:$AR$2,2,1)</f>
        <v>46050</v>
      </c>
      <c r="J35" s="41"/>
      <c r="K35" s="41"/>
      <c r="L35" s="57">
        <f>Workings!AI1</f>
        <v>27</v>
      </c>
      <c r="M35" s="58">
        <f>Workings!AI2</f>
        <v>46323</v>
      </c>
      <c r="N35" s="59">
        <f t="shared" si="0"/>
        <v>4.2500000000000003E-2</v>
      </c>
      <c r="O35" s="60">
        <f>Workings!AI28</f>
        <v>679.97346444946095</v>
      </c>
      <c r="P35" s="61">
        <f t="shared" si="1"/>
        <v>6139.2020397308961</v>
      </c>
      <c r="Q35" s="4"/>
    </row>
    <row r="36" spans="1:17" x14ac:dyDescent="0.3">
      <c r="A36" s="40"/>
      <c r="B36" s="43"/>
      <c r="C36" s="40"/>
      <c r="D36" s="40"/>
      <c r="E36" s="40"/>
      <c r="F36" s="40"/>
      <c r="G36" s="40"/>
      <c r="H36" s="40"/>
      <c r="I36" s="40"/>
      <c r="J36" s="41"/>
      <c r="K36" s="41"/>
      <c r="L36" s="57">
        <f>Workings!AJ1</f>
        <v>28</v>
      </c>
      <c r="M36" s="58">
        <f>Workings!AJ2</f>
        <v>46354</v>
      </c>
      <c r="N36" s="59">
        <f t="shared" si="0"/>
        <v>4.2500000000000003E-2</v>
      </c>
      <c r="O36" s="60">
        <f>Workings!AJ28</f>
        <v>709.37233668856311</v>
      </c>
      <c r="P36" s="61">
        <f t="shared" si="1"/>
        <v>6848.5743764194594</v>
      </c>
      <c r="Q36" s="4"/>
    </row>
    <row r="37" spans="1:17" x14ac:dyDescent="0.3">
      <c r="A37" s="67" t="s">
        <v>13</v>
      </c>
      <c r="B37" s="41"/>
      <c r="C37" s="41"/>
      <c r="D37" s="56" t="s">
        <v>115</v>
      </c>
      <c r="E37" s="41"/>
      <c r="F37" s="41"/>
      <c r="G37" s="41"/>
      <c r="H37" s="40"/>
      <c r="I37" s="40"/>
      <c r="J37" s="41"/>
      <c r="K37" s="41"/>
      <c r="L37" s="57">
        <f>Workings!AK1</f>
        <v>29</v>
      </c>
      <c r="M37" s="58">
        <f>Workings!AK2</f>
        <v>46384</v>
      </c>
      <c r="N37" s="59">
        <f t="shared" si="0"/>
        <v>4.2500000000000003E-2</v>
      </c>
      <c r="O37" s="60">
        <f>Workings!AK28</f>
        <v>739.874410997827</v>
      </c>
      <c r="P37" s="61">
        <f t="shared" si="1"/>
        <v>7588.4487874172864</v>
      </c>
      <c r="Q37" s="4"/>
    </row>
    <row r="38" spans="1:17" x14ac:dyDescent="0.3">
      <c r="A38" s="51" t="s">
        <v>14</v>
      </c>
      <c r="B38" s="64">
        <v>10000</v>
      </c>
      <c r="C38" s="41" t="s">
        <v>133</v>
      </c>
      <c r="D38" s="63">
        <v>12</v>
      </c>
      <c r="E38" s="48">
        <f>IF(D38&gt;0,HLOOKUP(D38,Workings!I$1:$AR$2,2,1),0)</f>
        <v>45866</v>
      </c>
      <c r="F38" s="41"/>
      <c r="G38" s="41"/>
      <c r="H38" s="40"/>
      <c r="I38" s="40"/>
      <c r="J38" s="41"/>
      <c r="K38" s="41"/>
      <c r="L38" s="57">
        <f>Workings!AL1</f>
        <v>30</v>
      </c>
      <c r="M38" s="58">
        <f>Workings!AL2</f>
        <v>46415</v>
      </c>
      <c r="N38" s="59">
        <f t="shared" si="0"/>
        <v>4.2500000000000003E-2</v>
      </c>
      <c r="O38" s="60">
        <f>Workings!AL28</f>
        <v>771.53188596523455</v>
      </c>
      <c r="P38" s="61">
        <f t="shared" si="1"/>
        <v>8359.9806733825208</v>
      </c>
      <c r="Q38" s="4"/>
    </row>
    <row r="39" spans="1:17" x14ac:dyDescent="0.3">
      <c r="A39" s="40"/>
      <c r="B39" s="43"/>
      <c r="C39" s="40"/>
      <c r="D39" s="49"/>
      <c r="E39" s="40"/>
      <c r="F39" s="40"/>
      <c r="G39" s="40"/>
      <c r="H39" s="40"/>
      <c r="I39" s="40"/>
      <c r="J39" s="41"/>
      <c r="K39" s="41"/>
      <c r="L39" s="57">
        <f>Workings!AM1</f>
        <v>31</v>
      </c>
      <c r="M39" s="58">
        <f>Workings!AM2</f>
        <v>46446</v>
      </c>
      <c r="N39" s="59">
        <f t="shared" si="0"/>
        <v>4.2500000000000003E-2</v>
      </c>
      <c r="O39" s="60">
        <f>Workings!AM28</f>
        <v>804.32199111875696</v>
      </c>
      <c r="P39" s="61">
        <f t="shared" si="1"/>
        <v>9164.3026645012778</v>
      </c>
      <c r="Q39" s="4"/>
    </row>
    <row r="40" spans="1:17" x14ac:dyDescent="0.3">
      <c r="A40" s="67" t="s">
        <v>11</v>
      </c>
      <c r="B40" s="41"/>
      <c r="C40" s="41"/>
      <c r="D40" s="56" t="s">
        <v>115</v>
      </c>
      <c r="E40" s="41"/>
      <c r="F40" s="69" t="s">
        <v>86</v>
      </c>
      <c r="G40" s="41"/>
      <c r="H40" s="40"/>
      <c r="I40" s="40"/>
      <c r="J40" s="41"/>
      <c r="K40" s="41"/>
      <c r="L40" s="57">
        <f>Workings!AN1</f>
        <v>32</v>
      </c>
      <c r="M40" s="58">
        <f>Workings!AN2</f>
        <v>46474</v>
      </c>
      <c r="N40" s="59">
        <f t="shared" si="0"/>
        <v>4.2500000000000003E-2</v>
      </c>
      <c r="O40" s="60">
        <f>Workings!AN28</f>
        <v>838.50567574130423</v>
      </c>
      <c r="P40" s="61">
        <f t="shared" si="1"/>
        <v>10002.808340242582</v>
      </c>
      <c r="Q40" s="4"/>
    </row>
    <row r="41" spans="1:17" x14ac:dyDescent="0.3">
      <c r="A41" s="51" t="s">
        <v>33</v>
      </c>
      <c r="B41" s="64">
        <v>20000</v>
      </c>
      <c r="C41" s="41"/>
      <c r="D41" s="63">
        <v>5</v>
      </c>
      <c r="E41" s="48">
        <f>IF(D41&gt;0,HLOOKUP(D41,Workings!I$1:$AR$2,2,1),0)</f>
        <v>45656</v>
      </c>
      <c r="F41" s="63">
        <v>7</v>
      </c>
      <c r="G41" s="48">
        <f>IF(F41&gt;0,HLOOKUP(F41,Workings!I$1:$AR$2,2,1),0)</f>
        <v>45716</v>
      </c>
      <c r="H41" s="70" t="s">
        <v>146</v>
      </c>
      <c r="I41" s="40"/>
      <c r="J41" s="41"/>
      <c r="K41" s="41"/>
      <c r="L41" s="57">
        <f>Workings!AO1</f>
        <v>33</v>
      </c>
      <c r="M41" s="58">
        <f>Workings!AO2</f>
        <v>46505</v>
      </c>
      <c r="N41" s="59">
        <f t="shared" si="0"/>
        <v>4.2500000000000003E-2</v>
      </c>
      <c r="O41" s="60">
        <f>Workings!AO28</f>
        <v>874.14216696030962</v>
      </c>
      <c r="P41" s="61">
        <f t="shared" si="1"/>
        <v>10876.950507202891</v>
      </c>
      <c r="Q41" s="4"/>
    </row>
    <row r="42" spans="1:17" x14ac:dyDescent="0.3">
      <c r="A42" s="51" t="s">
        <v>34</v>
      </c>
      <c r="B42" s="64">
        <v>3000</v>
      </c>
      <c r="C42" s="41"/>
      <c r="D42" s="40"/>
      <c r="E42" s="40"/>
      <c r="F42" s="41"/>
      <c r="G42" s="41"/>
      <c r="H42" s="40"/>
      <c r="I42" s="40"/>
      <c r="J42" s="41"/>
      <c r="K42" s="41"/>
      <c r="L42" s="57">
        <f>Workings!AP1</f>
        <v>34</v>
      </c>
      <c r="M42" s="58">
        <f>Workings!AP2</f>
        <v>46535</v>
      </c>
      <c r="N42" s="59">
        <f t="shared" si="0"/>
        <v>4.2500000000000003E-2</v>
      </c>
      <c r="O42" s="60">
        <f>Workings!AP28</f>
        <v>911.31820905612278</v>
      </c>
      <c r="P42" s="61">
        <f t="shared" si="1"/>
        <v>11788.268716259014</v>
      </c>
      <c r="Q42" s="4"/>
    </row>
    <row r="43" spans="1:17" x14ac:dyDescent="0.3">
      <c r="A43" s="40"/>
      <c r="B43" s="43"/>
      <c r="C43" s="40"/>
      <c r="D43" s="40"/>
      <c r="E43" s="40"/>
      <c r="F43" s="40"/>
      <c r="G43" s="40"/>
      <c r="H43" s="40"/>
      <c r="I43" s="40"/>
      <c r="J43" s="41"/>
      <c r="K43" s="41"/>
      <c r="L43" s="57">
        <f>Workings!AQ1</f>
        <v>35</v>
      </c>
      <c r="M43" s="58">
        <f>Workings!AQ2</f>
        <v>46566</v>
      </c>
      <c r="N43" s="59">
        <f t="shared" si="0"/>
        <v>4.2500000000000003E-2</v>
      </c>
      <c r="O43" s="60">
        <f>Workings!AQ28</f>
        <v>950.06692044100794</v>
      </c>
      <c r="P43" s="61">
        <f t="shared" si="1"/>
        <v>12738.335636700021</v>
      </c>
      <c r="Q43" s="4"/>
    </row>
    <row r="44" spans="1:17" x14ac:dyDescent="0.3">
      <c r="A44" s="40"/>
      <c r="B44" s="43"/>
      <c r="C44" s="40"/>
      <c r="D44" s="40"/>
      <c r="E44" s="40"/>
      <c r="F44" s="40"/>
      <c r="G44" s="40"/>
      <c r="H44" s="40"/>
      <c r="I44" s="40"/>
      <c r="J44" s="41"/>
      <c r="K44" s="41"/>
      <c r="L44" s="57">
        <f>Workings!AR1</f>
        <v>36</v>
      </c>
      <c r="M44" s="58">
        <f>Workings!AR2</f>
        <v>46596</v>
      </c>
      <c r="N44" s="59">
        <f t="shared" si="0"/>
        <v>4.2500000000000003E-2</v>
      </c>
      <c r="O44" s="60">
        <f>Workings!AR28</f>
        <v>990.45540518475082</v>
      </c>
      <c r="P44" s="61">
        <f t="shared" si="1"/>
        <v>13728.791041884771</v>
      </c>
      <c r="Q44" s="4"/>
    </row>
    <row r="45" spans="1:17" x14ac:dyDescent="0.3">
      <c r="A45" s="53" t="s">
        <v>81</v>
      </c>
      <c r="B45" s="43"/>
      <c r="C45" s="40"/>
      <c r="D45" s="40"/>
      <c r="E45" s="40"/>
      <c r="F45" s="40"/>
      <c r="G45" s="40"/>
      <c r="H45" s="40"/>
      <c r="I45" s="40"/>
      <c r="J45" s="41"/>
      <c r="K45" s="41"/>
      <c r="L45" s="41"/>
      <c r="M45" s="41"/>
      <c r="N45" s="41"/>
      <c r="O45" s="42"/>
      <c r="P45" s="61"/>
      <c r="Q45" s="4"/>
    </row>
    <row r="46" spans="1:17" ht="9.6" customHeight="1" x14ac:dyDescent="0.3">
      <c r="A46" s="40"/>
      <c r="B46" s="43"/>
      <c r="C46" s="40"/>
      <c r="D46" s="40"/>
      <c r="E46" s="40"/>
      <c r="F46" s="40"/>
      <c r="G46" s="40"/>
      <c r="H46" s="40"/>
      <c r="I46" s="40"/>
      <c r="J46" s="41"/>
      <c r="K46" s="41"/>
      <c r="L46" s="41"/>
      <c r="M46" s="41"/>
      <c r="N46" s="41"/>
      <c r="O46" s="42"/>
      <c r="P46" s="61"/>
      <c r="Q46" s="4"/>
    </row>
    <row r="47" spans="1:17" x14ac:dyDescent="0.3">
      <c r="A47" s="67" t="s">
        <v>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2"/>
      <c r="P47" s="61"/>
      <c r="Q47" s="4"/>
    </row>
    <row r="48" spans="1:17" x14ac:dyDescent="0.3">
      <c r="A48" s="51" t="s">
        <v>8</v>
      </c>
      <c r="B48" s="41"/>
      <c r="C48" s="41"/>
      <c r="D48" s="56" t="s">
        <v>115</v>
      </c>
      <c r="E48" s="54" t="s">
        <v>78</v>
      </c>
      <c r="F48" s="69" t="s">
        <v>148</v>
      </c>
      <c r="G48" s="69" t="s">
        <v>149</v>
      </c>
      <c r="H48" s="41"/>
      <c r="I48" s="41"/>
      <c r="J48" s="41"/>
      <c r="K48" s="40"/>
      <c r="L48" s="40"/>
      <c r="M48" s="40"/>
      <c r="N48" s="40"/>
      <c r="O48" s="42"/>
      <c r="P48" s="40"/>
    </row>
    <row r="49" spans="1:17" x14ac:dyDescent="0.3">
      <c r="A49" s="51" t="s">
        <v>54</v>
      </c>
      <c r="B49" s="64">
        <v>150000</v>
      </c>
      <c r="C49" s="41" t="s">
        <v>31</v>
      </c>
      <c r="D49" s="63">
        <v>1</v>
      </c>
      <c r="E49" s="48">
        <f>IF(D49&gt;0,HLOOKUP(D49,Workings!I$1:$AR$2,2,1),0)</f>
        <v>45535</v>
      </c>
      <c r="F49" s="59">
        <v>0.6</v>
      </c>
      <c r="G49" s="63">
        <v>6</v>
      </c>
      <c r="H49" s="41"/>
      <c r="I49" s="41"/>
      <c r="J49" s="41"/>
      <c r="K49" s="40"/>
      <c r="L49" s="40"/>
      <c r="M49" s="40"/>
      <c r="N49" s="40"/>
      <c r="O49" s="42"/>
      <c r="P49" s="40"/>
    </row>
    <row r="50" spans="1:17" x14ac:dyDescent="0.3">
      <c r="A50" s="51" t="s">
        <v>29</v>
      </c>
      <c r="B50" s="64">
        <v>150000</v>
      </c>
      <c r="C50" s="41" t="s">
        <v>31</v>
      </c>
      <c r="D50" s="63">
        <v>1</v>
      </c>
      <c r="E50" s="48">
        <f>IF(D50&gt;0,HLOOKUP(D50,Workings!I$1:$AR$2,2,1),0)</f>
        <v>45535</v>
      </c>
      <c r="F50" s="59">
        <v>0.5</v>
      </c>
      <c r="G50" s="63">
        <v>6</v>
      </c>
      <c r="H50" s="41"/>
      <c r="I50" s="41"/>
      <c r="J50" s="41"/>
      <c r="K50" s="41"/>
      <c r="L50" s="41"/>
      <c r="M50" s="41"/>
      <c r="N50" s="56"/>
      <c r="O50" s="54"/>
      <c r="P50" s="71"/>
      <c r="Q50" s="29"/>
    </row>
    <row r="51" spans="1:17" x14ac:dyDescent="0.3">
      <c r="A51" s="51" t="s">
        <v>30</v>
      </c>
      <c r="B51" s="64">
        <v>60000</v>
      </c>
      <c r="C51" s="41" t="s">
        <v>31</v>
      </c>
      <c r="D51" s="63">
        <v>1</v>
      </c>
      <c r="E51" s="48">
        <f>IF(D51&gt;0,HLOOKUP(D51,Workings!I$1:$AR$2,2,1),0)</f>
        <v>45535</v>
      </c>
      <c r="F51" s="59">
        <v>0.5</v>
      </c>
      <c r="G51" s="63">
        <v>6</v>
      </c>
      <c r="H51" s="41"/>
      <c r="I51" s="41"/>
      <c r="J51" s="40"/>
      <c r="K51" s="40"/>
      <c r="L51" s="40"/>
      <c r="M51" s="40"/>
      <c r="N51" s="40"/>
      <c r="O51" s="42"/>
      <c r="P51" s="40"/>
    </row>
    <row r="52" spans="1:17" ht="9" customHeight="1" x14ac:dyDescent="0.3">
      <c r="A52" s="51"/>
      <c r="B52" s="41"/>
      <c r="C52" s="41"/>
      <c r="D52" s="68"/>
      <c r="E52" s="41"/>
      <c r="F52" s="41"/>
      <c r="G52" s="41"/>
      <c r="H52" s="41"/>
      <c r="I52" s="41"/>
      <c r="J52" s="40"/>
      <c r="K52" s="40"/>
      <c r="L52" s="40"/>
      <c r="M52" s="40"/>
      <c r="N52" s="40"/>
      <c r="O52" s="42"/>
      <c r="P52" s="40"/>
    </row>
    <row r="53" spans="1:17" x14ac:dyDescent="0.3">
      <c r="A53" s="51" t="s">
        <v>9</v>
      </c>
      <c r="B53" s="64">
        <v>20000</v>
      </c>
      <c r="C53" s="41" t="s">
        <v>133</v>
      </c>
      <c r="D53" s="63">
        <v>10</v>
      </c>
      <c r="E53" s="48">
        <f>IF(D53&gt;0,HLOOKUP(D53,Workings!I$1:$AR$2,2,1),0)</f>
        <v>45805</v>
      </c>
      <c r="F53" s="41"/>
      <c r="G53" s="41"/>
      <c r="H53" s="41"/>
      <c r="I53" s="41"/>
      <c r="J53" s="41"/>
      <c r="K53" s="40"/>
      <c r="L53" s="40"/>
      <c r="M53" s="40"/>
      <c r="N53" s="40"/>
      <c r="O53" s="42"/>
      <c r="P53" s="40"/>
    </row>
    <row r="54" spans="1:17" x14ac:dyDescent="0.3">
      <c r="A54" s="51" t="s">
        <v>10</v>
      </c>
      <c r="B54" s="64">
        <v>4000</v>
      </c>
      <c r="C54" s="41" t="s">
        <v>133</v>
      </c>
      <c r="D54" s="63">
        <v>12</v>
      </c>
      <c r="E54" s="48">
        <f>IF(D54&gt;0,HLOOKUP(D54,Workings!I$1:$AR$2,2,1),0)</f>
        <v>45866</v>
      </c>
      <c r="F54" s="63">
        <v>6</v>
      </c>
      <c r="G54" s="41" t="s">
        <v>135</v>
      </c>
      <c r="H54" s="41"/>
      <c r="I54" s="41"/>
      <c r="J54" s="41"/>
      <c r="K54" s="40"/>
      <c r="L54" s="40"/>
      <c r="M54" s="40"/>
      <c r="N54" s="40"/>
      <c r="O54" s="42"/>
      <c r="P54" s="40"/>
    </row>
    <row r="55" spans="1:17" x14ac:dyDescent="0.3">
      <c r="A55" s="51" t="s">
        <v>10</v>
      </c>
      <c r="B55" s="64">
        <v>8000</v>
      </c>
      <c r="C55" s="41" t="s">
        <v>133</v>
      </c>
      <c r="D55" s="42">
        <f>+F54+1</f>
        <v>7</v>
      </c>
      <c r="E55" s="48">
        <f>IF(D55&gt;0,HLOOKUP(D55,Workings!I$1:$AR$2,2,1),0)</f>
        <v>45716</v>
      </c>
      <c r="F55" s="63">
        <v>6</v>
      </c>
      <c r="G55" s="41" t="s">
        <v>135</v>
      </c>
      <c r="H55" s="41"/>
      <c r="I55" s="41"/>
      <c r="J55" s="41"/>
      <c r="K55" s="40"/>
      <c r="L55" s="40"/>
      <c r="M55" s="40"/>
      <c r="N55" s="40"/>
      <c r="O55" s="42"/>
      <c r="P55" s="40"/>
    </row>
    <row r="56" spans="1:17" x14ac:dyDescent="0.3">
      <c r="A56" s="51" t="s">
        <v>55</v>
      </c>
      <c r="B56" s="64">
        <v>8000</v>
      </c>
      <c r="C56" s="41" t="s">
        <v>32</v>
      </c>
      <c r="D56" s="63">
        <v>4</v>
      </c>
      <c r="E56" s="41" t="s">
        <v>134</v>
      </c>
      <c r="F56" s="41"/>
      <c r="G56" s="41"/>
      <c r="H56" s="41"/>
      <c r="I56" s="41"/>
      <c r="J56" s="41"/>
      <c r="K56" s="40"/>
      <c r="L56" s="40"/>
      <c r="M56" s="40"/>
      <c r="N56" s="40"/>
      <c r="O56" s="42"/>
      <c r="P56" s="40"/>
    </row>
    <row r="57" spans="1:17" ht="8.4" customHeight="1" x14ac:dyDescent="0.3">
      <c r="A57" s="51"/>
      <c r="B57" s="41"/>
      <c r="C57" s="41"/>
      <c r="D57" s="41"/>
      <c r="E57" s="41"/>
      <c r="F57" s="41"/>
      <c r="G57" s="41"/>
      <c r="H57" s="41"/>
      <c r="I57" s="41"/>
      <c r="J57" s="41"/>
      <c r="K57" s="40"/>
      <c r="L57" s="40"/>
      <c r="M57" s="40"/>
      <c r="N57" s="40"/>
      <c r="O57" s="42"/>
      <c r="P57" s="40"/>
    </row>
    <row r="58" spans="1:17" x14ac:dyDescent="0.3">
      <c r="A58" s="67" t="s">
        <v>74</v>
      </c>
      <c r="B58" s="43"/>
      <c r="C58" s="40"/>
      <c r="D58" s="56" t="s">
        <v>115</v>
      </c>
      <c r="E58" s="54" t="s">
        <v>78</v>
      </c>
      <c r="F58" s="40"/>
      <c r="G58" s="40"/>
      <c r="H58" s="41"/>
      <c r="I58" s="41"/>
      <c r="J58" s="41"/>
      <c r="K58" s="40"/>
      <c r="L58" s="40"/>
      <c r="M58" s="40"/>
      <c r="N58" s="40"/>
      <c r="O58" s="42"/>
      <c r="P58" s="40"/>
    </row>
    <row r="59" spans="1:17" x14ac:dyDescent="0.3">
      <c r="A59" s="51" t="s">
        <v>27</v>
      </c>
      <c r="B59" s="59">
        <v>0.03</v>
      </c>
      <c r="C59" s="41"/>
      <c r="D59" s="63">
        <v>15</v>
      </c>
      <c r="E59" s="48">
        <f>IF(D59&gt;0,HLOOKUP(D59,Workings!I$1:$AR$2,2,1),0)</f>
        <v>45958</v>
      </c>
      <c r="F59" s="41"/>
      <c r="G59" s="41"/>
      <c r="H59" s="41"/>
      <c r="I59" s="41"/>
      <c r="J59" s="41"/>
      <c r="K59" s="40"/>
      <c r="L59" s="40"/>
      <c r="M59" s="40"/>
      <c r="N59" s="40"/>
      <c r="O59" s="42"/>
      <c r="P59" s="40"/>
    </row>
    <row r="60" spans="1:17" x14ac:dyDescent="0.3">
      <c r="A60" s="51" t="s">
        <v>28</v>
      </c>
      <c r="B60" s="59">
        <v>0.03</v>
      </c>
      <c r="C60" s="41"/>
      <c r="D60" s="63">
        <v>15</v>
      </c>
      <c r="E60" s="48">
        <f>IF(D60&gt;0,HLOOKUP(D60,Workings!I$1:$AR$2,2,1),0)</f>
        <v>45958</v>
      </c>
      <c r="F60" s="41"/>
      <c r="G60" s="41"/>
      <c r="H60" s="41"/>
      <c r="I60" s="41"/>
      <c r="J60" s="41"/>
      <c r="K60" s="40"/>
      <c r="L60" s="40"/>
      <c r="M60" s="40"/>
      <c r="N60" s="40"/>
      <c r="O60" s="42"/>
      <c r="P60" s="40"/>
    </row>
    <row r="61" spans="1:17" ht="7.2" customHeight="1" x14ac:dyDescent="0.3">
      <c r="A61" s="40"/>
      <c r="B61" s="43"/>
      <c r="C61" s="40"/>
      <c r="D61" s="40"/>
      <c r="E61" s="40"/>
      <c r="F61" s="40"/>
      <c r="G61" s="40"/>
      <c r="H61" s="40"/>
      <c r="I61" s="40"/>
      <c r="J61" s="41"/>
      <c r="K61" s="40"/>
      <c r="L61" s="40"/>
      <c r="M61" s="40"/>
      <c r="N61" s="40"/>
      <c r="O61" s="42"/>
      <c r="P61" s="40"/>
    </row>
    <row r="62" spans="1:17" x14ac:dyDescent="0.3">
      <c r="A62" s="40"/>
      <c r="B62" s="43"/>
      <c r="C62" s="40"/>
      <c r="D62" s="56" t="s">
        <v>115</v>
      </c>
      <c r="E62" s="54" t="s">
        <v>78</v>
      </c>
      <c r="F62" s="54" t="s">
        <v>161</v>
      </c>
      <c r="G62" s="54" t="s">
        <v>115</v>
      </c>
      <c r="H62" s="40"/>
      <c r="I62" s="40"/>
      <c r="J62" s="41"/>
      <c r="K62" s="40"/>
      <c r="L62" s="40"/>
      <c r="M62" s="40"/>
      <c r="N62" s="40"/>
      <c r="O62" s="42"/>
      <c r="P62" s="40"/>
    </row>
    <row r="63" spans="1:17" x14ac:dyDescent="0.3">
      <c r="A63" s="51" t="s">
        <v>159</v>
      </c>
      <c r="B63" s="64">
        <v>20000</v>
      </c>
      <c r="C63" s="41" t="s">
        <v>160</v>
      </c>
      <c r="D63" s="63">
        <v>10</v>
      </c>
      <c r="E63" s="48">
        <f>IF(D63&gt;0,HLOOKUP(D63,Workings!I$1:$AR$2,2,1),0)</f>
        <v>45805</v>
      </c>
      <c r="F63" s="59">
        <v>0.03</v>
      </c>
      <c r="G63" s="63">
        <v>20</v>
      </c>
      <c r="H63" s="40"/>
      <c r="I63" s="40"/>
      <c r="J63" s="40"/>
      <c r="K63" s="40"/>
      <c r="L63" s="40"/>
      <c r="M63" s="40"/>
      <c r="N63" s="40"/>
      <c r="O63" s="42"/>
      <c r="P63" s="40"/>
    </row>
    <row r="64" spans="1:17" x14ac:dyDescent="0.3">
      <c r="A64" s="40"/>
      <c r="B64" s="43"/>
      <c r="C64" s="40"/>
      <c r="D64" s="40"/>
      <c r="E64" s="40"/>
      <c r="F64" s="40"/>
      <c r="G64" s="40"/>
      <c r="H64" s="40"/>
      <c r="I64" s="40"/>
      <c r="J64" s="41"/>
      <c r="K64" s="40"/>
      <c r="L64" s="40"/>
      <c r="M64" s="40"/>
      <c r="N64" s="40"/>
      <c r="O64" s="42"/>
      <c r="P64" s="40"/>
    </row>
    <row r="65" spans="1:18" x14ac:dyDescent="0.3">
      <c r="A65" s="40"/>
      <c r="B65" s="43"/>
      <c r="C65" s="40"/>
      <c r="D65" s="40"/>
      <c r="E65" s="40"/>
      <c r="F65" s="40"/>
      <c r="G65" s="40"/>
      <c r="H65" s="40"/>
      <c r="I65" s="40"/>
      <c r="J65" s="41"/>
      <c r="K65" s="40"/>
      <c r="L65" s="40"/>
      <c r="M65" s="40"/>
      <c r="N65" s="40"/>
      <c r="O65" s="42"/>
      <c r="P65" s="40"/>
    </row>
    <row r="66" spans="1:18" x14ac:dyDescent="0.3">
      <c r="A66" s="53" t="s">
        <v>69</v>
      </c>
      <c r="B66" s="43"/>
      <c r="C66" s="40"/>
      <c r="D66" s="40"/>
      <c r="E66" s="40"/>
      <c r="F66" s="40"/>
      <c r="G66" s="40"/>
      <c r="H66" s="41"/>
      <c r="I66" s="41"/>
      <c r="J66" s="40"/>
      <c r="K66" s="40"/>
      <c r="L66" s="40"/>
      <c r="M66" s="40"/>
      <c r="N66" s="56" t="s">
        <v>77</v>
      </c>
      <c r="O66" s="54" t="s">
        <v>78</v>
      </c>
      <c r="P66" s="71" t="s">
        <v>76</v>
      </c>
      <c r="Q66" s="29" t="s">
        <v>78</v>
      </c>
    </row>
    <row r="67" spans="1:18" ht="14.4" customHeight="1" x14ac:dyDescent="0.3">
      <c r="A67" s="40"/>
      <c r="B67" s="43"/>
      <c r="C67" s="40"/>
      <c r="D67" s="40"/>
      <c r="E67" s="40"/>
      <c r="F67" s="40"/>
      <c r="G67" s="40"/>
      <c r="H67" s="41"/>
      <c r="I67" s="41"/>
      <c r="J67" s="40"/>
      <c r="K67" s="51" t="s">
        <v>83</v>
      </c>
      <c r="L67" s="72">
        <f>+B73</f>
        <v>0</v>
      </c>
      <c r="M67" s="40"/>
      <c r="N67" s="72">
        <f>+D73</f>
        <v>2</v>
      </c>
      <c r="O67" s="48">
        <f>HLOOKUP(N67,Workings!I$1:$AR$2,2,1)</f>
        <v>45565</v>
      </c>
      <c r="P67" s="72">
        <f>+F73</f>
        <v>3</v>
      </c>
      <c r="Q67" s="33">
        <f>HLOOKUP(P67,Workings!I$1:$AR$2,2,1)</f>
        <v>45595</v>
      </c>
    </row>
    <row r="68" spans="1:18" ht="14.4" customHeight="1" x14ac:dyDescent="0.3">
      <c r="A68" s="67" t="s">
        <v>12</v>
      </c>
      <c r="B68" s="43"/>
      <c r="C68" s="40"/>
      <c r="D68" s="40"/>
      <c r="E68" s="40"/>
      <c r="F68" s="40"/>
      <c r="G68" s="40"/>
      <c r="H68" s="41"/>
      <c r="I68" s="41"/>
      <c r="J68" s="40"/>
      <c r="K68" s="51" t="s">
        <v>84</v>
      </c>
      <c r="L68" s="72">
        <f>+B74</f>
        <v>0</v>
      </c>
      <c r="M68" s="40"/>
      <c r="N68" s="72">
        <f>+D74</f>
        <v>4</v>
      </c>
      <c r="O68" s="48">
        <f>HLOOKUP(N68,Workings!I$1:$AR$2,2,1)</f>
        <v>45626</v>
      </c>
      <c r="P68" s="72">
        <f>+F74</f>
        <v>5</v>
      </c>
      <c r="Q68" s="33">
        <f>HLOOKUP(P68,Workings!I$1:$AR$2,2,1)</f>
        <v>45656</v>
      </c>
    </row>
    <row r="69" spans="1:18" x14ac:dyDescent="0.3">
      <c r="A69" s="51" t="s">
        <v>157</v>
      </c>
      <c r="B69" s="73" t="s">
        <v>58</v>
      </c>
      <c r="C69" s="41"/>
      <c r="D69" s="56" t="s">
        <v>115</v>
      </c>
      <c r="E69" s="54" t="s">
        <v>78</v>
      </c>
      <c r="F69" s="69" t="s">
        <v>86</v>
      </c>
      <c r="G69" s="54" t="s">
        <v>78</v>
      </c>
      <c r="H69" s="70" t="s">
        <v>146</v>
      </c>
      <c r="I69" s="41"/>
      <c r="J69" s="40"/>
      <c r="K69" s="51" t="s">
        <v>85</v>
      </c>
      <c r="L69" s="72">
        <f>+B75</f>
        <v>0</v>
      </c>
      <c r="M69" s="40"/>
      <c r="N69" s="72">
        <f>+D75</f>
        <v>6</v>
      </c>
      <c r="O69" s="48">
        <f>HLOOKUP(N69,Workings!I$1:$AR$2,2,1)</f>
        <v>45687</v>
      </c>
      <c r="P69" s="72">
        <f>+F75</f>
        <v>7</v>
      </c>
      <c r="Q69" s="33">
        <f>HLOOKUP(P69,Workings!I$1:$AR$2,2,1)</f>
        <v>45716</v>
      </c>
    </row>
    <row r="70" spans="1:18" x14ac:dyDescent="0.3">
      <c r="A70" s="51" t="s">
        <v>35</v>
      </c>
      <c r="B70" s="64">
        <v>0</v>
      </c>
      <c r="C70" s="41"/>
      <c r="D70" s="63">
        <v>1</v>
      </c>
      <c r="E70" s="48">
        <f>IF(D70&gt;0,HLOOKUP(D70,Workings!I$1:$AR$2,2,1),0)</f>
        <v>45535</v>
      </c>
      <c r="F70" s="63">
        <v>1</v>
      </c>
      <c r="G70" s="48">
        <f>IF(F70&gt;0,HLOOKUP(F70,Workings!I$1:$AR$2,2,1),0)</f>
        <v>45535</v>
      </c>
      <c r="H70" s="41"/>
      <c r="I70" s="41"/>
      <c r="J70" s="40"/>
      <c r="K70" s="51" t="s">
        <v>75</v>
      </c>
      <c r="L70" s="62">
        <f>+B75</f>
        <v>0</v>
      </c>
      <c r="M70" s="41"/>
      <c r="N70" s="62">
        <f>F75+1</f>
        <v>8</v>
      </c>
      <c r="O70" s="48">
        <f>HLOOKUP(N70,Workings!I$1:$AR$2,2,1)</f>
        <v>45744</v>
      </c>
      <c r="P70" s="63">
        <f t="shared" ref="P70:P84" si="2">+N70+1</f>
        <v>9</v>
      </c>
      <c r="Q70" s="33">
        <f>HLOOKUP(P70,Workings!I$1:$AR$2,2,1)</f>
        <v>45775</v>
      </c>
      <c r="R70" s="52" t="s">
        <v>146</v>
      </c>
    </row>
    <row r="71" spans="1:18" x14ac:dyDescent="0.3">
      <c r="A71" s="51" t="s">
        <v>36</v>
      </c>
      <c r="B71" s="64">
        <v>800</v>
      </c>
      <c r="C71" s="41"/>
      <c r="D71" s="63">
        <v>15</v>
      </c>
      <c r="E71" s="48">
        <f>IF(D71&gt;0,HLOOKUP(D71,Workings!I$1:$AR$2,2,1),0)</f>
        <v>45958</v>
      </c>
      <c r="F71" s="68"/>
      <c r="G71" s="41"/>
      <c r="H71" s="70" t="s">
        <v>146</v>
      </c>
      <c r="I71" s="41"/>
      <c r="J71" s="40"/>
      <c r="K71" s="51" t="s">
        <v>75</v>
      </c>
      <c r="L71" s="62">
        <f>+L70</f>
        <v>0</v>
      </c>
      <c r="M71" s="41"/>
      <c r="N71" s="62">
        <f t="shared" ref="N71:N84" si="3">+P70+1</f>
        <v>10</v>
      </c>
      <c r="O71" s="48">
        <f>HLOOKUP(N71,Workings!I$1:$AR$2,2,1)</f>
        <v>45805</v>
      </c>
      <c r="P71" s="63">
        <f t="shared" si="2"/>
        <v>11</v>
      </c>
      <c r="Q71" s="33">
        <f>HLOOKUP(P71,Workings!I$1:$AR$2,2,1)</f>
        <v>45836</v>
      </c>
      <c r="R71" s="52" t="s">
        <v>146</v>
      </c>
    </row>
    <row r="72" spans="1:18" x14ac:dyDescent="0.3">
      <c r="A72" s="51" t="s">
        <v>73</v>
      </c>
      <c r="B72" s="64">
        <v>0</v>
      </c>
      <c r="C72" s="41"/>
      <c r="D72" s="63">
        <v>1</v>
      </c>
      <c r="E72" s="48">
        <f>IF(D72&gt;0,HLOOKUP(D72,Workings!I$1:$AR$2,2,1),0)</f>
        <v>45535</v>
      </c>
      <c r="F72" s="63">
        <v>36</v>
      </c>
      <c r="G72" s="48">
        <f>IF(F72&gt;0,HLOOKUP(F72,Workings!I$1:$AR$2,2,1),0)</f>
        <v>46596</v>
      </c>
      <c r="H72" s="70" t="s">
        <v>146</v>
      </c>
      <c r="I72" s="41"/>
      <c r="J72" s="40"/>
      <c r="K72" s="51" t="s">
        <v>75</v>
      </c>
      <c r="L72" s="62">
        <f t="shared" ref="L72:L84" si="4">+L71</f>
        <v>0</v>
      </c>
      <c r="M72" s="41"/>
      <c r="N72" s="62">
        <f t="shared" si="3"/>
        <v>12</v>
      </c>
      <c r="O72" s="48">
        <f>HLOOKUP(N72,Workings!I$1:$AR$2,2,1)</f>
        <v>45866</v>
      </c>
      <c r="P72" s="63">
        <f t="shared" si="2"/>
        <v>13</v>
      </c>
      <c r="Q72" s="33">
        <f>HLOOKUP(P72,Workings!I$1:$AR$2,2,1)</f>
        <v>45897</v>
      </c>
      <c r="R72" s="52" t="s">
        <v>146</v>
      </c>
    </row>
    <row r="73" spans="1:18" x14ac:dyDescent="0.3">
      <c r="A73" s="51" t="s">
        <v>37</v>
      </c>
      <c r="B73" s="62">
        <v>0</v>
      </c>
      <c r="C73" s="41" t="s">
        <v>20</v>
      </c>
      <c r="D73" s="63">
        <f>F70+1</f>
        <v>2</v>
      </c>
      <c r="E73" s="48">
        <f>IF(D73&gt;0,HLOOKUP(D73,Workings!I$1:$AR$2,2,1),0)</f>
        <v>45565</v>
      </c>
      <c r="F73" s="63">
        <v>3</v>
      </c>
      <c r="G73" s="48">
        <f>IF(F73&gt;0,HLOOKUP(F73,Workings!I$1:$AR$2,2,1),0)</f>
        <v>45595</v>
      </c>
      <c r="H73" s="70" t="s">
        <v>146</v>
      </c>
      <c r="I73" s="41"/>
      <c r="J73" s="40"/>
      <c r="K73" s="51" t="s">
        <v>75</v>
      </c>
      <c r="L73" s="62">
        <f t="shared" si="4"/>
        <v>0</v>
      </c>
      <c r="M73" s="41"/>
      <c r="N73" s="62">
        <f t="shared" si="3"/>
        <v>14</v>
      </c>
      <c r="O73" s="48">
        <f>HLOOKUP(N73,Workings!I$1:$AR$2,2,1)</f>
        <v>45928</v>
      </c>
      <c r="P73" s="63">
        <f t="shared" si="2"/>
        <v>15</v>
      </c>
      <c r="Q73" s="33">
        <f>HLOOKUP(P73,Workings!I$1:$AR$2,2,1)</f>
        <v>45958</v>
      </c>
      <c r="R73" s="52" t="s">
        <v>146</v>
      </c>
    </row>
    <row r="74" spans="1:18" x14ac:dyDescent="0.3">
      <c r="A74" s="51" t="s">
        <v>38</v>
      </c>
      <c r="B74" s="62">
        <v>0</v>
      </c>
      <c r="C74" s="41" t="s">
        <v>20</v>
      </c>
      <c r="D74" s="63">
        <f>+F73+1</f>
        <v>4</v>
      </c>
      <c r="E74" s="48">
        <f>IF(D74&gt;0,HLOOKUP(D74,Workings!I$1:$AR$2,2,1),0)</f>
        <v>45626</v>
      </c>
      <c r="F74" s="63">
        <v>5</v>
      </c>
      <c r="G74" s="48">
        <f>IF(F74&gt;0,HLOOKUP(F74,Workings!I$1:$AR$2,2,1),0)</f>
        <v>45656</v>
      </c>
      <c r="H74" s="70" t="s">
        <v>146</v>
      </c>
      <c r="I74" s="41"/>
      <c r="J74" s="40"/>
      <c r="K74" s="51" t="s">
        <v>75</v>
      </c>
      <c r="L74" s="62">
        <f t="shared" si="4"/>
        <v>0</v>
      </c>
      <c r="M74" s="41"/>
      <c r="N74" s="62">
        <f t="shared" si="3"/>
        <v>16</v>
      </c>
      <c r="O74" s="48">
        <f>HLOOKUP(N74,Workings!I$1:$AR$2,2,1)</f>
        <v>45989</v>
      </c>
      <c r="P74" s="63">
        <f t="shared" si="2"/>
        <v>17</v>
      </c>
      <c r="Q74" s="33">
        <f>HLOOKUP(P74,Workings!I$1:$AR$2,2,1)</f>
        <v>46019</v>
      </c>
      <c r="R74" s="52" t="s">
        <v>146</v>
      </c>
    </row>
    <row r="75" spans="1:18" x14ac:dyDescent="0.3">
      <c r="A75" s="51" t="s">
        <v>39</v>
      </c>
      <c r="B75" s="62">
        <v>0</v>
      </c>
      <c r="C75" s="41" t="s">
        <v>20</v>
      </c>
      <c r="D75" s="63">
        <f>+F74+1</f>
        <v>6</v>
      </c>
      <c r="E75" s="48">
        <f>IF(D75&gt;0,HLOOKUP(D75,Workings!I$1:$AR$2,2,1),0)</f>
        <v>45687</v>
      </c>
      <c r="F75" s="63">
        <v>7</v>
      </c>
      <c r="G75" s="48">
        <f>IF(F75&gt;0,HLOOKUP(F75,Workings!I$1:$AR$2,2,1),0)</f>
        <v>45716</v>
      </c>
      <c r="H75" s="41"/>
      <c r="I75" s="41"/>
      <c r="J75" s="40"/>
      <c r="K75" s="51" t="s">
        <v>75</v>
      </c>
      <c r="L75" s="62">
        <f t="shared" si="4"/>
        <v>0</v>
      </c>
      <c r="M75" s="41"/>
      <c r="N75" s="62">
        <f t="shared" si="3"/>
        <v>18</v>
      </c>
      <c r="O75" s="48">
        <f>HLOOKUP(N75,Workings!I$1:$AR$2,2,1)</f>
        <v>46050</v>
      </c>
      <c r="P75" s="63">
        <f t="shared" si="2"/>
        <v>19</v>
      </c>
      <c r="Q75" s="33">
        <f>HLOOKUP(P75,Workings!I$1:$AR$2,2,1)</f>
        <v>46081</v>
      </c>
      <c r="R75" s="52" t="s">
        <v>146</v>
      </c>
    </row>
    <row r="76" spans="1:18" x14ac:dyDescent="0.3">
      <c r="A76" s="40"/>
      <c r="B76" s="43"/>
      <c r="C76" s="40"/>
      <c r="D76" s="40"/>
      <c r="E76" s="40"/>
      <c r="F76" s="40"/>
      <c r="G76" s="40"/>
      <c r="H76" s="41"/>
      <c r="I76" s="41"/>
      <c r="J76" s="40"/>
      <c r="K76" s="51" t="s">
        <v>75</v>
      </c>
      <c r="L76" s="62">
        <f t="shared" si="4"/>
        <v>0</v>
      </c>
      <c r="M76" s="41"/>
      <c r="N76" s="62">
        <f t="shared" si="3"/>
        <v>20</v>
      </c>
      <c r="O76" s="48">
        <f>HLOOKUP(N76,Workings!I$1:$AR$2,2,1)</f>
        <v>46109</v>
      </c>
      <c r="P76" s="63">
        <f t="shared" si="2"/>
        <v>21</v>
      </c>
      <c r="Q76" s="33">
        <f>HLOOKUP(P76,Workings!I$1:$AR$2,2,1)</f>
        <v>46140</v>
      </c>
      <c r="R76" s="52" t="s">
        <v>146</v>
      </c>
    </row>
    <row r="77" spans="1:18" x14ac:dyDescent="0.3">
      <c r="A77" s="74" t="s">
        <v>82</v>
      </c>
      <c r="B77" s="43"/>
      <c r="C77" s="40"/>
      <c r="D77" s="40"/>
      <c r="E77" s="40"/>
      <c r="F77" s="40"/>
      <c r="G77" s="40"/>
      <c r="H77" s="40"/>
      <c r="I77" s="40"/>
      <c r="J77" s="40"/>
      <c r="K77" s="51" t="s">
        <v>75</v>
      </c>
      <c r="L77" s="62">
        <f t="shared" si="4"/>
        <v>0</v>
      </c>
      <c r="M77" s="41"/>
      <c r="N77" s="62">
        <f t="shared" si="3"/>
        <v>22</v>
      </c>
      <c r="O77" s="48">
        <f>HLOOKUP(N77,Workings!I$1:$AR$2,2,1)</f>
        <v>46170</v>
      </c>
      <c r="P77" s="63">
        <f t="shared" si="2"/>
        <v>23</v>
      </c>
      <c r="Q77" s="33">
        <f>HLOOKUP(P77,Workings!I$1:$AR$2,2,1)</f>
        <v>46201</v>
      </c>
      <c r="R77" s="52" t="s">
        <v>146</v>
      </c>
    </row>
    <row r="78" spans="1:18" x14ac:dyDescent="0.3">
      <c r="A78" s="74"/>
      <c r="B78" s="43"/>
      <c r="C78" s="40"/>
      <c r="D78" s="40"/>
      <c r="E78" s="40"/>
      <c r="F78" s="40"/>
      <c r="G78" s="40"/>
      <c r="H78" s="40"/>
      <c r="I78" s="40"/>
      <c r="J78" s="40"/>
      <c r="K78" s="51" t="s">
        <v>75</v>
      </c>
      <c r="L78" s="62">
        <f t="shared" si="4"/>
        <v>0</v>
      </c>
      <c r="M78" s="41"/>
      <c r="N78" s="62">
        <f t="shared" si="3"/>
        <v>24</v>
      </c>
      <c r="O78" s="48">
        <f>HLOOKUP(N78,Workings!I$1:$AR$2,2,1)</f>
        <v>46231</v>
      </c>
      <c r="P78" s="63">
        <f t="shared" si="2"/>
        <v>25</v>
      </c>
      <c r="Q78" s="33">
        <f>HLOOKUP(P78,Workings!I$1:$AR$2,2,1)</f>
        <v>46262</v>
      </c>
      <c r="R78" s="52" t="s">
        <v>146</v>
      </c>
    </row>
    <row r="79" spans="1:18" x14ac:dyDescent="0.3">
      <c r="A79" s="40"/>
      <c r="B79" s="43"/>
      <c r="C79" s="40"/>
      <c r="D79" s="40"/>
      <c r="E79" s="40"/>
      <c r="F79" s="40"/>
      <c r="G79" s="40"/>
      <c r="H79" s="40"/>
      <c r="I79" s="40"/>
      <c r="J79" s="40"/>
      <c r="K79" s="51" t="s">
        <v>75</v>
      </c>
      <c r="L79" s="62">
        <f t="shared" si="4"/>
        <v>0</v>
      </c>
      <c r="M79" s="41"/>
      <c r="N79" s="62">
        <f t="shared" si="3"/>
        <v>26</v>
      </c>
      <c r="O79" s="48">
        <f>HLOOKUP(N79,Workings!I$1:$AR$2,2,1)</f>
        <v>46293</v>
      </c>
      <c r="P79" s="63">
        <f t="shared" si="2"/>
        <v>27</v>
      </c>
      <c r="Q79" s="33">
        <f>HLOOKUP(P79,Workings!I$1:$AR$2,2,1)</f>
        <v>46323</v>
      </c>
      <c r="R79" s="52" t="s">
        <v>146</v>
      </c>
    </row>
    <row r="80" spans="1:18" x14ac:dyDescent="0.3">
      <c r="A80" s="43" t="s">
        <v>0</v>
      </c>
      <c r="B80" s="43"/>
      <c r="C80" s="40"/>
      <c r="D80" s="56" t="s">
        <v>115</v>
      </c>
      <c r="E80" s="54" t="s">
        <v>78</v>
      </c>
      <c r="F80" s="56" t="s">
        <v>86</v>
      </c>
      <c r="G80" s="54" t="s">
        <v>78</v>
      </c>
      <c r="H80" s="40"/>
      <c r="I80" s="40"/>
      <c r="J80" s="40"/>
      <c r="K80" s="51" t="s">
        <v>75</v>
      </c>
      <c r="L80" s="62">
        <f t="shared" si="4"/>
        <v>0</v>
      </c>
      <c r="M80" s="41"/>
      <c r="N80" s="62">
        <f t="shared" si="3"/>
        <v>28</v>
      </c>
      <c r="O80" s="48">
        <f>HLOOKUP(N80,Workings!I$1:$AR$2,2,1)</f>
        <v>46354</v>
      </c>
      <c r="P80" s="63">
        <f t="shared" si="2"/>
        <v>29</v>
      </c>
      <c r="Q80" s="33">
        <f>HLOOKUP(P80,Workings!I$1:$AR$2,2,1)</f>
        <v>46384</v>
      </c>
      <c r="R80" s="52" t="s">
        <v>146</v>
      </c>
    </row>
    <row r="81" spans="1:18" ht="27.6" x14ac:dyDescent="0.3">
      <c r="A81" s="75" t="s">
        <v>150</v>
      </c>
      <c r="B81" s="64">
        <v>115000</v>
      </c>
      <c r="C81" s="41" t="s">
        <v>17</v>
      </c>
      <c r="D81" s="63">
        <v>1</v>
      </c>
      <c r="E81" s="48">
        <f>IF(D81&gt;0,HLOOKUP(D81,Workings!I$1:$AR$2,2,1),0)</f>
        <v>45535</v>
      </c>
      <c r="F81" s="63">
        <v>2</v>
      </c>
      <c r="G81" s="48">
        <f>IF(F81&gt;0,HLOOKUP(F81,Workings!I$1:$AR$2,2,1),0)</f>
        <v>45565</v>
      </c>
      <c r="H81" s="70" t="s">
        <v>146</v>
      </c>
      <c r="I81" s="40"/>
      <c r="J81" s="40"/>
      <c r="K81" s="51" t="s">
        <v>75</v>
      </c>
      <c r="L81" s="62">
        <f t="shared" si="4"/>
        <v>0</v>
      </c>
      <c r="M81" s="41"/>
      <c r="N81" s="62">
        <f t="shared" si="3"/>
        <v>30</v>
      </c>
      <c r="O81" s="48">
        <f>HLOOKUP(N81,Workings!I$1:$AR$2,2,1)</f>
        <v>46415</v>
      </c>
      <c r="P81" s="63">
        <f t="shared" si="2"/>
        <v>31</v>
      </c>
      <c r="Q81" s="33">
        <f>HLOOKUP(P81,Workings!I$1:$AR$2,2,1)</f>
        <v>46446</v>
      </c>
      <c r="R81" s="52" t="s">
        <v>146</v>
      </c>
    </row>
    <row r="82" spans="1:18" x14ac:dyDescent="0.3">
      <c r="A82" s="51" t="s">
        <v>151</v>
      </c>
      <c r="B82" s="64">
        <v>305000</v>
      </c>
      <c r="C82" s="41" t="s">
        <v>17</v>
      </c>
      <c r="D82" s="63">
        <v>2</v>
      </c>
      <c r="E82" s="48">
        <f>IF(D82&gt;0,HLOOKUP(D82,Workings!I$1:$AR$2,2,1),0)</f>
        <v>45565</v>
      </c>
      <c r="F82" s="63">
        <v>4</v>
      </c>
      <c r="G82" s="48">
        <f>IF(F82&gt;0,HLOOKUP(F82,Workings!I$1:$AR$2,2,1),0)</f>
        <v>45626</v>
      </c>
      <c r="H82" s="70" t="s">
        <v>146</v>
      </c>
      <c r="I82" s="40"/>
      <c r="J82" s="40"/>
      <c r="K82" s="51" t="s">
        <v>75</v>
      </c>
      <c r="L82" s="62">
        <f t="shared" si="4"/>
        <v>0</v>
      </c>
      <c r="M82" s="41"/>
      <c r="N82" s="62">
        <f t="shared" si="3"/>
        <v>32</v>
      </c>
      <c r="O82" s="48">
        <f>HLOOKUP(N82,Workings!I$1:$AR$2,2,1)</f>
        <v>46474</v>
      </c>
      <c r="P82" s="63">
        <f t="shared" si="2"/>
        <v>33</v>
      </c>
      <c r="Q82" s="33">
        <f>HLOOKUP(P82,Workings!I$1:$AR$2,2,1)</f>
        <v>46505</v>
      </c>
      <c r="R82" s="52" t="s">
        <v>146</v>
      </c>
    </row>
    <row r="83" spans="1:18" x14ac:dyDescent="0.3">
      <c r="A83" s="51" t="s">
        <v>152</v>
      </c>
      <c r="B83" s="64">
        <v>600000</v>
      </c>
      <c r="C83" s="41" t="s">
        <v>17</v>
      </c>
      <c r="D83" s="63">
        <v>3</v>
      </c>
      <c r="E83" s="48">
        <f>IF(D83&gt;0,HLOOKUP(D83,Workings!I$1:$AR$2,2,1),0)</f>
        <v>45595</v>
      </c>
      <c r="F83" s="63">
        <v>8</v>
      </c>
      <c r="G83" s="48">
        <f>IF(F83&gt;0,HLOOKUP(F83,Workings!I$1:$AR$2,2,1),0)</f>
        <v>45744</v>
      </c>
      <c r="H83" s="70" t="s">
        <v>146</v>
      </c>
      <c r="I83" s="41"/>
      <c r="J83" s="40"/>
      <c r="K83" s="51" t="s">
        <v>75</v>
      </c>
      <c r="L83" s="62">
        <f t="shared" si="4"/>
        <v>0</v>
      </c>
      <c r="M83" s="41"/>
      <c r="N83" s="62">
        <f t="shared" si="3"/>
        <v>34</v>
      </c>
      <c r="O83" s="48">
        <f>HLOOKUP(N83,Workings!I$1:$AR$2,2,1)</f>
        <v>46535</v>
      </c>
      <c r="P83" s="63">
        <f t="shared" si="2"/>
        <v>35</v>
      </c>
      <c r="Q83" s="33">
        <f>HLOOKUP(P83,Workings!I$1:$AR$2,2,1)</f>
        <v>46566</v>
      </c>
      <c r="R83" s="52" t="s">
        <v>146</v>
      </c>
    </row>
    <row r="84" spans="1:18" x14ac:dyDescent="0.3">
      <c r="A84" s="51" t="s">
        <v>153</v>
      </c>
      <c r="B84" s="64">
        <v>255000</v>
      </c>
      <c r="C84" s="41" t="s">
        <v>17</v>
      </c>
      <c r="D84" s="63">
        <v>8</v>
      </c>
      <c r="E84" s="48">
        <f>IF(D84&gt;0,HLOOKUP(D84,Workings!I$1:$AR$2,2,1),0)</f>
        <v>45744</v>
      </c>
      <c r="F84" s="63">
        <v>11</v>
      </c>
      <c r="G84" s="48">
        <f>IF(F84&gt;0,HLOOKUP(F84,Workings!I$1:$AR$2,2,1),0)</f>
        <v>45836</v>
      </c>
      <c r="H84" s="70" t="s">
        <v>146</v>
      </c>
      <c r="I84" s="41"/>
      <c r="J84" s="40"/>
      <c r="K84" s="51" t="s">
        <v>75</v>
      </c>
      <c r="L84" s="62">
        <f t="shared" si="4"/>
        <v>0</v>
      </c>
      <c r="M84" s="41"/>
      <c r="N84" s="62">
        <f t="shared" si="3"/>
        <v>36</v>
      </c>
      <c r="O84" s="48">
        <f>HLOOKUP(N84,Workings!I$1:$AR$2,2,1)</f>
        <v>46596</v>
      </c>
      <c r="P84" s="63">
        <f t="shared" si="2"/>
        <v>37</v>
      </c>
      <c r="Q84" s="33">
        <f>HLOOKUP(P84,Workings!I$1:$AR$2,2,1)</f>
        <v>46596</v>
      </c>
      <c r="R84" s="52" t="s">
        <v>146</v>
      </c>
    </row>
    <row r="85" spans="1:18" x14ac:dyDescent="0.3">
      <c r="A85" s="51" t="s">
        <v>154</v>
      </c>
      <c r="B85" s="64">
        <v>135000</v>
      </c>
      <c r="C85" s="41" t="s">
        <v>17</v>
      </c>
      <c r="D85" s="63">
        <v>11</v>
      </c>
      <c r="E85" s="48">
        <f>IF(D85&gt;0,HLOOKUP(D85,Workings!I$1:$AR$2,2,1),0)</f>
        <v>45836</v>
      </c>
      <c r="F85" s="63">
        <v>12</v>
      </c>
      <c r="G85" s="48">
        <f>IF(F85&gt;0,HLOOKUP(F85,Workings!I$1:$AR$2,2,1),0)</f>
        <v>45866</v>
      </c>
      <c r="H85" s="70"/>
      <c r="I85" s="41"/>
      <c r="J85" s="40"/>
      <c r="K85" s="51"/>
      <c r="L85" s="40"/>
      <c r="M85" s="40"/>
      <c r="N85" s="40"/>
      <c r="O85" s="42"/>
      <c r="P85" s="40"/>
      <c r="Q85" s="33"/>
      <c r="R85" s="52"/>
    </row>
    <row r="86" spans="1:18" x14ac:dyDescent="0.3">
      <c r="A86" s="51" t="s">
        <v>155</v>
      </c>
      <c r="B86" s="64">
        <v>150000</v>
      </c>
      <c r="C86" s="41" t="s">
        <v>17</v>
      </c>
      <c r="D86" s="63">
        <v>12</v>
      </c>
      <c r="E86" s="48">
        <f>IF(D86&gt;0,HLOOKUP(D86,Workings!I$1:$AR$2,2,1),0)</f>
        <v>45866</v>
      </c>
      <c r="F86" s="63">
        <v>15</v>
      </c>
      <c r="G86" s="48">
        <f>IF(F86&gt;0,HLOOKUP(F86,Workings!I$1:$AR$2,2,1),0)</f>
        <v>45958</v>
      </c>
      <c r="H86" s="70"/>
      <c r="I86" s="41"/>
      <c r="J86" s="40"/>
      <c r="K86" s="51"/>
      <c r="L86" s="40"/>
      <c r="M86" s="40"/>
      <c r="N86" s="40"/>
      <c r="O86" s="42"/>
      <c r="P86" s="40"/>
      <c r="Q86" s="33"/>
      <c r="R86" s="52"/>
    </row>
    <row r="87" spans="1:18" x14ac:dyDescent="0.3">
      <c r="A87" s="51" t="s">
        <v>156</v>
      </c>
      <c r="B87" s="64">
        <v>200000</v>
      </c>
      <c r="C87" s="41" t="s">
        <v>17</v>
      </c>
      <c r="D87" s="63">
        <f>+D81</f>
        <v>1</v>
      </c>
      <c r="E87" s="48">
        <f>IF(D87&gt;0,HLOOKUP(D87,Workings!I$1:$AR$2,2,1),0)</f>
        <v>45535</v>
      </c>
      <c r="F87" s="63">
        <f>+F86</f>
        <v>15</v>
      </c>
      <c r="G87" s="48">
        <f>IF(F87&gt;0,HLOOKUP(F87,Workings!I$1:$AR$2,2,1),0)</f>
        <v>45958</v>
      </c>
      <c r="H87" s="70"/>
      <c r="I87" s="41"/>
      <c r="J87" s="40"/>
      <c r="K87" s="51"/>
      <c r="L87" s="40"/>
      <c r="M87" s="40"/>
      <c r="N87" s="40"/>
      <c r="O87" s="42"/>
      <c r="P87" s="40"/>
      <c r="Q87" s="33"/>
      <c r="R87" s="52"/>
    </row>
    <row r="88" spans="1:18" x14ac:dyDescent="0.3">
      <c r="A88" s="51" t="s">
        <v>16</v>
      </c>
      <c r="B88" s="64">
        <v>0</v>
      </c>
      <c r="C88" s="41" t="s">
        <v>133</v>
      </c>
      <c r="D88" s="42">
        <f>+F86+1</f>
        <v>16</v>
      </c>
      <c r="E88" s="48">
        <f>IF(D88&gt;0,HLOOKUP(D88,Workings!I$1:$AR$2,2,1),0)</f>
        <v>45989</v>
      </c>
      <c r="F88" s="42">
        <v>36</v>
      </c>
      <c r="G88" s="48">
        <f>IF(F88&gt;0,HLOOKUP(F88,Workings!I$1:$AR$2,2,1),0)</f>
        <v>46596</v>
      </c>
      <c r="H88" s="41"/>
      <c r="I88" s="41"/>
      <c r="J88" s="40"/>
      <c r="K88" s="40"/>
      <c r="L88" s="40"/>
      <c r="M88" s="40"/>
      <c r="N88" s="40"/>
      <c r="O88" s="42"/>
      <c r="P88" s="40"/>
    </row>
    <row r="89" spans="1:18" x14ac:dyDescent="0.3">
      <c r="A89" s="67" t="s">
        <v>1</v>
      </c>
      <c r="B89" s="41"/>
      <c r="C89" s="41"/>
      <c r="D89" s="68"/>
      <c r="E89" s="41"/>
      <c r="F89" s="68"/>
      <c r="G89" s="41"/>
      <c r="H89" s="41"/>
      <c r="I89" s="41"/>
      <c r="J89" s="40"/>
      <c r="K89" s="40"/>
      <c r="L89" s="40"/>
      <c r="M89" s="40"/>
      <c r="N89" s="40"/>
      <c r="O89" s="42"/>
      <c r="P89" s="40"/>
    </row>
    <row r="90" spans="1:18" x14ac:dyDescent="0.3">
      <c r="A90" s="51" t="s">
        <v>2</v>
      </c>
      <c r="B90" s="64">
        <v>0</v>
      </c>
      <c r="C90" s="41" t="s">
        <v>17</v>
      </c>
      <c r="D90" s="63">
        <v>16</v>
      </c>
      <c r="E90" s="48">
        <f>IF(D90&gt;0,HLOOKUP(D90,Workings!I$1:$AR$2,2,1),0)</f>
        <v>45989</v>
      </c>
      <c r="F90" s="63">
        <v>20</v>
      </c>
      <c r="G90" s="48">
        <f>IF(F90&gt;0,HLOOKUP(F90,Workings!I$1:$AR$2,2,1),0)</f>
        <v>46109</v>
      </c>
      <c r="H90" s="70" t="s">
        <v>146</v>
      </c>
      <c r="I90" s="41"/>
      <c r="J90" s="40"/>
      <c r="K90" s="40"/>
      <c r="L90" s="40"/>
      <c r="M90" s="40"/>
      <c r="N90" s="40"/>
      <c r="O90" s="42"/>
      <c r="P90" s="40"/>
    </row>
    <row r="91" spans="1:18" x14ac:dyDescent="0.3">
      <c r="A91" s="40"/>
      <c r="B91" s="43"/>
      <c r="C91" s="40"/>
      <c r="D91" s="40"/>
      <c r="E91" s="40"/>
      <c r="F91" s="40"/>
      <c r="G91" s="40"/>
      <c r="H91" s="41"/>
      <c r="I91" s="41"/>
      <c r="J91" s="40"/>
      <c r="K91" s="40"/>
      <c r="L91" s="40"/>
      <c r="M91" s="40"/>
      <c r="N91" s="40"/>
      <c r="O91" s="42"/>
      <c r="P91" s="40"/>
    </row>
  </sheetData>
  <conditionalFormatting sqref="F41">
    <cfRule type="expression" dxfId="10" priority="12">
      <formula>IF(+F41&lt;D41,TRUE,FALSE)</formula>
    </cfRule>
  </conditionalFormatting>
  <conditionalFormatting sqref="F70">
    <cfRule type="expression" dxfId="9" priority="10">
      <formula>IF(+F70&lt;D70,TRUE,FALSE)</formula>
    </cfRule>
  </conditionalFormatting>
  <conditionalFormatting sqref="F72:F75">
    <cfRule type="expression" dxfId="8" priority="8">
      <formula>IF(+F72&lt;D72,TRUE,FALSE)</formula>
    </cfRule>
  </conditionalFormatting>
  <conditionalFormatting sqref="F81:F87">
    <cfRule type="expression" dxfId="7" priority="6">
      <formula>IF(+F81&lt;D81,TRUE,FALSE)</formula>
    </cfRule>
  </conditionalFormatting>
  <conditionalFormatting sqref="F90">
    <cfRule type="expression" dxfId="6" priority="4">
      <formula>IF(+F90&lt;D90,TRUE,FALSE)</formula>
    </cfRule>
  </conditionalFormatting>
  <conditionalFormatting sqref="H41">
    <cfRule type="expression" dxfId="5" priority="11">
      <formula>IF(+F41&lt;D41,TRUE,FALSE)</formula>
    </cfRule>
  </conditionalFormatting>
  <conditionalFormatting sqref="H69 H71:H74">
    <cfRule type="expression" dxfId="4" priority="13">
      <formula>IF(+F70&lt;D70,TRUE,FALSE)</formula>
    </cfRule>
  </conditionalFormatting>
  <conditionalFormatting sqref="H81:H87">
    <cfRule type="expression" dxfId="3" priority="5">
      <formula>IF(+F81&lt;D81,TRUE,FALSE)</formula>
    </cfRule>
  </conditionalFormatting>
  <conditionalFormatting sqref="H90">
    <cfRule type="expression" dxfId="2" priority="3">
      <formula>IF(+F90&lt;D90,TRUE,FALSE)</formula>
    </cfRule>
  </conditionalFormatting>
  <conditionalFormatting sqref="P70:P84">
    <cfRule type="expression" dxfId="1" priority="2">
      <formula>IF(+P70&lt;N70,TRUE,FALSE)</formula>
    </cfRule>
  </conditionalFormatting>
  <conditionalFormatting sqref="R70:R87">
    <cfRule type="expression" dxfId="0" priority="1">
      <formula>IF(+P70&lt;N70,TRUE,FALSE)</formula>
    </cfRule>
  </conditionalFormatting>
  <dataValidations count="2">
    <dataValidation type="list" allowBlank="1" showInputMessage="1" showErrorMessage="1" sqref="B69" xr:uid="{00000000-0002-0000-0000-000000000000}">
      <formula1>"Sales Units, Defined Prod"</formula1>
    </dataValidation>
    <dataValidation type="custom" allowBlank="1" showInputMessage="1" showErrorMessage="1" errorTitle="Invalid" error="Change Method to &quot;Defined Prod&quot;" sqref="B73:B75" xr:uid="{00000000-0002-0000-0000-000001000000}">
      <formula1>IF($B$69="Sales Units",FALSE,TRUE)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11" workbookViewId="0">
      <selection activeCell="G11" sqref="G11"/>
    </sheetView>
  </sheetViews>
  <sheetFormatPr defaultRowHeight="14.4" x14ac:dyDescent="0.3"/>
  <cols>
    <col min="1" max="1" width="51.6640625" customWidth="1"/>
    <col min="2" max="4" width="18.109375" customWidth="1"/>
  </cols>
  <sheetData>
    <row r="1" spans="1:4" s="21" customFormat="1" x14ac:dyDescent="0.3">
      <c r="B1" s="21" t="s">
        <v>141</v>
      </c>
      <c r="C1" s="21" t="s">
        <v>142</v>
      </c>
      <c r="D1" s="21" t="s">
        <v>143</v>
      </c>
    </row>
    <row r="2" spans="1:4" x14ac:dyDescent="0.3">
      <c r="A2" s="21"/>
    </row>
    <row r="3" spans="1:4" x14ac:dyDescent="0.3">
      <c r="A3" s="2" t="s">
        <v>6</v>
      </c>
    </row>
    <row r="4" spans="1:4" s="40" customFormat="1" ht="13.8" x14ac:dyDescent="0.3">
      <c r="A4" s="51" t="s">
        <v>66</v>
      </c>
      <c r="B4" s="42">
        <f>SUM('P&amp;L by Period'!D4:O4)</f>
        <v>0</v>
      </c>
      <c r="C4" s="42">
        <f>SUM('P&amp;L by Period'!P4:AA4)</f>
        <v>4181.3137665121403</v>
      </c>
      <c r="D4" s="42">
        <f>SUM('P&amp;L by Period'!AB4:AM4)</f>
        <v>9547.477275372632</v>
      </c>
    </row>
    <row r="5" spans="1:4" x14ac:dyDescent="0.3">
      <c r="A5" s="1" t="s">
        <v>6</v>
      </c>
      <c r="B5" s="7">
        <f>SUM('P&amp;L by Period'!D5:O5)</f>
        <v>0</v>
      </c>
      <c r="C5" s="7">
        <f>SUM('P&amp;L by Period'!P5:AA5)</f>
        <v>5674378.5602354165</v>
      </c>
      <c r="D5" s="7">
        <f>SUM('P&amp;L by Period'!AB5:AM5)</f>
        <v>32058729.43384397</v>
      </c>
    </row>
    <row r="6" spans="1:4" x14ac:dyDescent="0.3">
      <c r="A6" s="1" t="s">
        <v>68</v>
      </c>
      <c r="B6" s="7">
        <f>SUM('P&amp;L by Period'!D6:O6)</f>
        <v>0</v>
      </c>
      <c r="C6" s="7">
        <f>SUM('P&amp;L by Period'!P6:AA6)</f>
        <v>3345051.0132097127</v>
      </c>
      <c r="D6" s="7">
        <f>SUM('P&amp;L by Period'!AB6:AM6)</f>
        <v>7637981.8202981073</v>
      </c>
    </row>
    <row r="8" spans="1:4" s="2" customFormat="1" x14ac:dyDescent="0.3">
      <c r="A8" s="18" t="s">
        <v>87</v>
      </c>
      <c r="B8" s="30">
        <f>+B5-B6</f>
        <v>0</v>
      </c>
      <c r="C8" s="30">
        <f t="shared" ref="C8:D8" si="0">+C5-C6</f>
        <v>2329327.5470257038</v>
      </c>
      <c r="D8" s="30">
        <f t="shared" si="0"/>
        <v>24420747.613545865</v>
      </c>
    </row>
    <row r="10" spans="1:4" x14ac:dyDescent="0.3">
      <c r="A10" s="2" t="s">
        <v>65</v>
      </c>
    </row>
    <row r="11" spans="1:4" x14ac:dyDescent="0.3">
      <c r="A11" s="1" t="s">
        <v>65</v>
      </c>
      <c r="B11" s="7">
        <f>SUM('P&amp;L by Period'!D11:O11)</f>
        <v>0</v>
      </c>
      <c r="C11" s="7">
        <f>SUM('P&amp;L by Period'!P11:AA11)</f>
        <v>18815.911949304631</v>
      </c>
      <c r="D11" s="7">
        <f>SUM('P&amp;L by Period'!AB11:AM11)</f>
        <v>42963.647739176842</v>
      </c>
    </row>
    <row r="12" spans="1:4" x14ac:dyDescent="0.3">
      <c r="A12" s="1" t="s">
        <v>89</v>
      </c>
      <c r="B12" s="7">
        <f>SUM('P&amp;L by Period'!D12:O12)</f>
        <v>0</v>
      </c>
      <c r="C12" s="7">
        <f>SUM('P&amp;L by Period'!P12:AA12)</f>
        <v>567437.85602354165</v>
      </c>
      <c r="D12" s="7">
        <f>SUM('P&amp;L by Period'!AB12:AM12)</f>
        <v>2829783.1108345841</v>
      </c>
    </row>
    <row r="14" spans="1:4" x14ac:dyDescent="0.3">
      <c r="A14" s="2" t="s">
        <v>88</v>
      </c>
    </row>
    <row r="15" spans="1:4" x14ac:dyDescent="0.3">
      <c r="A15" s="1" t="str">
        <f>+Parameters!A34</f>
        <v>Device Placement</v>
      </c>
      <c r="B15" s="7">
        <f>SUM('P&amp;L by Period'!D15:O15)</f>
        <v>0</v>
      </c>
      <c r="C15" s="7">
        <f>SUM('P&amp;L by Period'!P15:AA15)</f>
        <v>309848.53248841054</v>
      </c>
      <c r="D15" s="7">
        <f>SUM('P&amp;L by Period'!AB15:AM15)</f>
        <v>688460.86812776304</v>
      </c>
    </row>
    <row r="16" spans="1:4" x14ac:dyDescent="0.3">
      <c r="A16" s="1" t="str">
        <f>+Parameters!A35</f>
        <v>General Marketing</v>
      </c>
      <c r="B16" s="7">
        <f>SUM('P&amp;L by Period'!D16:O16)</f>
        <v>0</v>
      </c>
      <c r="C16" s="7">
        <f>SUM('P&amp;L by Period'!P16:AA16)</f>
        <v>141000</v>
      </c>
      <c r="D16" s="7">
        <f>SUM('P&amp;L by Period'!AB16:AM16)</f>
        <v>350972.63977575902</v>
      </c>
    </row>
    <row r="17" spans="1:4" x14ac:dyDescent="0.3">
      <c r="A17" s="1" t="str">
        <f>+Parameters!A38</f>
        <v>Video production</v>
      </c>
      <c r="B17" s="7">
        <f>SUM('P&amp;L by Period'!D17:O17)</f>
        <v>10000</v>
      </c>
      <c r="C17" s="7">
        <f>SUM('P&amp;L by Period'!P17:AA17)</f>
        <v>120000</v>
      </c>
      <c r="D17" s="7">
        <f>SUM('P&amp;L by Period'!AB17:AM17)</f>
        <v>120000</v>
      </c>
    </row>
    <row r="18" spans="1:4" x14ac:dyDescent="0.3">
      <c r="A18" s="1" t="str">
        <f>+Parameters!A40</f>
        <v>Website Development</v>
      </c>
      <c r="B18" s="7">
        <f>SUM('P&amp;L by Period'!D18:O18)</f>
        <v>35000</v>
      </c>
      <c r="C18" s="7">
        <f>SUM('P&amp;L by Period'!P18:AA18)</f>
        <v>36000</v>
      </c>
      <c r="D18" s="7">
        <f>SUM('P&amp;L by Period'!AB18:AM18)</f>
        <v>36000</v>
      </c>
    </row>
    <row r="20" spans="1:4" x14ac:dyDescent="0.3">
      <c r="A20" s="2" t="s">
        <v>90</v>
      </c>
    </row>
    <row r="21" spans="1:4" x14ac:dyDescent="0.3">
      <c r="A21" t="s">
        <v>91</v>
      </c>
      <c r="B21" s="7">
        <f>SUM('P&amp;L by Period'!D21:O21)</f>
        <v>262500</v>
      </c>
      <c r="C21" s="7">
        <f>SUM('P&amp;L by Period'!P21:AA21)</f>
        <v>360000</v>
      </c>
      <c r="D21" s="7">
        <f>SUM('P&amp;L by Period'!AB21:AM21)</f>
        <v>360000</v>
      </c>
    </row>
    <row r="22" spans="1:4" x14ac:dyDescent="0.3">
      <c r="A22" t="s">
        <v>92</v>
      </c>
      <c r="B22" s="7">
        <f>SUM('P&amp;L by Period'!D22:O22)</f>
        <v>4000</v>
      </c>
      <c r="C22" s="7">
        <f>SUM('P&amp;L by Period'!P22:AA22)</f>
        <v>100000</v>
      </c>
      <c r="D22" s="7">
        <f>SUM('P&amp;L by Period'!AB22:AM22)</f>
        <v>360000</v>
      </c>
    </row>
    <row r="23" spans="1:4" x14ac:dyDescent="0.3">
      <c r="A23" t="s">
        <v>9</v>
      </c>
      <c r="B23" s="7">
        <f>SUM('P&amp;L by Period'!D23:O23)</f>
        <v>60000</v>
      </c>
      <c r="C23" s="7">
        <f>SUM('P&amp;L by Period'!P23:AA23)</f>
        <v>240000</v>
      </c>
      <c r="D23" s="7">
        <f>SUM('P&amp;L by Period'!AB23:AM23)</f>
        <v>240000</v>
      </c>
    </row>
    <row r="24" spans="1:4" x14ac:dyDescent="0.3">
      <c r="A24" t="s">
        <v>74</v>
      </c>
      <c r="B24" s="7">
        <f>SUM('P&amp;L by Period'!D24:O24)</f>
        <v>0</v>
      </c>
      <c r="C24" s="7">
        <f>SUM('P&amp;L by Period'!P24:AA24)</f>
        <v>73463.647797218524</v>
      </c>
      <c r="D24" s="7">
        <f>SUM('P&amp;L by Period'!AB24:AM24)</f>
        <v>158606.62574461882</v>
      </c>
    </row>
    <row r="25" spans="1:4" x14ac:dyDescent="0.3">
      <c r="A25" t="str">
        <f>Parameters!A63</f>
        <v>General Administration Expenses</v>
      </c>
      <c r="B25" s="7">
        <f>SUM('P&amp;L by Period'!D25:O25)</f>
        <v>60000</v>
      </c>
      <c r="C25" s="7">
        <f>SUM('P&amp;L by Period'!P25:AA25)</f>
        <v>243000</v>
      </c>
      <c r="D25" s="7">
        <f>SUM('P&amp;L by Period'!AB25:AM25)</f>
        <v>247200</v>
      </c>
    </row>
    <row r="27" spans="1:4" x14ac:dyDescent="0.3">
      <c r="A27" s="2" t="s">
        <v>82</v>
      </c>
    </row>
    <row r="28" spans="1:4" x14ac:dyDescent="0.3">
      <c r="A28" s="1" t="str">
        <f>Parameters!A80</f>
        <v>Design &amp; Engineering</v>
      </c>
      <c r="B28" s="7">
        <f>SUM('P&amp;L by Period'!D28:O28)</f>
        <v>1607499.9999999998</v>
      </c>
      <c r="C28" s="7">
        <f>SUM('P&amp;L by Period'!P28:AA28)</f>
        <v>152500</v>
      </c>
      <c r="D28" s="7">
        <f>SUM('P&amp;L by Period'!AB28:AM28)</f>
        <v>0</v>
      </c>
    </row>
    <row r="29" spans="1:4" x14ac:dyDescent="0.3">
      <c r="A29" s="1" t="str">
        <f>Parameters!A89</f>
        <v>FDA Certification</v>
      </c>
      <c r="B29" s="7">
        <f>SUM('P&amp;L by Period'!D29:O29)</f>
        <v>0</v>
      </c>
      <c r="C29" s="7">
        <f>SUM('P&amp;L by Period'!P29:AA29)</f>
        <v>0</v>
      </c>
      <c r="D29" s="7">
        <f>SUM('P&amp;L by Period'!AB29:AM29)</f>
        <v>0</v>
      </c>
    </row>
    <row r="31" spans="1:4" s="2" customFormat="1" x14ac:dyDescent="0.3">
      <c r="A31" s="2" t="s">
        <v>93</v>
      </c>
      <c r="B31" s="30">
        <f>SUM(B11:B29)</f>
        <v>2038999.9999999998</v>
      </c>
      <c r="C31" s="30">
        <f t="shared" ref="C31:D31" si="1">SUM(C11:C29)</f>
        <v>2362065.9482584754</v>
      </c>
      <c r="D31" s="30">
        <f t="shared" si="1"/>
        <v>5433986.8922219016</v>
      </c>
    </row>
    <row r="33" spans="1:4" s="2" customFormat="1" x14ac:dyDescent="0.3">
      <c r="A33" s="2" t="s">
        <v>94</v>
      </c>
      <c r="B33" s="36">
        <f>+B8-B31</f>
        <v>-2038999.9999999998</v>
      </c>
      <c r="C33" s="36">
        <f t="shared" ref="C33:D33" si="2">+C8-C31</f>
        <v>-32738.401232771575</v>
      </c>
      <c r="D33" s="36">
        <f t="shared" si="2"/>
        <v>18986760.721323963</v>
      </c>
    </row>
    <row r="34" spans="1:4" s="2" customFormat="1" x14ac:dyDescent="0.3">
      <c r="A34" s="2" t="s">
        <v>132</v>
      </c>
      <c r="B34" s="36">
        <f>+B33</f>
        <v>-2038999.9999999998</v>
      </c>
      <c r="C34" s="36">
        <f>+B34+C33</f>
        <v>-2071738.4012327713</v>
      </c>
      <c r="D34" s="36">
        <f>+C34+D33</f>
        <v>16915022.320091192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"/>
  <sheetViews>
    <sheetView topLeftCell="A26" workbookViewId="0">
      <selection activeCell="G17" sqref="G17"/>
    </sheetView>
  </sheetViews>
  <sheetFormatPr defaultRowHeight="14.4" x14ac:dyDescent="0.3"/>
  <cols>
    <col min="3" max="3" width="9.109375" bestFit="1" customWidth="1"/>
    <col min="4" max="4" width="10.44140625" style="7" customWidth="1"/>
    <col min="5" max="5" width="11.109375" bestFit="1" customWidth="1"/>
  </cols>
  <sheetData>
    <row r="1" spans="1:5" s="21" customFormat="1" x14ac:dyDescent="0.3">
      <c r="A1" s="21" t="s">
        <v>144</v>
      </c>
      <c r="B1" s="29" t="s">
        <v>78</v>
      </c>
      <c r="C1" s="21" t="s">
        <v>6</v>
      </c>
      <c r="D1" s="29" t="s">
        <v>69</v>
      </c>
      <c r="E1" s="21" t="s">
        <v>109</v>
      </c>
    </row>
    <row r="2" spans="1:5" x14ac:dyDescent="0.3">
      <c r="A2">
        <f>+'P&amp;L by Period'!D$1</f>
        <v>1</v>
      </c>
      <c r="B2" s="33">
        <v>46113</v>
      </c>
      <c r="C2" s="7">
        <f>'P&amp;L by Period'!D$4</f>
        <v>0</v>
      </c>
      <c r="D2" s="7">
        <f>Workings!I$128</f>
        <v>0</v>
      </c>
      <c r="E2" s="22">
        <f>'P&amp;L by Period'!D$33</f>
        <v>-84583.333333333328</v>
      </c>
    </row>
    <row r="3" spans="1:5" x14ac:dyDescent="0.3">
      <c r="A3">
        <f>+'P&amp;L by Period'!E$1</f>
        <v>2</v>
      </c>
      <c r="B3" s="33">
        <v>46143</v>
      </c>
      <c r="C3" s="7">
        <f>'P&amp;L by Period'!E$4</f>
        <v>0</v>
      </c>
      <c r="D3" s="7">
        <f>Workings!J$128</f>
        <v>0</v>
      </c>
      <c r="E3" s="22">
        <f>'P&amp;L by Period'!E$33</f>
        <v>-186250.00000000003</v>
      </c>
    </row>
    <row r="4" spans="1:5" x14ac:dyDescent="0.3">
      <c r="A4">
        <f>+'P&amp;L by Period'!F$1</f>
        <v>3</v>
      </c>
      <c r="B4" s="33">
        <v>46174</v>
      </c>
      <c r="C4" s="7">
        <f>'P&amp;L by Period'!F$4</f>
        <v>0</v>
      </c>
      <c r="D4" s="7">
        <f>Workings!K$128</f>
        <v>0</v>
      </c>
      <c r="E4" s="22">
        <f>'P&amp;L by Period'!F$33</f>
        <v>-228750.00000000003</v>
      </c>
    </row>
    <row r="5" spans="1:5" x14ac:dyDescent="0.3">
      <c r="A5">
        <f>+'P&amp;L by Period'!G$1</f>
        <v>4</v>
      </c>
      <c r="B5" s="33">
        <v>46204</v>
      </c>
      <c r="C5" s="7">
        <f>'P&amp;L by Period'!G$4</f>
        <v>0</v>
      </c>
      <c r="D5" s="7">
        <f>Workings!L$128</f>
        <v>0</v>
      </c>
      <c r="E5" s="22">
        <f>'P&amp;L by Period'!G$33</f>
        <v>-228750.00000000003</v>
      </c>
    </row>
    <row r="6" spans="1:5" x14ac:dyDescent="0.3">
      <c r="A6">
        <f>+'P&amp;L by Period'!H$1</f>
        <v>5</v>
      </c>
      <c r="B6" s="33">
        <v>46235</v>
      </c>
      <c r="C6" s="7">
        <f>'P&amp;L by Period'!H$4</f>
        <v>0</v>
      </c>
      <c r="D6" s="7">
        <f>Workings!M$128</f>
        <v>0</v>
      </c>
      <c r="E6" s="22">
        <f>'P&amp;L by Period'!H$33</f>
        <v>-133750</v>
      </c>
    </row>
    <row r="7" spans="1:5" x14ac:dyDescent="0.3">
      <c r="A7">
        <f>+'P&amp;L by Period'!I$1</f>
        <v>6</v>
      </c>
      <c r="B7" s="33">
        <v>46266</v>
      </c>
      <c r="C7" s="7">
        <f>'P&amp;L by Period'!I$4</f>
        <v>0</v>
      </c>
      <c r="D7" s="7">
        <f>Workings!N$128</f>
        <v>0</v>
      </c>
      <c r="E7" s="22">
        <f>'P&amp;L by Period'!I$33</f>
        <v>-133750</v>
      </c>
    </row>
    <row r="8" spans="1:5" x14ac:dyDescent="0.3">
      <c r="A8">
        <f>+'P&amp;L by Period'!J$1</f>
        <v>7</v>
      </c>
      <c r="B8" s="33">
        <v>46296</v>
      </c>
      <c r="C8" s="7">
        <f>'P&amp;L by Period'!J$4</f>
        <v>0</v>
      </c>
      <c r="D8" s="7">
        <f>Workings!O$128</f>
        <v>0</v>
      </c>
      <c r="E8" s="22">
        <f>'P&amp;L by Period'!J$33</f>
        <v>-150000</v>
      </c>
    </row>
    <row r="9" spans="1:5" x14ac:dyDescent="0.3">
      <c r="A9">
        <f>+'P&amp;L by Period'!K$1</f>
        <v>8</v>
      </c>
      <c r="B9" s="33">
        <v>46327</v>
      </c>
      <c r="C9" s="7">
        <f>'P&amp;L by Period'!K$4</f>
        <v>0</v>
      </c>
      <c r="D9" s="7">
        <f>Workings!P$128</f>
        <v>0</v>
      </c>
      <c r="E9" s="22">
        <f>'P&amp;L by Period'!K$33</f>
        <v>-210083.33333333334</v>
      </c>
    </row>
    <row r="10" spans="1:5" x14ac:dyDescent="0.3">
      <c r="A10">
        <f>+'P&amp;L by Period'!L$1</f>
        <v>9</v>
      </c>
      <c r="B10" s="33">
        <v>46357</v>
      </c>
      <c r="C10" s="7">
        <f>'P&amp;L by Period'!L$4</f>
        <v>0</v>
      </c>
      <c r="D10" s="7">
        <f>Workings!Q$128</f>
        <v>0</v>
      </c>
      <c r="E10" s="22">
        <f>'P&amp;L by Period'!L$33</f>
        <v>-110083.33333333333</v>
      </c>
    </row>
    <row r="11" spans="1:5" x14ac:dyDescent="0.3">
      <c r="A11">
        <f>+'P&amp;L by Period'!M$1</f>
        <v>10</v>
      </c>
      <c r="B11" s="33">
        <v>46388</v>
      </c>
      <c r="C11" s="7">
        <f>'P&amp;L by Period'!M$4</f>
        <v>0</v>
      </c>
      <c r="D11" s="7">
        <f>Workings!R$128</f>
        <v>0</v>
      </c>
      <c r="E11" s="22">
        <f>'P&amp;L by Period'!M$33</f>
        <v>-150083.33333333331</v>
      </c>
    </row>
    <row r="12" spans="1:5" x14ac:dyDescent="0.3">
      <c r="A12">
        <f>+'P&amp;L by Period'!N$1</f>
        <v>11</v>
      </c>
      <c r="B12" s="33">
        <v>46419</v>
      </c>
      <c r="C12" s="7">
        <f>'P&amp;L by Period'!N$4</f>
        <v>0</v>
      </c>
      <c r="D12" s="7">
        <f>Workings!S$128</f>
        <v>0</v>
      </c>
      <c r="E12" s="22">
        <f>'P&amp;L by Period'!N$33</f>
        <v>-217583.33333333334</v>
      </c>
    </row>
    <row r="13" spans="1:5" x14ac:dyDescent="0.3">
      <c r="A13">
        <f>+'P&amp;L by Period'!O$1</f>
        <v>12</v>
      </c>
      <c r="B13" s="33">
        <v>46447</v>
      </c>
      <c r="C13" s="7">
        <f>'P&amp;L by Period'!O$4</f>
        <v>0</v>
      </c>
      <c r="D13" s="7">
        <f>Workings!T$128</f>
        <v>0</v>
      </c>
      <c r="E13" s="22">
        <f>'P&amp;L by Period'!O$33</f>
        <v>-205333.33333333331</v>
      </c>
    </row>
    <row r="14" spans="1:5" x14ac:dyDescent="0.3">
      <c r="A14">
        <f>+'P&amp;L by Period'!P$1</f>
        <v>13</v>
      </c>
      <c r="B14" s="33">
        <v>46478</v>
      </c>
      <c r="C14" s="7">
        <f>'P&amp;L by Period'!P$4</f>
        <v>0</v>
      </c>
      <c r="D14" s="7">
        <f>Workings!U$128</f>
        <v>0</v>
      </c>
      <c r="E14" s="22">
        <f>'P&amp;L by Period'!P$33</f>
        <v>-137833.33333333334</v>
      </c>
    </row>
    <row r="15" spans="1:5" x14ac:dyDescent="0.3">
      <c r="A15">
        <f>+'P&amp;L by Period'!Q$1</f>
        <v>14</v>
      </c>
      <c r="B15" s="33">
        <v>46508</v>
      </c>
      <c r="C15" s="7">
        <f>'P&amp;L by Period'!Q$4</f>
        <v>0</v>
      </c>
      <c r="D15" s="7">
        <f>Workings!V$128</f>
        <v>0</v>
      </c>
      <c r="E15" s="22">
        <f>'P&amp;L by Period'!Q$33</f>
        <v>-137833.33333333334</v>
      </c>
    </row>
    <row r="16" spans="1:5" x14ac:dyDescent="0.3">
      <c r="A16">
        <f>+'P&amp;L by Period'!R$1</f>
        <v>15</v>
      </c>
      <c r="B16" s="33">
        <v>46539</v>
      </c>
      <c r="C16" s="7">
        <f>'P&amp;L by Period'!R$4</f>
        <v>0</v>
      </c>
      <c r="D16" s="7">
        <f>Workings!W$128</f>
        <v>0</v>
      </c>
      <c r="E16" s="22">
        <f>'P&amp;L by Period'!R$33</f>
        <v>-137833.33333333334</v>
      </c>
    </row>
    <row r="17" spans="1:5" x14ac:dyDescent="0.3">
      <c r="A17">
        <f>+'P&amp;L by Period'!S$1</f>
        <v>16</v>
      </c>
      <c r="B17" s="33">
        <v>46569</v>
      </c>
      <c r="C17" s="7">
        <f>'P&amp;L by Period'!S$4</f>
        <v>200</v>
      </c>
      <c r="D17" s="7">
        <f>Workings!X$128</f>
        <v>200</v>
      </c>
      <c r="E17" s="22">
        <f>'P&amp;L by Period'!S$33</f>
        <v>-212500</v>
      </c>
    </row>
    <row r="18" spans="1:5" x14ac:dyDescent="0.3">
      <c r="A18">
        <f>+'P&amp;L by Period'!T$1</f>
        <v>17</v>
      </c>
      <c r="B18" s="33">
        <v>46600</v>
      </c>
      <c r="C18" s="7">
        <f>'P&amp;L by Period'!T$4</f>
        <v>350</v>
      </c>
      <c r="D18" s="7">
        <f>Workings!Y$128</f>
        <v>350</v>
      </c>
      <c r="E18" s="22">
        <f>'P&amp;L by Period'!T$33</f>
        <v>-252625</v>
      </c>
    </row>
    <row r="19" spans="1:5" x14ac:dyDescent="0.3">
      <c r="A19">
        <f>+'P&amp;L by Period'!U$1</f>
        <v>18</v>
      </c>
      <c r="B19" s="33">
        <v>46631</v>
      </c>
      <c r="C19" s="7">
        <f>'P&amp;L by Period'!U$4</f>
        <v>450</v>
      </c>
      <c r="D19" s="7">
        <f>Workings!Z$128</f>
        <v>450</v>
      </c>
      <c r="E19" s="22">
        <f>'P&amp;L by Period'!U$33</f>
        <v>-244875</v>
      </c>
    </row>
    <row r="20" spans="1:5" x14ac:dyDescent="0.3">
      <c r="A20">
        <f>+'P&amp;L by Period'!V$1</f>
        <v>19</v>
      </c>
      <c r="B20" s="33">
        <v>46661</v>
      </c>
      <c r="C20" s="7">
        <f>'P&amp;L by Period'!V$4</f>
        <v>469.125</v>
      </c>
      <c r="D20" s="7">
        <f>Workings!AA$128</f>
        <v>469.125</v>
      </c>
      <c r="E20" s="22">
        <f>'P&amp;L by Period'!V$33</f>
        <v>-135375.9375</v>
      </c>
    </row>
    <row r="21" spans="1:5" x14ac:dyDescent="0.3">
      <c r="A21">
        <f>+'P&amp;L by Period'!W$1</f>
        <v>20</v>
      </c>
      <c r="B21" s="33">
        <v>46692</v>
      </c>
      <c r="C21" s="7">
        <f>'P&amp;L by Period'!W$4</f>
        <v>489.06281250000001</v>
      </c>
      <c r="D21" s="7">
        <f>Workings!AB$128</f>
        <v>489.06281250000001</v>
      </c>
      <c r="E21" s="22">
        <f>'P&amp;L by Period'!W$33</f>
        <v>-21823.164843749983</v>
      </c>
    </row>
    <row r="22" spans="1:5" x14ac:dyDescent="0.3">
      <c r="A22">
        <f>+'P&amp;L by Period'!X$1</f>
        <v>21</v>
      </c>
      <c r="B22" s="33">
        <v>46722</v>
      </c>
      <c r="C22" s="7">
        <f>'P&amp;L by Period'!X$4</f>
        <v>509.84798203125001</v>
      </c>
      <c r="D22" s="7">
        <f>Workings!AC$128</f>
        <v>509.84798203125001</v>
      </c>
      <c r="E22" s="22">
        <f>'P&amp;L by Period'!X$33</f>
        <v>97181.100650390668</v>
      </c>
    </row>
    <row r="23" spans="1:5" x14ac:dyDescent="0.3">
      <c r="A23">
        <f>+'P&amp;L by Period'!Y$1</f>
        <v>22</v>
      </c>
      <c r="B23" s="33">
        <v>46753</v>
      </c>
      <c r="C23" s="7">
        <f>'P&amp;L by Period'!Y$4</f>
        <v>541.51652126757813</v>
      </c>
      <c r="D23" s="7">
        <f>Workings!AD$128</f>
        <v>541.51652126757813</v>
      </c>
      <c r="E23" s="22">
        <f>'P&amp;L by Period'!Y$33</f>
        <v>238978.04742803233</v>
      </c>
    </row>
    <row r="24" spans="1:5" x14ac:dyDescent="0.3">
      <c r="A24">
        <f>+'P&amp;L by Period'!Z$1</f>
        <v>23</v>
      </c>
      <c r="B24" s="33">
        <v>46784</v>
      </c>
      <c r="C24" s="7">
        <f>'P&amp;L by Period'!Z$4</f>
        <v>571.60597342145024</v>
      </c>
      <c r="D24" s="7">
        <f>Workings!AE$128</f>
        <v>571.60597342145024</v>
      </c>
      <c r="E24" s="22">
        <f>'P&amp;L by Period'!Z$33</f>
        <v>384913.87694372365</v>
      </c>
    </row>
    <row r="25" spans="1:5" x14ac:dyDescent="0.3">
      <c r="A25">
        <f>+'P&amp;L by Period'!AA$1</f>
        <v>24</v>
      </c>
      <c r="B25" s="33">
        <v>46813</v>
      </c>
      <c r="C25" s="7">
        <f>'P&amp;L by Period'!AA$4</f>
        <v>600.15547729186187</v>
      </c>
      <c r="D25" s="7">
        <f>Workings!AF$128</f>
        <v>600.15547729186187</v>
      </c>
      <c r="E25" s="22">
        <f>'P&amp;L by Period'!AA$33</f>
        <v>526887.67608883185</v>
      </c>
    </row>
    <row r="26" spans="1:5" x14ac:dyDescent="0.3">
      <c r="A26">
        <f>+'P&amp;L by Period'!AB$1</f>
        <v>25</v>
      </c>
      <c r="B26" s="33">
        <v>46844</v>
      </c>
      <c r="C26" s="7">
        <f>'P&amp;L by Period'!AB$4</f>
        <v>625.66208507676595</v>
      </c>
      <c r="D26" s="7">
        <f>Workings!AG$128</f>
        <v>625.66208507676595</v>
      </c>
      <c r="E26" s="22">
        <f>'P&amp;L by Period'!AB$33</f>
        <v>662785.21482260735</v>
      </c>
    </row>
    <row r="27" spans="1:5" x14ac:dyDescent="0.3">
      <c r="A27">
        <f>+'P&amp;L by Period'!AC$1</f>
        <v>26</v>
      </c>
      <c r="B27" s="33">
        <v>46874</v>
      </c>
      <c r="C27" s="7">
        <f>'P&amp;L by Period'!AC$4</f>
        <v>652.25272369252843</v>
      </c>
      <c r="D27" s="7">
        <f>Workings!AH$128</f>
        <v>652.25272369252843</v>
      </c>
      <c r="E27" s="22">
        <f>'P&amp;L by Period'!AC$33</f>
        <v>796450.5239525683</v>
      </c>
    </row>
    <row r="28" spans="1:5" x14ac:dyDescent="0.3">
      <c r="A28">
        <f>+'P&amp;L by Period'!AD$1</f>
        <v>27</v>
      </c>
      <c r="B28" s="33">
        <v>46905</v>
      </c>
      <c r="C28" s="7">
        <f>'P&amp;L by Period'!AD$4</f>
        <v>679.97346444946095</v>
      </c>
      <c r="D28" s="7">
        <f>Workings!AI$128</f>
        <v>679.97346444946083</v>
      </c>
      <c r="E28" s="22">
        <f>'P&amp;L by Period'!AD$33</f>
        <v>944128.33997055236</v>
      </c>
    </row>
    <row r="29" spans="1:5" x14ac:dyDescent="0.3">
      <c r="A29">
        <f>+'P&amp;L by Period'!AE$1</f>
        <v>28</v>
      </c>
      <c r="B29" s="33">
        <v>46935</v>
      </c>
      <c r="C29" s="7">
        <f>'P&amp;L by Period'!AE$4</f>
        <v>709.37233668856311</v>
      </c>
      <c r="D29" s="7">
        <f>Workings!AJ$128</f>
        <v>709.37233668856311</v>
      </c>
      <c r="E29" s="22">
        <f>'P&amp;L by Period'!AE$33</f>
        <v>1103560.5309818008</v>
      </c>
    </row>
    <row r="30" spans="1:5" x14ac:dyDescent="0.3">
      <c r="A30">
        <f>+'P&amp;L by Period'!AF$1</f>
        <v>29</v>
      </c>
      <c r="B30" s="33">
        <v>46966</v>
      </c>
      <c r="C30" s="7">
        <f>'P&amp;L by Period'!AF$4</f>
        <v>739.874410997827</v>
      </c>
      <c r="D30" s="7">
        <f>Workings!AK$128</f>
        <v>739.87441099782711</v>
      </c>
      <c r="E30" s="22">
        <f>'P&amp;L by Period'!AF$33</f>
        <v>1272219.5994391518</v>
      </c>
    </row>
    <row r="31" spans="1:5" x14ac:dyDescent="0.3">
      <c r="A31">
        <f>+'P&amp;L by Period'!AG$1</f>
        <v>30</v>
      </c>
      <c r="B31" s="33">
        <v>46997</v>
      </c>
      <c r="C31" s="7">
        <f>'P&amp;L by Period'!AG$4</f>
        <v>771.53188596523455</v>
      </c>
      <c r="D31" s="7">
        <f>Workings!AL$128</f>
        <v>771.53188596523455</v>
      </c>
      <c r="E31" s="22">
        <f>'P&amp;L by Period'!AG$33</f>
        <v>1441366.5160379724</v>
      </c>
    </row>
    <row r="32" spans="1:5" x14ac:dyDescent="0.3">
      <c r="A32">
        <f>+'P&amp;L by Period'!AH$1</f>
        <v>31</v>
      </c>
      <c r="B32" s="33">
        <v>47027</v>
      </c>
      <c r="C32" s="7">
        <f>'P&amp;L by Period'!AH$4</f>
        <v>804.32199111875696</v>
      </c>
      <c r="D32" s="7">
        <f>Workings!AM$128</f>
        <v>804.32199111875696</v>
      </c>
      <c r="E32" s="22">
        <f>'P&amp;L by Period'!AH$33</f>
        <v>1625426.993531188</v>
      </c>
    </row>
    <row r="33" spans="1:5" x14ac:dyDescent="0.3">
      <c r="A33">
        <f>+'P&amp;L by Period'!AI$1</f>
        <v>32</v>
      </c>
      <c r="B33" s="33">
        <v>47058</v>
      </c>
      <c r="C33" s="7">
        <f>'P&amp;L by Period'!AI$4</f>
        <v>838.50567574130423</v>
      </c>
      <c r="D33" s="7">
        <f>Workings!AN$128</f>
        <v>838.50567574130434</v>
      </c>
      <c r="E33" s="22">
        <f>'P&amp;L by Period'!AI$33</f>
        <v>1817299.4880646942</v>
      </c>
    </row>
    <row r="34" spans="1:5" x14ac:dyDescent="0.3">
      <c r="A34">
        <f>+'P&amp;L by Period'!AJ$1</f>
        <v>33</v>
      </c>
      <c r="B34" s="33">
        <v>47088</v>
      </c>
      <c r="C34" s="7">
        <f>'P&amp;L by Period'!AJ$4</f>
        <v>874.14216696030962</v>
      </c>
      <c r="D34" s="7">
        <f>Workings!AO$128</f>
        <v>874.14216696030951</v>
      </c>
      <c r="E34" s="22">
        <f>'P&amp;L by Period'!AJ$33</f>
        <v>2017315.4827000473</v>
      </c>
    </row>
    <row r="35" spans="1:5" x14ac:dyDescent="0.3">
      <c r="A35">
        <f>+'P&amp;L by Period'!AK$1</f>
        <v>34</v>
      </c>
      <c r="B35" s="33">
        <v>47119</v>
      </c>
      <c r="C35" s="7">
        <f>'P&amp;L by Period'!AK$4</f>
        <v>911.31820905612278</v>
      </c>
      <c r="D35" s="7">
        <f>Workings!AP$128</f>
        <v>911.31820905612267</v>
      </c>
      <c r="E35" s="22">
        <f>'P&amp;L by Period'!AK$33</f>
        <v>2216274.8596457825</v>
      </c>
    </row>
    <row r="36" spans="1:5" x14ac:dyDescent="0.3">
      <c r="A36">
        <f>+'P&amp;L by Period'!AL$1</f>
        <v>35</v>
      </c>
      <c r="B36" s="33">
        <v>47150</v>
      </c>
      <c r="C36" s="7">
        <f>'P&amp;L by Period'!AL$4</f>
        <v>950.06692044100794</v>
      </c>
      <c r="D36" s="7">
        <f>Workings!AQ$128</f>
        <v>950.06692044100794</v>
      </c>
      <c r="E36" s="22">
        <f>'P&amp;L by Period'!AL$33</f>
        <v>2432253.1496832604</v>
      </c>
    </row>
    <row r="37" spans="1:5" x14ac:dyDescent="0.3">
      <c r="A37">
        <f>+'P&amp;L by Period'!AM$1</f>
        <v>36</v>
      </c>
      <c r="B37" s="33">
        <v>47178</v>
      </c>
      <c r="C37" s="7">
        <f>'P&amp;L by Period'!AM$4</f>
        <v>990.45540518475082</v>
      </c>
      <c r="D37" s="7">
        <f>Workings!AR$128</f>
        <v>990.45540518475082</v>
      </c>
      <c r="E37" s="22">
        <f>'P&amp;L by Period'!AM$33</f>
        <v>2657680.0224943338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N282"/>
  <sheetViews>
    <sheetView workbookViewId="0">
      <pane xSplit="3" ySplit="1" topLeftCell="AC2" activePane="bottomRight" state="frozen"/>
      <selection pane="topRight" activeCell="D1" sqref="D1"/>
      <selection pane="bottomLeft" activeCell="A2" sqref="A2"/>
      <selection pane="bottomRight" activeCell="D2" sqref="D2:AM2"/>
    </sheetView>
  </sheetViews>
  <sheetFormatPr defaultRowHeight="14.4" x14ac:dyDescent="0.3"/>
  <cols>
    <col min="1" max="1" width="51.6640625" customWidth="1"/>
    <col min="2" max="2" width="12.109375" bestFit="1" customWidth="1"/>
    <col min="3" max="3" width="3" customWidth="1"/>
    <col min="4" max="39" width="11.109375" customWidth="1"/>
  </cols>
  <sheetData>
    <row r="1" spans="1:40" x14ac:dyDescent="0.3">
      <c r="D1" s="46">
        <f>+Workings!I1</f>
        <v>1</v>
      </c>
      <c r="E1" s="46">
        <f>+Workings!J1</f>
        <v>2</v>
      </c>
      <c r="F1" s="46">
        <f>+Workings!K1</f>
        <v>3</v>
      </c>
      <c r="G1" s="46">
        <f>+Workings!L1</f>
        <v>4</v>
      </c>
      <c r="H1" s="46">
        <f>+Workings!M1</f>
        <v>5</v>
      </c>
      <c r="I1" s="46">
        <f>+Workings!N1</f>
        <v>6</v>
      </c>
      <c r="J1" s="46">
        <f>+Workings!O1</f>
        <v>7</v>
      </c>
      <c r="K1" s="46">
        <f>+Workings!P1</f>
        <v>8</v>
      </c>
      <c r="L1" s="46">
        <f>+Workings!Q1</f>
        <v>9</v>
      </c>
      <c r="M1" s="46">
        <f>+Workings!R1</f>
        <v>10</v>
      </c>
      <c r="N1" s="46">
        <f>+Workings!S1</f>
        <v>11</v>
      </c>
      <c r="O1" s="46">
        <f>+Workings!T1</f>
        <v>12</v>
      </c>
      <c r="P1" s="46">
        <f>+Workings!U1</f>
        <v>13</v>
      </c>
      <c r="Q1" s="46">
        <f>+Workings!V1</f>
        <v>14</v>
      </c>
      <c r="R1" s="46">
        <f>+Workings!W1</f>
        <v>15</v>
      </c>
      <c r="S1" s="46">
        <f>+Workings!X1</f>
        <v>16</v>
      </c>
      <c r="T1" s="46">
        <f>+Workings!Y1</f>
        <v>17</v>
      </c>
      <c r="U1" s="46">
        <f>+Workings!Z1</f>
        <v>18</v>
      </c>
      <c r="V1" s="46">
        <f>+Workings!AA1</f>
        <v>19</v>
      </c>
      <c r="W1" s="46">
        <f>+Workings!AB1</f>
        <v>20</v>
      </c>
      <c r="X1" s="46">
        <f>+Workings!AC1</f>
        <v>21</v>
      </c>
      <c r="Y1" s="46">
        <f>+Workings!AD1</f>
        <v>22</v>
      </c>
      <c r="Z1" s="46">
        <f>+Workings!AE1</f>
        <v>23</v>
      </c>
      <c r="AA1" s="46">
        <f>+Workings!AF1</f>
        <v>24</v>
      </c>
      <c r="AB1" s="46">
        <f>+Workings!AG1</f>
        <v>25</v>
      </c>
      <c r="AC1" s="46">
        <f>+Workings!AH1</f>
        <v>26</v>
      </c>
      <c r="AD1" s="46">
        <f>+Workings!AI1</f>
        <v>27</v>
      </c>
      <c r="AE1" s="46">
        <f>+Workings!AJ1</f>
        <v>28</v>
      </c>
      <c r="AF1" s="46">
        <f>+Workings!AK1</f>
        <v>29</v>
      </c>
      <c r="AG1" s="46">
        <f>+Workings!AL1</f>
        <v>30</v>
      </c>
      <c r="AH1" s="46">
        <f>+Workings!AM1</f>
        <v>31</v>
      </c>
      <c r="AI1" s="46">
        <f>+Workings!AN1</f>
        <v>32</v>
      </c>
      <c r="AJ1" s="46">
        <f>+Workings!AO1</f>
        <v>33</v>
      </c>
      <c r="AK1" s="46">
        <f>+Workings!AP1</f>
        <v>34</v>
      </c>
      <c r="AL1" s="46">
        <f>+Workings!AQ1</f>
        <v>35</v>
      </c>
      <c r="AM1" s="46">
        <f>+Workings!AR1</f>
        <v>36</v>
      </c>
    </row>
    <row r="2" spans="1:40" s="21" customFormat="1" ht="15.9" customHeight="1" x14ac:dyDescent="0.3">
      <c r="B2" s="21" t="s">
        <v>44</v>
      </c>
      <c r="D2" s="23">
        <v>46113</v>
      </c>
      <c r="E2" s="23">
        <v>46143</v>
      </c>
      <c r="F2" s="23">
        <v>46174</v>
      </c>
      <c r="G2" s="23">
        <v>46204</v>
      </c>
      <c r="H2" s="23">
        <v>46235</v>
      </c>
      <c r="I2" s="23">
        <v>46266</v>
      </c>
      <c r="J2" s="23">
        <v>46296</v>
      </c>
      <c r="K2" s="23">
        <v>46327</v>
      </c>
      <c r="L2" s="23">
        <v>46357</v>
      </c>
      <c r="M2" s="23">
        <v>46388</v>
      </c>
      <c r="N2" s="23">
        <v>46419</v>
      </c>
      <c r="O2" s="23">
        <v>46447</v>
      </c>
      <c r="P2" s="23">
        <v>46478</v>
      </c>
      <c r="Q2" s="23">
        <v>46508</v>
      </c>
      <c r="R2" s="23">
        <v>46539</v>
      </c>
      <c r="S2" s="23">
        <v>46569</v>
      </c>
      <c r="T2" s="23">
        <v>46600</v>
      </c>
      <c r="U2" s="23">
        <v>46631</v>
      </c>
      <c r="V2" s="23">
        <v>46661</v>
      </c>
      <c r="W2" s="23">
        <v>46692</v>
      </c>
      <c r="X2" s="23">
        <v>46722</v>
      </c>
      <c r="Y2" s="23">
        <v>46753</v>
      </c>
      <c r="Z2" s="23">
        <v>46784</v>
      </c>
      <c r="AA2" s="23">
        <v>46813</v>
      </c>
      <c r="AB2" s="23">
        <v>46844</v>
      </c>
      <c r="AC2" s="23">
        <v>46874</v>
      </c>
      <c r="AD2" s="23">
        <v>46905</v>
      </c>
      <c r="AE2" s="23">
        <v>46935</v>
      </c>
      <c r="AF2" s="23">
        <v>46966</v>
      </c>
      <c r="AG2" s="23">
        <v>46997</v>
      </c>
      <c r="AH2" s="23">
        <v>47027</v>
      </c>
      <c r="AI2" s="23">
        <v>47058</v>
      </c>
      <c r="AJ2" s="23">
        <v>47088</v>
      </c>
      <c r="AK2" s="23">
        <v>47119</v>
      </c>
      <c r="AL2" s="23">
        <v>47150</v>
      </c>
      <c r="AM2" s="23">
        <v>47178</v>
      </c>
      <c r="AN2" s="23"/>
    </row>
    <row r="3" spans="1:40" x14ac:dyDescent="0.3">
      <c r="A3" s="2" t="s">
        <v>6</v>
      </c>
    </row>
    <row r="4" spans="1:40" x14ac:dyDescent="0.3">
      <c r="A4" s="1" t="s">
        <v>66</v>
      </c>
      <c r="B4" s="24">
        <f>SUM(D4:AM4)</f>
        <v>13728.791041884771</v>
      </c>
      <c r="C4" s="24"/>
      <c r="D4" s="7">
        <f>+Workings!I28</f>
        <v>0</v>
      </c>
      <c r="E4" s="7">
        <f>+Workings!J28</f>
        <v>0</v>
      </c>
      <c r="F4" s="7">
        <f>+Workings!K28</f>
        <v>0</v>
      </c>
      <c r="G4" s="7">
        <f>+Workings!L28</f>
        <v>0</v>
      </c>
      <c r="H4" s="7">
        <f>+Workings!M28</f>
        <v>0</v>
      </c>
      <c r="I4" s="7">
        <f>+Workings!N28</f>
        <v>0</v>
      </c>
      <c r="J4" s="7">
        <f>+Workings!O28</f>
        <v>0</v>
      </c>
      <c r="K4" s="7">
        <f>+Workings!P28</f>
        <v>0</v>
      </c>
      <c r="L4" s="7">
        <f>+Workings!Q28</f>
        <v>0</v>
      </c>
      <c r="M4" s="7">
        <f>+Workings!R28</f>
        <v>0</v>
      </c>
      <c r="N4" s="7">
        <f>+Workings!S28</f>
        <v>0</v>
      </c>
      <c r="O4" s="7">
        <f>+Workings!T28</f>
        <v>0</v>
      </c>
      <c r="P4" s="7">
        <f>+Workings!U28</f>
        <v>0</v>
      </c>
      <c r="Q4" s="7">
        <f>+Workings!V28</f>
        <v>0</v>
      </c>
      <c r="R4" s="7">
        <f>+Workings!W28</f>
        <v>0</v>
      </c>
      <c r="S4" s="7">
        <f>+Workings!X28</f>
        <v>200</v>
      </c>
      <c r="T4" s="7">
        <f>+Workings!Y28</f>
        <v>350</v>
      </c>
      <c r="U4" s="7">
        <f>+Workings!Z28</f>
        <v>450</v>
      </c>
      <c r="V4" s="7">
        <f>+Workings!AA28</f>
        <v>469.125</v>
      </c>
      <c r="W4" s="7">
        <f>+Workings!AB28</f>
        <v>489.06281250000001</v>
      </c>
      <c r="X4" s="7">
        <f>+Workings!AC28</f>
        <v>509.84798203125001</v>
      </c>
      <c r="Y4" s="7">
        <f>+Workings!AD28</f>
        <v>541.51652126757813</v>
      </c>
      <c r="Z4" s="7">
        <f>+Workings!AE28</f>
        <v>571.60597342145024</v>
      </c>
      <c r="AA4" s="7">
        <f>+Workings!AF28</f>
        <v>600.15547729186187</v>
      </c>
      <c r="AB4" s="7">
        <f>+Workings!AG28</f>
        <v>625.66208507676595</v>
      </c>
      <c r="AC4" s="7">
        <f>+Workings!AH28</f>
        <v>652.25272369252843</v>
      </c>
      <c r="AD4" s="7">
        <f>+Workings!AI28</f>
        <v>679.97346444946095</v>
      </c>
      <c r="AE4" s="7">
        <f>+Workings!AJ28</f>
        <v>709.37233668856311</v>
      </c>
      <c r="AF4" s="7">
        <f>+Workings!AK28</f>
        <v>739.874410997827</v>
      </c>
      <c r="AG4" s="7">
        <f>+Workings!AL28</f>
        <v>771.53188596523455</v>
      </c>
      <c r="AH4" s="7">
        <f>+Workings!AM28</f>
        <v>804.32199111875696</v>
      </c>
      <c r="AI4" s="7">
        <f>+Workings!AN28</f>
        <v>838.50567574130423</v>
      </c>
      <c r="AJ4" s="7">
        <f>+Workings!AO28</f>
        <v>874.14216696030962</v>
      </c>
      <c r="AK4" s="7">
        <f>+Workings!AP28</f>
        <v>911.31820905612278</v>
      </c>
      <c r="AL4" s="7">
        <f>+Workings!AQ28</f>
        <v>950.06692044100794</v>
      </c>
      <c r="AM4" s="7">
        <f>+Workings!AR28</f>
        <v>990.45540518475082</v>
      </c>
    </row>
    <row r="5" spans="1:40" x14ac:dyDescent="0.3">
      <c r="A5" s="1" t="s">
        <v>6</v>
      </c>
      <c r="B5" s="24">
        <f>SUM(D5:AM5)</f>
        <v>37733107.994079381</v>
      </c>
      <c r="C5" s="24"/>
      <c r="D5" s="7">
        <f>+Workings!I38</f>
        <v>0</v>
      </c>
      <c r="E5" s="7">
        <f>+Workings!J38</f>
        <v>0</v>
      </c>
      <c r="F5" s="7">
        <f>+Workings!K38</f>
        <v>0</v>
      </c>
      <c r="G5" s="7">
        <f>+Workings!L38</f>
        <v>0</v>
      </c>
      <c r="H5" s="7">
        <f>+Workings!M38</f>
        <v>0</v>
      </c>
      <c r="I5" s="7">
        <f>+Workings!N38</f>
        <v>0</v>
      </c>
      <c r="J5" s="7">
        <f>+Workings!O38</f>
        <v>0</v>
      </c>
      <c r="K5" s="7">
        <f>+Workings!P38</f>
        <v>0</v>
      </c>
      <c r="L5" s="7">
        <f>+Workings!Q38</f>
        <v>0</v>
      </c>
      <c r="M5" s="7">
        <f>+Workings!R38</f>
        <v>0</v>
      </c>
      <c r="N5" s="7">
        <f>+Workings!S38</f>
        <v>0</v>
      </c>
      <c r="O5" s="7">
        <f>+Workings!T38</f>
        <v>0</v>
      </c>
      <c r="P5" s="7">
        <f>+Workings!U38</f>
        <v>0</v>
      </c>
      <c r="Q5" s="7">
        <f>+Workings!V38</f>
        <v>0</v>
      </c>
      <c r="R5" s="7">
        <f>+Workings!W38</f>
        <v>0</v>
      </c>
      <c r="S5" s="7">
        <f>+Workings!X38</f>
        <v>60000</v>
      </c>
      <c r="T5" s="7">
        <f>+Workings!Y38</f>
        <v>165000</v>
      </c>
      <c r="U5" s="7">
        <f>+Workings!Z38</f>
        <v>300000</v>
      </c>
      <c r="V5" s="7">
        <f>+Workings!AA38</f>
        <v>440737.5</v>
      </c>
      <c r="W5" s="7">
        <f>+Workings!AB38</f>
        <v>587456.34375</v>
      </c>
      <c r="X5" s="7">
        <f>+Workings!AC38</f>
        <v>740410.73835937504</v>
      </c>
      <c r="Y5" s="7">
        <f>+Workings!AD38</f>
        <v>937199.02807298186</v>
      </c>
      <c r="Z5" s="7">
        <f>+Workings!AE38</f>
        <v>1128430.8200994169</v>
      </c>
      <c r="AA5" s="7">
        <f>+Workings!AF38</f>
        <v>1315144.1299536421</v>
      </c>
      <c r="AB5" s="7">
        <f>+Workings!AG38</f>
        <v>1492625.880476672</v>
      </c>
      <c r="AC5" s="7">
        <f>+Workings!AH38</f>
        <v>1677650.6053969306</v>
      </c>
      <c r="AD5" s="7">
        <f>+Workings!AI38</f>
        <v>1870538.8811263002</v>
      </c>
      <c r="AE5" s="7">
        <f>+Workings!AJ38</f>
        <v>2073491.5752408346</v>
      </c>
      <c r="AF5" s="7">
        <f>+Workings!AK38</f>
        <v>2284373.7588552362</v>
      </c>
      <c r="AG5" s="7">
        <f>+Workings!AL38</f>
        <v>2503586.1436065841</v>
      </c>
      <c r="AH5" s="7">
        <f>+Workings!AM38</f>
        <v>2731256.7109598638</v>
      </c>
      <c r="AI5" s="7">
        <f>+Workings!AN38</f>
        <v>2968603.2774256575</v>
      </c>
      <c r="AJ5" s="7">
        <f>+Workings!AO38</f>
        <v>3216037.0729662478</v>
      </c>
      <c r="AK5" s="7">
        <f>+Workings!AP38</f>
        <v>3474080.1381506464</v>
      </c>
      <c r="AL5" s="7">
        <f>+Workings!AQ38</f>
        <v>3743055.233605382</v>
      </c>
      <c r="AM5" s="7">
        <f>+Workings!AR38</f>
        <v>4023430.1560336114</v>
      </c>
    </row>
    <row r="6" spans="1:40" x14ac:dyDescent="0.3">
      <c r="A6" s="1" t="s">
        <v>68</v>
      </c>
      <c r="B6" s="24">
        <f>SUM(D6:AM6)</f>
        <v>10983032.833507819</v>
      </c>
      <c r="C6" s="24"/>
      <c r="D6" s="7">
        <f>+Workings!I121</f>
        <v>0</v>
      </c>
      <c r="E6" s="7">
        <f>+Workings!J121</f>
        <v>0</v>
      </c>
      <c r="F6" s="7">
        <f>+Workings!K121</f>
        <v>0</v>
      </c>
      <c r="G6" s="7">
        <f>+Workings!L121</f>
        <v>0</v>
      </c>
      <c r="H6" s="7">
        <f>+Workings!M121</f>
        <v>0</v>
      </c>
      <c r="I6" s="7">
        <f>+Workings!N121</f>
        <v>0</v>
      </c>
      <c r="J6" s="7">
        <f>+Workings!O121</f>
        <v>0</v>
      </c>
      <c r="K6" s="7">
        <f>+Workings!P121</f>
        <v>0</v>
      </c>
      <c r="L6" s="7">
        <f>+Workings!Q121</f>
        <v>0</v>
      </c>
      <c r="M6" s="7">
        <f>+Workings!R121</f>
        <v>0</v>
      </c>
      <c r="N6" s="7">
        <f>+Workings!S121</f>
        <v>0</v>
      </c>
      <c r="O6" s="7">
        <f>+Workings!T121</f>
        <v>0</v>
      </c>
      <c r="P6" s="7">
        <f>+Workings!U121</f>
        <v>0</v>
      </c>
      <c r="Q6" s="7">
        <f>+Workings!V121</f>
        <v>0</v>
      </c>
      <c r="R6" s="7">
        <f>+Workings!W121</f>
        <v>0</v>
      </c>
      <c r="S6" s="7">
        <f>+Workings!X121</f>
        <v>160000</v>
      </c>
      <c r="T6" s="7">
        <f>+Workings!Y121</f>
        <v>280000</v>
      </c>
      <c r="U6" s="7">
        <f>+Workings!Z121</f>
        <v>360000</v>
      </c>
      <c r="V6" s="7">
        <f>+Workings!AA121</f>
        <v>375300</v>
      </c>
      <c r="W6" s="7">
        <f>+Workings!AB121</f>
        <v>391250.25</v>
      </c>
      <c r="X6" s="7">
        <f>+Workings!AC121</f>
        <v>407878.385625</v>
      </c>
      <c r="Y6" s="7">
        <f>+Workings!AD121</f>
        <v>433213.21701406251</v>
      </c>
      <c r="Z6" s="7">
        <f>+Workings!AE121</f>
        <v>457284.7787371602</v>
      </c>
      <c r="AA6" s="7">
        <f>+Workings!AF121</f>
        <v>480124.38183348952</v>
      </c>
      <c r="AB6" s="7">
        <f>+Workings!AG121</f>
        <v>500529.66806141275</v>
      </c>
      <c r="AC6" s="7">
        <f>+Workings!AH121</f>
        <v>521802.17895402276</v>
      </c>
      <c r="AD6" s="7">
        <f>+Workings!AI121</f>
        <v>543978.7715595687</v>
      </c>
      <c r="AE6" s="7">
        <f>+Workings!AJ121</f>
        <v>567497.86935085047</v>
      </c>
      <c r="AF6" s="7">
        <f>+Workings!AK121</f>
        <v>591899.52879826166</v>
      </c>
      <c r="AG6" s="7">
        <f>+Workings!AL121</f>
        <v>617225.50877218763</v>
      </c>
      <c r="AH6" s="7">
        <f>+Workings!AM121</f>
        <v>643457.5928950056</v>
      </c>
      <c r="AI6" s="7">
        <f>+Workings!AN121</f>
        <v>670804.54059304344</v>
      </c>
      <c r="AJ6" s="7">
        <f>+Workings!AO121</f>
        <v>699313.73356824764</v>
      </c>
      <c r="AK6" s="7">
        <f>+Workings!AP121</f>
        <v>729054.56724489818</v>
      </c>
      <c r="AL6" s="7">
        <f>+Workings!AQ121</f>
        <v>760053.53635280638</v>
      </c>
      <c r="AM6" s="7">
        <f>+Workings!AR121</f>
        <v>792364.32414780068</v>
      </c>
    </row>
    <row r="7" spans="1:40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40" s="2" customFormat="1" x14ac:dyDescent="0.3">
      <c r="A8" s="18" t="s">
        <v>87</v>
      </c>
      <c r="B8" s="30">
        <f>SUM(D8:AM8)</f>
        <v>26750075.160571564</v>
      </c>
      <c r="C8" s="30"/>
      <c r="D8" s="27">
        <f>+D5-D6</f>
        <v>0</v>
      </c>
      <c r="E8" s="27">
        <f t="shared" ref="E8:AM8" si="0">+E5-E6</f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27">
        <f t="shared" si="0"/>
        <v>0</v>
      </c>
      <c r="M8" s="27">
        <f t="shared" si="0"/>
        <v>0</v>
      </c>
      <c r="N8" s="27">
        <f t="shared" si="0"/>
        <v>0</v>
      </c>
      <c r="O8" s="27">
        <f t="shared" si="0"/>
        <v>0</v>
      </c>
      <c r="P8" s="27">
        <f t="shared" si="0"/>
        <v>0</v>
      </c>
      <c r="Q8" s="27">
        <f t="shared" si="0"/>
        <v>0</v>
      </c>
      <c r="R8" s="27">
        <f t="shared" si="0"/>
        <v>0</v>
      </c>
      <c r="S8" s="27">
        <f t="shared" si="0"/>
        <v>-100000</v>
      </c>
      <c r="T8" s="27">
        <f t="shared" si="0"/>
        <v>-115000</v>
      </c>
      <c r="U8" s="27">
        <f t="shared" si="0"/>
        <v>-60000</v>
      </c>
      <c r="V8" s="27">
        <f t="shared" si="0"/>
        <v>65437.5</v>
      </c>
      <c r="W8" s="27">
        <f t="shared" si="0"/>
        <v>196206.09375</v>
      </c>
      <c r="X8" s="27">
        <f t="shared" si="0"/>
        <v>332532.35273437505</v>
      </c>
      <c r="Y8" s="27">
        <f t="shared" si="0"/>
        <v>503985.81105891935</v>
      </c>
      <c r="Z8" s="27">
        <f t="shared" si="0"/>
        <v>671146.04136225674</v>
      </c>
      <c r="AA8" s="27">
        <f t="shared" si="0"/>
        <v>835019.74812015262</v>
      </c>
      <c r="AB8" s="27">
        <f t="shared" si="0"/>
        <v>992096.21241525922</v>
      </c>
      <c r="AC8" s="27">
        <f t="shared" si="0"/>
        <v>1155848.4264429079</v>
      </c>
      <c r="AD8" s="27">
        <f t="shared" si="0"/>
        <v>1326560.1095667314</v>
      </c>
      <c r="AE8" s="27">
        <f t="shared" si="0"/>
        <v>1505993.705889984</v>
      </c>
      <c r="AF8" s="27">
        <f t="shared" si="0"/>
        <v>1692474.2300569746</v>
      </c>
      <c r="AG8" s="27">
        <f t="shared" si="0"/>
        <v>1886360.6348343964</v>
      </c>
      <c r="AH8" s="27">
        <f t="shared" si="0"/>
        <v>2087799.1180648583</v>
      </c>
      <c r="AI8" s="27">
        <f t="shared" si="0"/>
        <v>2297798.7368326141</v>
      </c>
      <c r="AJ8" s="27">
        <f t="shared" si="0"/>
        <v>2516723.3393980004</v>
      </c>
      <c r="AK8" s="27">
        <f t="shared" si="0"/>
        <v>2745025.5709057483</v>
      </c>
      <c r="AL8" s="27">
        <f t="shared" si="0"/>
        <v>2983001.6972525758</v>
      </c>
      <c r="AM8" s="27">
        <f t="shared" si="0"/>
        <v>3231065.8318858109</v>
      </c>
    </row>
    <row r="9" spans="1:40" x14ac:dyDescent="0.3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40" x14ac:dyDescent="0.3">
      <c r="A10" s="2" t="s">
        <v>65</v>
      </c>
    </row>
    <row r="11" spans="1:40" x14ac:dyDescent="0.3">
      <c r="A11" s="1" t="s">
        <v>65</v>
      </c>
      <c r="B11" s="24">
        <f t="shared" ref="B11:B12" si="1">SUM(D11:AM11)</f>
        <v>61779.559688481473</v>
      </c>
      <c r="C11" s="24"/>
      <c r="D11" s="7">
        <f>+Workings!I42</f>
        <v>0</v>
      </c>
      <c r="E11" s="7">
        <f>+Workings!J42</f>
        <v>0</v>
      </c>
      <c r="F11" s="7">
        <f>+Workings!K42</f>
        <v>0</v>
      </c>
      <c r="G11" s="7">
        <f>+Workings!L42</f>
        <v>0</v>
      </c>
      <c r="H11" s="7">
        <f>+Workings!M42</f>
        <v>0</v>
      </c>
      <c r="I11" s="7">
        <f>+Workings!N42</f>
        <v>0</v>
      </c>
      <c r="J11" s="7">
        <f>+Workings!O42</f>
        <v>0</v>
      </c>
      <c r="K11" s="7">
        <f>+Workings!P42</f>
        <v>0</v>
      </c>
      <c r="L11" s="7">
        <f>+Workings!Q42</f>
        <v>0</v>
      </c>
      <c r="M11" s="7">
        <f>+Workings!R42</f>
        <v>0</v>
      </c>
      <c r="N11" s="7">
        <f>+Workings!S42</f>
        <v>0</v>
      </c>
      <c r="O11" s="7">
        <f>+Workings!T42</f>
        <v>0</v>
      </c>
      <c r="P11" s="7">
        <f>+Workings!U42</f>
        <v>0</v>
      </c>
      <c r="Q11" s="7">
        <f>+Workings!V42</f>
        <v>0</v>
      </c>
      <c r="R11" s="7">
        <f>+Workings!W42</f>
        <v>0</v>
      </c>
      <c r="S11" s="7">
        <f>+Workings!X42</f>
        <v>900.00000000000011</v>
      </c>
      <c r="T11" s="7">
        <f>+Workings!Y42</f>
        <v>1575</v>
      </c>
      <c r="U11" s="7">
        <f>+Workings!Z42</f>
        <v>2025</v>
      </c>
      <c r="V11" s="7">
        <f>+Workings!AA42</f>
        <v>2111.0625</v>
      </c>
      <c r="W11" s="7">
        <f>+Workings!AB42</f>
        <v>2200.7826562499999</v>
      </c>
      <c r="X11" s="7">
        <f>+Workings!AC42</f>
        <v>2294.3159191406253</v>
      </c>
      <c r="Y11" s="7">
        <f>+Workings!AD42</f>
        <v>2436.8243457041017</v>
      </c>
      <c r="Z11" s="7">
        <f>+Workings!AE42</f>
        <v>2572.2268803965262</v>
      </c>
      <c r="AA11" s="7">
        <f>+Workings!AF42</f>
        <v>2700.6996478133783</v>
      </c>
      <c r="AB11" s="7">
        <f>+Workings!AG42</f>
        <v>2815.4793828454467</v>
      </c>
      <c r="AC11" s="7">
        <f>+Workings!AH42</f>
        <v>2935.1372566163777</v>
      </c>
      <c r="AD11" s="7">
        <f>+Workings!AI42</f>
        <v>3059.8805900225743</v>
      </c>
      <c r="AE11" s="7">
        <f>+Workings!AJ42</f>
        <v>3192.1755150985337</v>
      </c>
      <c r="AF11" s="7">
        <f>+Workings!AK42</f>
        <v>3329.4348494902215</v>
      </c>
      <c r="AG11" s="7">
        <f>+Workings!AL42</f>
        <v>3471.8934868435554</v>
      </c>
      <c r="AH11" s="7">
        <f>+Workings!AM42</f>
        <v>3619.4489600344059</v>
      </c>
      <c r="AI11" s="7">
        <f>+Workings!AN42</f>
        <v>3773.2755408358689</v>
      </c>
      <c r="AJ11" s="7">
        <f>+Workings!AO42</f>
        <v>3933.6397513213929</v>
      </c>
      <c r="AK11" s="7">
        <f>+Workings!AP42</f>
        <v>4100.9319407525527</v>
      </c>
      <c r="AL11" s="7">
        <f>+Workings!AQ42</f>
        <v>4275.3011419845352</v>
      </c>
      <c r="AM11" s="7">
        <f>+Workings!AR42</f>
        <v>4457.0493233313791</v>
      </c>
    </row>
    <row r="12" spans="1:40" x14ac:dyDescent="0.3">
      <c r="A12" s="1" t="s">
        <v>89</v>
      </c>
      <c r="B12" s="24">
        <f t="shared" si="1"/>
        <v>3397220.9668581262</v>
      </c>
      <c r="C12" s="24"/>
      <c r="D12" s="7">
        <f>SUM(Workings!I43:I46)</f>
        <v>0</v>
      </c>
      <c r="E12" s="7">
        <f>SUM(Workings!J43:J46)</f>
        <v>0</v>
      </c>
      <c r="F12" s="7">
        <f>SUM(Workings!K43:K46)</f>
        <v>0</v>
      </c>
      <c r="G12" s="7">
        <f>SUM(Workings!L43:L46)</f>
        <v>0</v>
      </c>
      <c r="H12" s="7">
        <f>SUM(Workings!M43:M46)</f>
        <v>0</v>
      </c>
      <c r="I12" s="7">
        <f>SUM(Workings!N43:N46)</f>
        <v>0</v>
      </c>
      <c r="J12" s="7">
        <f>SUM(Workings!O43:O46)</f>
        <v>0</v>
      </c>
      <c r="K12" s="7">
        <f>SUM(Workings!P43:P46)</f>
        <v>0</v>
      </c>
      <c r="L12" s="7">
        <f>SUM(Workings!Q43:Q46)</f>
        <v>0</v>
      </c>
      <c r="M12" s="7">
        <f>SUM(Workings!R43:R46)</f>
        <v>0</v>
      </c>
      <c r="N12" s="7">
        <f>SUM(Workings!S43:S46)</f>
        <v>0</v>
      </c>
      <c r="O12" s="7">
        <f>SUM(Workings!T43:T46)</f>
        <v>0</v>
      </c>
      <c r="P12" s="7">
        <f>SUM(Workings!U43:U46)</f>
        <v>0</v>
      </c>
      <c r="Q12" s="7">
        <f>SUM(Workings!V43:V46)</f>
        <v>0</v>
      </c>
      <c r="R12" s="7">
        <f>SUM(Workings!W43:W46)</f>
        <v>0</v>
      </c>
      <c r="S12" s="7">
        <f>SUM(Workings!X43:X46)</f>
        <v>6000</v>
      </c>
      <c r="T12" s="7">
        <f>SUM(Workings!Y43:Y46)</f>
        <v>16500</v>
      </c>
      <c r="U12" s="7">
        <f>SUM(Workings!Z43:Z46)</f>
        <v>30000</v>
      </c>
      <c r="V12" s="7">
        <f>SUM(Workings!AA43:AA46)</f>
        <v>44073.75</v>
      </c>
      <c r="W12" s="7">
        <f>SUM(Workings!AB43:AB46)</f>
        <v>58745.634375000001</v>
      </c>
      <c r="X12" s="7">
        <f>SUM(Workings!AC43:AC46)</f>
        <v>74041.07383593751</v>
      </c>
      <c r="Y12" s="7">
        <f>SUM(Workings!AD43:AD46)</f>
        <v>93719.902807298189</v>
      </c>
      <c r="Z12" s="7">
        <f>SUM(Workings!AE43:AE46)</f>
        <v>112843.0820099417</v>
      </c>
      <c r="AA12" s="7">
        <f>SUM(Workings!AF43:AF46)</f>
        <v>131514.41299536423</v>
      </c>
      <c r="AB12" s="7">
        <f>SUM(Workings!AG43:AG46)</f>
        <v>149262.5880476672</v>
      </c>
      <c r="AC12" s="7">
        <f>SUM(Workings!AH43:AH46)</f>
        <v>167765.06053969305</v>
      </c>
      <c r="AD12" s="7">
        <f>SUM(Workings!AI43:AI46)</f>
        <v>187053.88811263005</v>
      </c>
      <c r="AE12" s="7">
        <f>SUM(Workings!AJ43:AJ46)</f>
        <v>203149.15752408348</v>
      </c>
      <c r="AF12" s="7">
        <f>SUM(Workings!AK43:AK46)</f>
        <v>216887.37588552365</v>
      </c>
      <c r="AG12" s="7">
        <f>SUM(Workings!AL43:AL46)</f>
        <v>229358.61436065839</v>
      </c>
      <c r="AH12" s="7">
        <f>SUM(Workings!AM43:AM46)</f>
        <v>242274.04609598638</v>
      </c>
      <c r="AI12" s="7">
        <f>SUM(Workings!AN43:AN46)</f>
        <v>255738.38368006574</v>
      </c>
      <c r="AJ12" s="7">
        <f>SUM(Workings!AO43:AO46)</f>
        <v>269774.95561146858</v>
      </c>
      <c r="AK12" s="7">
        <f>SUM(Workings!AP43:AP46)</f>
        <v>286027.41518328921</v>
      </c>
      <c r="AL12" s="7">
        <f>SUM(Workings!AQ43:AQ46)</f>
        <v>302706.19928691239</v>
      </c>
      <c r="AM12" s="7">
        <f>SUM(Workings!AR43:AR46)</f>
        <v>319785.42650660611</v>
      </c>
    </row>
    <row r="13" spans="1:40" x14ac:dyDescent="0.3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x14ac:dyDescent="0.3">
      <c r="A14" s="2" t="s">
        <v>88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x14ac:dyDescent="0.3">
      <c r="A15" s="1" t="str">
        <f>+Parameters!A34</f>
        <v>Device Placement</v>
      </c>
      <c r="B15" s="24">
        <f>SUM(D15:AM15)</f>
        <v>998309.4006161734</v>
      </c>
      <c r="C15" s="24"/>
      <c r="D15" s="7">
        <f>+Workings!I16</f>
        <v>0</v>
      </c>
      <c r="E15" s="7">
        <f>+Workings!J16</f>
        <v>0</v>
      </c>
      <c r="F15" s="7">
        <f>+Workings!K16</f>
        <v>0</v>
      </c>
      <c r="G15" s="7">
        <f>+Workings!L16</f>
        <v>0</v>
      </c>
      <c r="H15" s="7">
        <f>+Workings!M16</f>
        <v>0</v>
      </c>
      <c r="I15" s="7">
        <f>+Workings!N16</f>
        <v>0</v>
      </c>
      <c r="J15" s="7">
        <f>+Workings!O16</f>
        <v>0</v>
      </c>
      <c r="K15" s="7">
        <f>+Workings!P16</f>
        <v>0</v>
      </c>
      <c r="L15" s="7">
        <f>+Workings!Q16</f>
        <v>0</v>
      </c>
      <c r="M15" s="7">
        <f>+Workings!R16</f>
        <v>0</v>
      </c>
      <c r="N15" s="7">
        <f>+Workings!S16</f>
        <v>0</v>
      </c>
      <c r="O15" s="7">
        <f>+Workings!T16</f>
        <v>0</v>
      </c>
      <c r="P15" s="7">
        <f>+Workings!U16</f>
        <v>0</v>
      </c>
      <c r="Q15" s="7">
        <f>+Workings!V16</f>
        <v>0</v>
      </c>
      <c r="R15" s="7">
        <f>+Workings!W16</f>
        <v>0</v>
      </c>
      <c r="S15" s="7">
        <f>+Workings!X16</f>
        <v>15000</v>
      </c>
      <c r="T15" s="7">
        <f>+Workings!Y16</f>
        <v>26250</v>
      </c>
      <c r="U15" s="7">
        <f>+Workings!Z16</f>
        <v>33750</v>
      </c>
      <c r="V15" s="7">
        <f>+Workings!AA16</f>
        <v>35184.375</v>
      </c>
      <c r="W15" s="7">
        <f>+Workings!AB16</f>
        <v>36679.7109375</v>
      </c>
      <c r="X15" s="7">
        <f>+Workings!AC16</f>
        <v>38238.598652343753</v>
      </c>
      <c r="Y15" s="7">
        <f>+Workings!AD16</f>
        <v>39863.739095068362</v>
      </c>
      <c r="Z15" s="7">
        <f>+Workings!AE16</f>
        <v>41557.948006608771</v>
      </c>
      <c r="AA15" s="7">
        <f>+Workings!AF16</f>
        <v>43324.160796889642</v>
      </c>
      <c r="AB15" s="7">
        <f>+Workings!AG16</f>
        <v>45165.437630757449</v>
      </c>
      <c r="AC15" s="7">
        <f>+Workings!AH16</f>
        <v>47084.96873006464</v>
      </c>
      <c r="AD15" s="7">
        <f>+Workings!AI16</f>
        <v>49086.079901092387</v>
      </c>
      <c r="AE15" s="7">
        <f>+Workings!AJ16</f>
        <v>51172.238296888812</v>
      </c>
      <c r="AF15" s="7">
        <f>+Workings!AK16</f>
        <v>53347.058424506584</v>
      </c>
      <c r="AG15" s="7">
        <f>+Workings!AL16</f>
        <v>55614.308407548109</v>
      </c>
      <c r="AH15" s="7">
        <f>+Workings!AM16</f>
        <v>57977.916514868906</v>
      </c>
      <c r="AI15" s="7">
        <f>+Workings!AN16</f>
        <v>60441.977966750834</v>
      </c>
      <c r="AJ15" s="7">
        <f>+Workings!AO16</f>
        <v>63010.762030337748</v>
      </c>
      <c r="AK15" s="7">
        <f>+Workings!AP16</f>
        <v>65688.719416627093</v>
      </c>
      <c r="AL15" s="7">
        <f>+Workings!AQ16</f>
        <v>68480.489991833747</v>
      </c>
      <c r="AM15" s="7">
        <f>+Workings!AR16</f>
        <v>71390.910816486678</v>
      </c>
    </row>
    <row r="16" spans="1:40" x14ac:dyDescent="0.3">
      <c r="A16" s="1" t="str">
        <f>+Parameters!A35</f>
        <v>General Marketing</v>
      </c>
      <c r="B16" s="24">
        <f>SUM(D16:AM16)</f>
        <v>491972.63977575902</v>
      </c>
      <c r="C16" s="24"/>
      <c r="D16" s="7">
        <f>SUM(Workings!I17:I19)</f>
        <v>0</v>
      </c>
      <c r="E16" s="7">
        <f>SUM(Workings!J17:J19)</f>
        <v>0</v>
      </c>
      <c r="F16" s="7">
        <f>SUM(Workings!K17:K19)</f>
        <v>0</v>
      </c>
      <c r="G16" s="7">
        <f>SUM(Workings!L17:L19)</f>
        <v>0</v>
      </c>
      <c r="H16" s="7">
        <f>SUM(Workings!M17:M19)</f>
        <v>0</v>
      </c>
      <c r="I16" s="7">
        <f>SUM(Workings!N17:N19)</f>
        <v>0</v>
      </c>
      <c r="J16" s="7">
        <f>SUM(Workings!O17:O19)</f>
        <v>0</v>
      </c>
      <c r="K16" s="7">
        <f>SUM(Workings!P17:P19)</f>
        <v>0</v>
      </c>
      <c r="L16" s="7">
        <f>SUM(Workings!Q17:Q19)</f>
        <v>0</v>
      </c>
      <c r="M16" s="7">
        <f>SUM(Workings!R17:R19)</f>
        <v>0</v>
      </c>
      <c r="N16" s="7">
        <f>SUM(Workings!S17:S19)</f>
        <v>0</v>
      </c>
      <c r="O16" s="7">
        <f>SUM(Workings!T17:T19)</f>
        <v>0</v>
      </c>
      <c r="P16" s="7">
        <f>SUM(Workings!U17:U19)</f>
        <v>0</v>
      </c>
      <c r="Q16" s="7">
        <f>SUM(Workings!V17:V19)</f>
        <v>0</v>
      </c>
      <c r="R16" s="7">
        <f>SUM(Workings!W17:W19)</f>
        <v>0</v>
      </c>
      <c r="S16" s="7">
        <f>SUM(Workings!X17:X19)</f>
        <v>0</v>
      </c>
      <c r="T16" s="7">
        <f>SUM(Workings!Y17:Y19)</f>
        <v>0</v>
      </c>
      <c r="U16" s="7">
        <f>SUM(Workings!Z17:Z19)</f>
        <v>20000</v>
      </c>
      <c r="V16" s="7">
        <f>SUM(Workings!AA17:AA19)</f>
        <v>20000</v>
      </c>
      <c r="W16" s="7">
        <f>SUM(Workings!AB17:AB19)</f>
        <v>20000</v>
      </c>
      <c r="X16" s="7">
        <f>SUM(Workings!AC17:AC19)</f>
        <v>20000</v>
      </c>
      <c r="Y16" s="7">
        <f>SUM(Workings!AD17:AD19)</f>
        <v>20000</v>
      </c>
      <c r="Z16" s="7">
        <f>SUM(Workings!AE17:AE19)</f>
        <v>20000</v>
      </c>
      <c r="AA16" s="7">
        <f>SUM(Workings!AF17:AF19)</f>
        <v>21000</v>
      </c>
      <c r="AB16" s="7">
        <f>SUM(Workings!AG17:AG19)</f>
        <v>22050</v>
      </c>
      <c r="AC16" s="7">
        <f>SUM(Workings!AH17:AH19)</f>
        <v>23152.5</v>
      </c>
      <c r="AD16" s="7">
        <f>SUM(Workings!AI17:AI19)</f>
        <v>24310.125</v>
      </c>
      <c r="AE16" s="7">
        <f>SUM(Workings!AJ17:AJ19)</f>
        <v>25525.631250000002</v>
      </c>
      <c r="AF16" s="7">
        <f>SUM(Workings!AK17:AK19)</f>
        <v>26801.912812500002</v>
      </c>
      <c r="AG16" s="7">
        <f>SUM(Workings!AL17:AL19)</f>
        <v>28142.008453125003</v>
      </c>
      <c r="AH16" s="7">
        <f>SUM(Workings!AM17:AM19)</f>
        <v>29549.108875781254</v>
      </c>
      <c r="AI16" s="7">
        <f>SUM(Workings!AN17:AN19)</f>
        <v>31026.56431957032</v>
      </c>
      <c r="AJ16" s="7">
        <f>SUM(Workings!AO17:AO19)</f>
        <v>32577.892535548835</v>
      </c>
      <c r="AK16" s="7">
        <f>SUM(Workings!AP17:AP19)</f>
        <v>34206.787162326276</v>
      </c>
      <c r="AL16" s="7">
        <f>SUM(Workings!AQ17:AQ19)</f>
        <v>35917.126520442594</v>
      </c>
      <c r="AM16" s="7">
        <f>SUM(Workings!AR17:AR19)</f>
        <v>37712.982846464729</v>
      </c>
    </row>
    <row r="17" spans="1:39" x14ac:dyDescent="0.3">
      <c r="A17" s="1" t="str">
        <f>+Parameters!A38</f>
        <v>Video production</v>
      </c>
      <c r="B17" s="24">
        <f>SUM(D17:AM17)</f>
        <v>250000</v>
      </c>
      <c r="C17" s="24"/>
      <c r="D17" s="7">
        <f>+Workings!I124</f>
        <v>0</v>
      </c>
      <c r="E17" s="7">
        <f>+Workings!J124</f>
        <v>0</v>
      </c>
      <c r="F17" s="7">
        <f>+Workings!K124</f>
        <v>0</v>
      </c>
      <c r="G17" s="7">
        <f>+Workings!L124</f>
        <v>0</v>
      </c>
      <c r="H17" s="7">
        <f>+Workings!M124</f>
        <v>0</v>
      </c>
      <c r="I17" s="7">
        <f>+Workings!N124</f>
        <v>0</v>
      </c>
      <c r="J17" s="7">
        <f>+Workings!O124</f>
        <v>0</v>
      </c>
      <c r="K17" s="7">
        <f>+Workings!P124</f>
        <v>0</v>
      </c>
      <c r="L17" s="7">
        <f>+Workings!Q124</f>
        <v>0</v>
      </c>
      <c r="M17" s="7">
        <f>+Workings!R124</f>
        <v>0</v>
      </c>
      <c r="N17" s="7">
        <f>+Workings!S124</f>
        <v>0</v>
      </c>
      <c r="O17" s="7">
        <f>+Workings!T124</f>
        <v>10000</v>
      </c>
      <c r="P17" s="7">
        <f>+Workings!U124</f>
        <v>10000</v>
      </c>
      <c r="Q17" s="7">
        <f>+Workings!V124</f>
        <v>10000</v>
      </c>
      <c r="R17" s="7">
        <f>+Workings!W124</f>
        <v>10000</v>
      </c>
      <c r="S17" s="7">
        <f>+Workings!X124</f>
        <v>10000</v>
      </c>
      <c r="T17" s="7">
        <f>+Workings!Y124</f>
        <v>10000</v>
      </c>
      <c r="U17" s="7">
        <f>+Workings!Z124</f>
        <v>10000</v>
      </c>
      <c r="V17" s="7">
        <f>+Workings!AA124</f>
        <v>10000</v>
      </c>
      <c r="W17" s="7">
        <f>+Workings!AB124</f>
        <v>10000</v>
      </c>
      <c r="X17" s="7">
        <f>+Workings!AC124</f>
        <v>10000</v>
      </c>
      <c r="Y17" s="7">
        <f>+Workings!AD124</f>
        <v>10000</v>
      </c>
      <c r="Z17" s="7">
        <f>+Workings!AE124</f>
        <v>10000</v>
      </c>
      <c r="AA17" s="7">
        <f>+Workings!AF124</f>
        <v>10000</v>
      </c>
      <c r="AB17" s="7">
        <f>+Workings!AG124</f>
        <v>10000</v>
      </c>
      <c r="AC17" s="7">
        <f>+Workings!AH124</f>
        <v>10000</v>
      </c>
      <c r="AD17" s="7">
        <f>+Workings!AI124</f>
        <v>10000</v>
      </c>
      <c r="AE17" s="7">
        <f>+Workings!AJ124</f>
        <v>10000</v>
      </c>
      <c r="AF17" s="7">
        <f>+Workings!AK124</f>
        <v>10000</v>
      </c>
      <c r="AG17" s="7">
        <f>+Workings!AL124</f>
        <v>10000</v>
      </c>
      <c r="AH17" s="7">
        <f>+Workings!AM124</f>
        <v>10000</v>
      </c>
      <c r="AI17" s="7">
        <f>+Workings!AN124</f>
        <v>10000</v>
      </c>
      <c r="AJ17" s="7">
        <f>+Workings!AO124</f>
        <v>10000</v>
      </c>
      <c r="AK17" s="7">
        <f>+Workings!AP124</f>
        <v>10000</v>
      </c>
      <c r="AL17" s="7">
        <f>+Workings!AQ124</f>
        <v>10000</v>
      </c>
      <c r="AM17" s="7">
        <f>+Workings!AR124</f>
        <v>10000</v>
      </c>
    </row>
    <row r="18" spans="1:39" x14ac:dyDescent="0.3">
      <c r="A18" s="1" t="str">
        <f>+Parameters!A40</f>
        <v>Website Development</v>
      </c>
      <c r="B18" s="24">
        <f>SUM(D18:AM18)</f>
        <v>107000</v>
      </c>
      <c r="C18" s="24"/>
      <c r="D18" s="7">
        <f>SUM(Workings!I70:I71)</f>
        <v>0</v>
      </c>
      <c r="E18" s="7">
        <f>SUM(Workings!J70:J71)</f>
        <v>0</v>
      </c>
      <c r="F18" s="7">
        <f>SUM(Workings!K70:K71)</f>
        <v>0</v>
      </c>
      <c r="G18" s="7">
        <f>SUM(Workings!L70:L71)</f>
        <v>0</v>
      </c>
      <c r="H18" s="7">
        <f>SUM(Workings!M70:M71)</f>
        <v>6666.666666666667</v>
      </c>
      <c r="I18" s="7">
        <f>SUM(Workings!N70:N71)</f>
        <v>6666.666666666667</v>
      </c>
      <c r="J18" s="7">
        <f>SUM(Workings!O70:O71)</f>
        <v>6666.666666666667</v>
      </c>
      <c r="K18" s="7">
        <f>SUM(Workings!P70:P71)</f>
        <v>3000</v>
      </c>
      <c r="L18" s="7">
        <f>SUM(Workings!Q70:Q71)</f>
        <v>3000</v>
      </c>
      <c r="M18" s="7">
        <f>SUM(Workings!R70:R71)</f>
        <v>3000</v>
      </c>
      <c r="N18" s="7">
        <f>SUM(Workings!S70:S71)</f>
        <v>3000</v>
      </c>
      <c r="O18" s="7">
        <f>SUM(Workings!T70:T71)</f>
        <v>3000</v>
      </c>
      <c r="P18" s="7">
        <f>SUM(Workings!U70:U71)</f>
        <v>3000</v>
      </c>
      <c r="Q18" s="7">
        <f>SUM(Workings!V70:V71)</f>
        <v>3000</v>
      </c>
      <c r="R18" s="7">
        <f>SUM(Workings!W70:W71)</f>
        <v>3000</v>
      </c>
      <c r="S18" s="7">
        <f>SUM(Workings!X70:X71)</f>
        <v>3000</v>
      </c>
      <c r="T18" s="7">
        <f>SUM(Workings!Y70:Y71)</f>
        <v>3000</v>
      </c>
      <c r="U18" s="7">
        <f>SUM(Workings!Z70:Z71)</f>
        <v>3000</v>
      </c>
      <c r="V18" s="7">
        <f>SUM(Workings!AA70:AA71)</f>
        <v>3000</v>
      </c>
      <c r="W18" s="7">
        <f>SUM(Workings!AB70:AB71)</f>
        <v>3000</v>
      </c>
      <c r="X18" s="7">
        <f>SUM(Workings!AC70:AC71)</f>
        <v>3000</v>
      </c>
      <c r="Y18" s="7">
        <f>SUM(Workings!AD70:AD71)</f>
        <v>3000</v>
      </c>
      <c r="Z18" s="7">
        <f>SUM(Workings!AE70:AE71)</f>
        <v>3000</v>
      </c>
      <c r="AA18" s="7">
        <f>SUM(Workings!AF70:AF71)</f>
        <v>3000</v>
      </c>
      <c r="AB18" s="7">
        <f>SUM(Workings!AG70:AG71)</f>
        <v>3000</v>
      </c>
      <c r="AC18" s="7">
        <f>SUM(Workings!AH70:AH71)</f>
        <v>3000</v>
      </c>
      <c r="AD18" s="7">
        <f>SUM(Workings!AI70:AI71)</f>
        <v>3000</v>
      </c>
      <c r="AE18" s="7">
        <f>SUM(Workings!AJ70:AJ71)</f>
        <v>3000</v>
      </c>
      <c r="AF18" s="7">
        <f>SUM(Workings!AK70:AK71)</f>
        <v>3000</v>
      </c>
      <c r="AG18" s="7">
        <f>SUM(Workings!AL70:AL71)</f>
        <v>3000</v>
      </c>
      <c r="AH18" s="7">
        <f>SUM(Workings!AM70:AM71)</f>
        <v>3000</v>
      </c>
      <c r="AI18" s="7">
        <f>SUM(Workings!AN70:AN71)</f>
        <v>3000</v>
      </c>
      <c r="AJ18" s="7">
        <f>SUM(Workings!AO70:AO71)</f>
        <v>3000</v>
      </c>
      <c r="AK18" s="7">
        <f>SUM(Workings!AP70:AP71)</f>
        <v>3000</v>
      </c>
      <c r="AL18" s="7">
        <f>SUM(Workings!AQ70:AQ71)</f>
        <v>3000</v>
      </c>
      <c r="AM18" s="7">
        <f>SUM(Workings!AR70:AR71)</f>
        <v>3000</v>
      </c>
    </row>
    <row r="19" spans="1:39" x14ac:dyDescent="0.3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x14ac:dyDescent="0.3">
      <c r="A20" s="2" t="s">
        <v>90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x14ac:dyDescent="0.3">
      <c r="A21" t="s">
        <v>91</v>
      </c>
      <c r="B21" s="24">
        <f>SUM(D21:AM21)</f>
        <v>982500</v>
      </c>
      <c r="C21" s="24"/>
      <c r="D21" s="7">
        <f>SUM(Workings!I50:I55)</f>
        <v>13750</v>
      </c>
      <c r="E21" s="7">
        <f>SUM(Workings!J50:J55)</f>
        <v>13750</v>
      </c>
      <c r="F21" s="7">
        <f>SUM(Workings!K50:K55)</f>
        <v>13750</v>
      </c>
      <c r="G21" s="7">
        <f>SUM(Workings!L50:L55)</f>
        <v>13750</v>
      </c>
      <c r="H21" s="7">
        <f>SUM(Workings!M50:M55)</f>
        <v>13750</v>
      </c>
      <c r="I21" s="7">
        <f>SUM(Workings!N50:N55)</f>
        <v>13750</v>
      </c>
      <c r="J21" s="7">
        <f>SUM(Workings!O50:O55)</f>
        <v>30000</v>
      </c>
      <c r="K21" s="7">
        <f>SUM(Workings!P50:P55)</f>
        <v>30000</v>
      </c>
      <c r="L21" s="7">
        <f>SUM(Workings!Q50:Q55)</f>
        <v>30000</v>
      </c>
      <c r="M21" s="7">
        <f>SUM(Workings!R50:R55)</f>
        <v>30000</v>
      </c>
      <c r="N21" s="7">
        <f>SUM(Workings!S50:S55)</f>
        <v>30000</v>
      </c>
      <c r="O21" s="7">
        <f>SUM(Workings!T50:T55)</f>
        <v>30000</v>
      </c>
      <c r="P21" s="7">
        <f>SUM(Workings!U50:U55)</f>
        <v>30000</v>
      </c>
      <c r="Q21" s="7">
        <f>SUM(Workings!V50:V55)</f>
        <v>30000</v>
      </c>
      <c r="R21" s="7">
        <f>SUM(Workings!W50:W55)</f>
        <v>30000</v>
      </c>
      <c r="S21" s="7">
        <f>SUM(Workings!X50:X55)</f>
        <v>30000</v>
      </c>
      <c r="T21" s="7">
        <f>SUM(Workings!Y50:Y55)</f>
        <v>30000</v>
      </c>
      <c r="U21" s="7">
        <f>SUM(Workings!Z50:Z55)</f>
        <v>30000</v>
      </c>
      <c r="V21" s="7">
        <f>SUM(Workings!AA50:AA55)</f>
        <v>30000</v>
      </c>
      <c r="W21" s="7">
        <f>SUM(Workings!AB50:AB55)</f>
        <v>30000</v>
      </c>
      <c r="X21" s="7">
        <f>SUM(Workings!AC50:AC55)</f>
        <v>30000</v>
      </c>
      <c r="Y21" s="7">
        <f>SUM(Workings!AD50:AD55)</f>
        <v>30000</v>
      </c>
      <c r="Z21" s="7">
        <f>SUM(Workings!AE50:AE55)</f>
        <v>30000</v>
      </c>
      <c r="AA21" s="7">
        <f>SUM(Workings!AF50:AF55)</f>
        <v>30000</v>
      </c>
      <c r="AB21" s="7">
        <f>SUM(Workings!AG50:AG55)</f>
        <v>30000</v>
      </c>
      <c r="AC21" s="7">
        <f>SUM(Workings!AH50:AH55)</f>
        <v>30000</v>
      </c>
      <c r="AD21" s="7">
        <f>SUM(Workings!AI50:AI55)</f>
        <v>30000</v>
      </c>
      <c r="AE21" s="7">
        <f>SUM(Workings!AJ50:AJ55)</f>
        <v>30000</v>
      </c>
      <c r="AF21" s="7">
        <f>SUM(Workings!AK50:AK55)</f>
        <v>30000</v>
      </c>
      <c r="AG21" s="7">
        <f>SUM(Workings!AL50:AL55)</f>
        <v>30000</v>
      </c>
      <c r="AH21" s="7">
        <f>SUM(Workings!AM50:AM55)</f>
        <v>30000</v>
      </c>
      <c r="AI21" s="7">
        <f>SUM(Workings!AN50:AN55)</f>
        <v>30000</v>
      </c>
      <c r="AJ21" s="7">
        <f>SUM(Workings!AO50:AO55)</f>
        <v>30000</v>
      </c>
      <c r="AK21" s="7">
        <f>SUM(Workings!AP50:AP55)</f>
        <v>30000</v>
      </c>
      <c r="AL21" s="7">
        <f>SUM(Workings!AQ50:AQ55)</f>
        <v>30000</v>
      </c>
      <c r="AM21" s="7">
        <f>SUM(Workings!AR50:AR55)</f>
        <v>30000</v>
      </c>
    </row>
    <row r="22" spans="1:39" x14ac:dyDescent="0.3">
      <c r="A22" t="s">
        <v>92</v>
      </c>
      <c r="B22" s="24">
        <f>SUM(D22:AM22)</f>
        <v>464000</v>
      </c>
      <c r="C22" s="24"/>
      <c r="D22" s="7">
        <f>SUM(Workings!I57:I67)</f>
        <v>0</v>
      </c>
      <c r="E22" s="7">
        <f>SUM(Workings!J57:J67)</f>
        <v>0</v>
      </c>
      <c r="F22" s="7">
        <f>SUM(Workings!K57:K67)</f>
        <v>0</v>
      </c>
      <c r="G22" s="7">
        <f>SUM(Workings!L57:L67)</f>
        <v>0</v>
      </c>
      <c r="H22" s="7">
        <f>SUM(Workings!M57:M67)</f>
        <v>0</v>
      </c>
      <c r="I22" s="7">
        <f>SUM(Workings!N57:N67)</f>
        <v>0</v>
      </c>
      <c r="J22" s="7">
        <f>SUM(Workings!O57:O67)</f>
        <v>0</v>
      </c>
      <c r="K22" s="7">
        <f>SUM(Workings!P57:P67)</f>
        <v>0</v>
      </c>
      <c r="L22" s="7">
        <f>SUM(Workings!Q57:Q67)</f>
        <v>0</v>
      </c>
      <c r="M22" s="7">
        <f>SUM(Workings!R57:R67)</f>
        <v>0</v>
      </c>
      <c r="N22" s="7">
        <f>SUM(Workings!S57:S67)</f>
        <v>0</v>
      </c>
      <c r="O22" s="7">
        <f>SUM(Workings!T57:T67)</f>
        <v>4000</v>
      </c>
      <c r="P22" s="7">
        <f>SUM(Workings!U57:U67)</f>
        <v>4000</v>
      </c>
      <c r="Q22" s="7">
        <f>SUM(Workings!V57:V67)</f>
        <v>4000</v>
      </c>
      <c r="R22" s="7">
        <f>SUM(Workings!W57:W67)</f>
        <v>4000</v>
      </c>
      <c r="S22" s="7">
        <f>SUM(Workings!X57:X67)</f>
        <v>4000</v>
      </c>
      <c r="T22" s="7">
        <f>SUM(Workings!Y57:Y67)</f>
        <v>4000</v>
      </c>
      <c r="U22" s="7">
        <f>SUM(Workings!Z57:Z67)</f>
        <v>8000</v>
      </c>
      <c r="V22" s="7">
        <f>SUM(Workings!AA57:AA67)</f>
        <v>8000</v>
      </c>
      <c r="W22" s="7">
        <f>SUM(Workings!AB57:AB67)</f>
        <v>8000</v>
      </c>
      <c r="X22" s="7">
        <f>SUM(Workings!AC57:AC67)</f>
        <v>8000</v>
      </c>
      <c r="Y22" s="7">
        <f>SUM(Workings!AD57:AD67)</f>
        <v>16000</v>
      </c>
      <c r="Z22" s="7">
        <f>SUM(Workings!AE57:AE67)</f>
        <v>16000</v>
      </c>
      <c r="AA22" s="7">
        <f>SUM(Workings!AF57:AF67)</f>
        <v>16000</v>
      </c>
      <c r="AB22" s="7">
        <f>SUM(Workings!AG57:AG67)</f>
        <v>16000</v>
      </c>
      <c r="AC22" s="7">
        <f>SUM(Workings!AH57:AH67)</f>
        <v>24000</v>
      </c>
      <c r="AD22" s="7">
        <f>SUM(Workings!AI57:AI67)</f>
        <v>24000</v>
      </c>
      <c r="AE22" s="7">
        <f>SUM(Workings!AJ57:AJ67)</f>
        <v>24000</v>
      </c>
      <c r="AF22" s="7">
        <f>SUM(Workings!AK57:AK67)</f>
        <v>24000</v>
      </c>
      <c r="AG22" s="7">
        <f>SUM(Workings!AL57:AL67)</f>
        <v>32000</v>
      </c>
      <c r="AH22" s="7">
        <f>SUM(Workings!AM57:AM67)</f>
        <v>32000</v>
      </c>
      <c r="AI22" s="7">
        <f>SUM(Workings!AN57:AN67)</f>
        <v>32000</v>
      </c>
      <c r="AJ22" s="7">
        <f>SUM(Workings!AO57:AO67)</f>
        <v>32000</v>
      </c>
      <c r="AK22" s="7">
        <f>SUM(Workings!AP57:AP67)</f>
        <v>40000</v>
      </c>
      <c r="AL22" s="7">
        <f>SUM(Workings!AQ57:AQ67)</f>
        <v>40000</v>
      </c>
      <c r="AM22" s="7">
        <f>SUM(Workings!AR57:AR67)</f>
        <v>40000</v>
      </c>
    </row>
    <row r="23" spans="1:39" x14ac:dyDescent="0.3">
      <c r="A23" t="s">
        <v>9</v>
      </c>
      <c r="B23" s="24">
        <f>SUM(D23:AM23)</f>
        <v>540000</v>
      </c>
      <c r="C23" s="7"/>
      <c r="D23" s="7">
        <f>Workings!I56</f>
        <v>0</v>
      </c>
      <c r="E23" s="7">
        <f>Workings!J56</f>
        <v>0</v>
      </c>
      <c r="F23" s="7">
        <f>Workings!K56</f>
        <v>0</v>
      </c>
      <c r="G23" s="7">
        <f>Workings!L56</f>
        <v>0</v>
      </c>
      <c r="H23" s="7">
        <f>Workings!M56</f>
        <v>0</v>
      </c>
      <c r="I23" s="7">
        <f>Workings!N56</f>
        <v>0</v>
      </c>
      <c r="J23" s="7">
        <f>Workings!O56</f>
        <v>0</v>
      </c>
      <c r="K23" s="7">
        <f>Workings!P56</f>
        <v>0</v>
      </c>
      <c r="L23" s="7">
        <f>Workings!Q56</f>
        <v>0</v>
      </c>
      <c r="M23" s="7">
        <f>Workings!R56</f>
        <v>20000</v>
      </c>
      <c r="N23" s="7">
        <f>Workings!S56</f>
        <v>20000</v>
      </c>
      <c r="O23" s="7">
        <f>Workings!T56</f>
        <v>20000</v>
      </c>
      <c r="P23" s="7">
        <f>Workings!U56</f>
        <v>20000</v>
      </c>
      <c r="Q23" s="7">
        <f>Workings!V56</f>
        <v>20000</v>
      </c>
      <c r="R23" s="7">
        <f>Workings!W56</f>
        <v>20000</v>
      </c>
      <c r="S23" s="7">
        <f>Workings!X56</f>
        <v>20000</v>
      </c>
      <c r="T23" s="7">
        <f>Workings!Y56</f>
        <v>20000</v>
      </c>
      <c r="U23" s="7">
        <f>Workings!Z56</f>
        <v>20000</v>
      </c>
      <c r="V23" s="7">
        <f>Workings!AA56</f>
        <v>20000</v>
      </c>
      <c r="W23" s="7">
        <f>Workings!AB56</f>
        <v>20000</v>
      </c>
      <c r="X23" s="7">
        <f>Workings!AC56</f>
        <v>20000</v>
      </c>
      <c r="Y23" s="7">
        <f>Workings!AD56</f>
        <v>20000</v>
      </c>
      <c r="Z23" s="7">
        <f>Workings!AE56</f>
        <v>20000</v>
      </c>
      <c r="AA23" s="7">
        <f>Workings!AF56</f>
        <v>20000</v>
      </c>
      <c r="AB23" s="7">
        <f>Workings!AG56</f>
        <v>20000</v>
      </c>
      <c r="AC23" s="7">
        <f>Workings!AH56</f>
        <v>20000</v>
      </c>
      <c r="AD23" s="7">
        <f>Workings!AI56</f>
        <v>20000</v>
      </c>
      <c r="AE23" s="7">
        <f>Workings!AJ56</f>
        <v>20000</v>
      </c>
      <c r="AF23" s="7">
        <f>Workings!AK56</f>
        <v>20000</v>
      </c>
      <c r="AG23" s="7">
        <f>Workings!AL56</f>
        <v>20000</v>
      </c>
      <c r="AH23" s="7">
        <f>Workings!AM56</f>
        <v>20000</v>
      </c>
      <c r="AI23" s="7">
        <f>Workings!AN56</f>
        <v>20000</v>
      </c>
      <c r="AJ23" s="7">
        <f>Workings!AO56</f>
        <v>20000</v>
      </c>
      <c r="AK23" s="7">
        <f>Workings!AP56</f>
        <v>20000</v>
      </c>
      <c r="AL23" s="7">
        <f>Workings!AQ56</f>
        <v>20000</v>
      </c>
      <c r="AM23" s="7">
        <f>Workings!AR56</f>
        <v>20000</v>
      </c>
    </row>
    <row r="24" spans="1:39" x14ac:dyDescent="0.3">
      <c r="A24" t="s">
        <v>74</v>
      </c>
      <c r="B24" s="24">
        <f>SUM(D24:AM24)</f>
        <v>232070.27354183735</v>
      </c>
      <c r="C24" s="7"/>
      <c r="D24" s="7">
        <f>SUM(Workings!I74:I75)</f>
        <v>0</v>
      </c>
      <c r="E24" s="7">
        <f>SUM(Workings!J74:J75)</f>
        <v>0</v>
      </c>
      <c r="F24" s="7">
        <f>SUM(Workings!K74:K75)</f>
        <v>0</v>
      </c>
      <c r="G24" s="7">
        <f>SUM(Workings!L74:L75)</f>
        <v>0</v>
      </c>
      <c r="H24" s="7">
        <f>SUM(Workings!M74:M75)</f>
        <v>0</v>
      </c>
      <c r="I24" s="7">
        <f>SUM(Workings!N74:N75)</f>
        <v>0</v>
      </c>
      <c r="J24" s="7">
        <f>SUM(Workings!O74:O75)</f>
        <v>0</v>
      </c>
      <c r="K24" s="7">
        <f>SUM(Workings!P74:P75)</f>
        <v>0</v>
      </c>
      <c r="L24" s="7">
        <f>SUM(Workings!Q74:Q75)</f>
        <v>0</v>
      </c>
      <c r="M24" s="7">
        <f>SUM(Workings!R74:R75)</f>
        <v>0</v>
      </c>
      <c r="N24" s="7">
        <f>SUM(Workings!S74:S75)</f>
        <v>0</v>
      </c>
      <c r="O24" s="7">
        <f>SUM(Workings!T74:T75)</f>
        <v>0</v>
      </c>
      <c r="P24" s="7">
        <f>SUM(Workings!U74:U75)</f>
        <v>0</v>
      </c>
      <c r="Q24" s="7">
        <f>SUM(Workings!V74:V75)</f>
        <v>0</v>
      </c>
      <c r="R24" s="7">
        <f>SUM(Workings!W74:W75)</f>
        <v>0</v>
      </c>
      <c r="S24" s="7">
        <f>SUM(Workings!X74:X75)</f>
        <v>3600</v>
      </c>
      <c r="T24" s="7">
        <f>SUM(Workings!Y74:Y75)</f>
        <v>6300</v>
      </c>
      <c r="U24" s="7">
        <f>SUM(Workings!Z74:Z75)</f>
        <v>8100</v>
      </c>
      <c r="V24" s="7">
        <f>SUM(Workings!AA74:AA75)</f>
        <v>8444.25</v>
      </c>
      <c r="W24" s="7">
        <f>SUM(Workings!AB74:AB75)</f>
        <v>8803.1306249999998</v>
      </c>
      <c r="X24" s="7">
        <f>SUM(Workings!AC74:AC75)</f>
        <v>9177.2636765625011</v>
      </c>
      <c r="Y24" s="7">
        <f>SUM(Workings!AD74:AD75)</f>
        <v>9387.2973828164068</v>
      </c>
      <c r="Z24" s="7">
        <f>SUM(Workings!AE74:AE75)</f>
        <v>9658.9075215861048</v>
      </c>
      <c r="AA24" s="7">
        <f>SUM(Workings!AF74:AF75)</f>
        <v>9992.7985912535132</v>
      </c>
      <c r="AB24" s="7">
        <f>SUM(Workings!AG74:AG75)</f>
        <v>10417.492531381788</v>
      </c>
      <c r="AC24" s="7">
        <f>SUM(Workings!AH74:AH75)</f>
        <v>10860.235963965513</v>
      </c>
      <c r="AD24" s="7">
        <f>SUM(Workings!AI74:AI75)</f>
        <v>11321.795992434048</v>
      </c>
      <c r="AE24" s="7">
        <f>SUM(Workings!AJ74:AJ75)</f>
        <v>11793.972322112493</v>
      </c>
      <c r="AF24" s="7">
        <f>SUM(Workings!AK74:AK75)</f>
        <v>12288.848645802273</v>
      </c>
      <c r="AG24" s="7">
        <f>SUM(Workings!AL74:AL75)</f>
        <v>12807.294088248871</v>
      </c>
      <c r="AH24" s="7">
        <f>SUM(Workings!AM74:AM75)</f>
        <v>13351.604086999449</v>
      </c>
      <c r="AI24" s="7">
        <f>SUM(Workings!AN74:AN75)</f>
        <v>13919.047260696922</v>
      </c>
      <c r="AJ24" s="7">
        <f>SUM(Workings!AO74:AO75)</f>
        <v>14510.606769276543</v>
      </c>
      <c r="AK24" s="7">
        <f>SUM(Workings!AP74:AP75)</f>
        <v>15126.857556970794</v>
      </c>
      <c r="AL24" s="7">
        <f>SUM(Workings!AQ74:AQ75)</f>
        <v>15769.430628142054</v>
      </c>
      <c r="AM24" s="7">
        <f>SUM(Workings!AR74:AR75)</f>
        <v>16439.439898588091</v>
      </c>
    </row>
    <row r="25" spans="1:39" x14ac:dyDescent="0.3">
      <c r="A25" t="str">
        <f>Parameters!A63</f>
        <v>General Administration Expenses</v>
      </c>
      <c r="B25" s="24">
        <f>SUM(D25:AM25)</f>
        <v>550200</v>
      </c>
      <c r="C25" s="7"/>
      <c r="D25" s="7">
        <f>SUM(Workings!I77:I78)</f>
        <v>0</v>
      </c>
      <c r="E25" s="7">
        <f>SUM(Workings!J77:J78)</f>
        <v>0</v>
      </c>
      <c r="F25" s="7">
        <f>SUM(Workings!K77:K78)</f>
        <v>0</v>
      </c>
      <c r="G25" s="7">
        <f>SUM(Workings!L77:L78)</f>
        <v>0</v>
      </c>
      <c r="H25" s="7">
        <f>SUM(Workings!M77:M78)</f>
        <v>0</v>
      </c>
      <c r="I25" s="7">
        <f>SUM(Workings!N77:N78)</f>
        <v>0</v>
      </c>
      <c r="J25" s="7">
        <f>SUM(Workings!O77:O78)</f>
        <v>0</v>
      </c>
      <c r="K25" s="7">
        <f>SUM(Workings!P77:P78)</f>
        <v>0</v>
      </c>
      <c r="L25" s="7">
        <f>SUM(Workings!Q77:Q78)</f>
        <v>0</v>
      </c>
      <c r="M25" s="7">
        <f>SUM(Workings!R77:R78)</f>
        <v>20000</v>
      </c>
      <c r="N25" s="7">
        <f>SUM(Workings!S77:S78)</f>
        <v>20000</v>
      </c>
      <c r="O25" s="7">
        <f>SUM(Workings!T77:T78)</f>
        <v>20000</v>
      </c>
      <c r="P25" s="7">
        <f>SUM(Workings!U77:U78)</f>
        <v>20000</v>
      </c>
      <c r="Q25" s="7">
        <f>SUM(Workings!V77:V78)</f>
        <v>20000</v>
      </c>
      <c r="R25" s="7">
        <f>SUM(Workings!W77:W78)</f>
        <v>20000</v>
      </c>
      <c r="S25" s="7">
        <f>SUM(Workings!X77:X78)</f>
        <v>20000</v>
      </c>
      <c r="T25" s="7">
        <f>SUM(Workings!Y77:Y78)</f>
        <v>20000</v>
      </c>
      <c r="U25" s="7">
        <f>SUM(Workings!Z77:Z78)</f>
        <v>20000</v>
      </c>
      <c r="V25" s="7">
        <f>SUM(Workings!AA77:AA78)</f>
        <v>20000</v>
      </c>
      <c r="W25" s="7">
        <f>SUM(Workings!AB77:AB78)</f>
        <v>20600</v>
      </c>
      <c r="X25" s="7">
        <f>SUM(Workings!AC77:AC78)</f>
        <v>20600</v>
      </c>
      <c r="Y25" s="7">
        <f>SUM(Workings!AD77:AD78)</f>
        <v>20600</v>
      </c>
      <c r="Z25" s="7">
        <f>SUM(Workings!AE77:AE78)</f>
        <v>20600</v>
      </c>
      <c r="AA25" s="7">
        <f>SUM(Workings!AF77:AF78)</f>
        <v>20600</v>
      </c>
      <c r="AB25" s="7">
        <f>SUM(Workings!AG77:AG78)</f>
        <v>20600</v>
      </c>
      <c r="AC25" s="7">
        <f>SUM(Workings!AH77:AH78)</f>
        <v>20600</v>
      </c>
      <c r="AD25" s="7">
        <f>SUM(Workings!AI77:AI78)</f>
        <v>20600</v>
      </c>
      <c r="AE25" s="7">
        <f>SUM(Workings!AJ77:AJ78)</f>
        <v>20600</v>
      </c>
      <c r="AF25" s="7">
        <f>SUM(Workings!AK77:AK78)</f>
        <v>20600</v>
      </c>
      <c r="AG25" s="7">
        <f>SUM(Workings!AL77:AL78)</f>
        <v>20600</v>
      </c>
      <c r="AH25" s="7">
        <f>SUM(Workings!AM77:AM78)</f>
        <v>20600</v>
      </c>
      <c r="AI25" s="7">
        <f>SUM(Workings!AN77:AN78)</f>
        <v>20600</v>
      </c>
      <c r="AJ25" s="7">
        <f>SUM(Workings!AO77:AO78)</f>
        <v>20600</v>
      </c>
      <c r="AK25" s="7">
        <f>SUM(Workings!AP77:AP78)</f>
        <v>20600</v>
      </c>
      <c r="AL25" s="7">
        <f>SUM(Workings!AQ77:AQ78)</f>
        <v>20600</v>
      </c>
      <c r="AM25" s="7">
        <f>SUM(Workings!AR77:AR78)</f>
        <v>20600</v>
      </c>
    </row>
    <row r="26" spans="1:39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x14ac:dyDescent="0.3">
      <c r="A27" s="2" t="s">
        <v>82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x14ac:dyDescent="0.3">
      <c r="A28" s="1" t="str">
        <f>Parameters!A80</f>
        <v>Design &amp; Engineering</v>
      </c>
      <c r="B28" s="24">
        <f t="shared" ref="B28:B33" si="2">SUM(D28:AM28)</f>
        <v>1759999.9999999995</v>
      </c>
      <c r="C28" s="7"/>
      <c r="D28" s="7">
        <f>SUM(Workings!I5:I12)</f>
        <v>70833.333333333328</v>
      </c>
      <c r="E28" s="7">
        <f>SUM(Workings!J5:J12)</f>
        <v>172500.00000000003</v>
      </c>
      <c r="F28" s="7">
        <f>SUM(Workings!K5:K12)</f>
        <v>215000.00000000003</v>
      </c>
      <c r="G28" s="7">
        <f>SUM(Workings!L5:L12)</f>
        <v>215000.00000000003</v>
      </c>
      <c r="H28" s="7">
        <f>SUM(Workings!M5:M12)</f>
        <v>113333.33333333333</v>
      </c>
      <c r="I28" s="7">
        <f>SUM(Workings!N5:N12)</f>
        <v>113333.33333333333</v>
      </c>
      <c r="J28" s="7">
        <f>SUM(Workings!O5:O12)</f>
        <v>113333.33333333333</v>
      </c>
      <c r="K28" s="7">
        <f>SUM(Workings!P5:P12)</f>
        <v>177083.33333333334</v>
      </c>
      <c r="L28" s="7">
        <f>SUM(Workings!Q5:Q12)</f>
        <v>77083.333333333328</v>
      </c>
      <c r="M28" s="7">
        <f>SUM(Workings!R5:R12)</f>
        <v>77083.333333333328</v>
      </c>
      <c r="N28" s="7">
        <f>SUM(Workings!S5:S12)</f>
        <v>144583.33333333334</v>
      </c>
      <c r="O28" s="7">
        <f>SUM(Workings!T5:T12)</f>
        <v>118333.33333333333</v>
      </c>
      <c r="P28" s="7">
        <f>SUM(Workings!U5:U12)</f>
        <v>50833.333333333336</v>
      </c>
      <c r="Q28" s="7">
        <f>SUM(Workings!V5:V12)</f>
        <v>50833.333333333336</v>
      </c>
      <c r="R28" s="7">
        <f>SUM(Workings!W5:W12)</f>
        <v>50833.333333333336</v>
      </c>
      <c r="S28" s="7">
        <f>SUM(Workings!X5:X12)</f>
        <v>0</v>
      </c>
      <c r="T28" s="7">
        <f>SUM(Workings!Y5:Y12)</f>
        <v>0</v>
      </c>
      <c r="U28" s="7">
        <f>SUM(Workings!Z5:Z12)</f>
        <v>0</v>
      </c>
      <c r="V28" s="7">
        <f>SUM(Workings!AA5:AA12)</f>
        <v>0</v>
      </c>
      <c r="W28" s="7">
        <f>SUM(Workings!AB5:AB12)</f>
        <v>0</v>
      </c>
      <c r="X28" s="7">
        <f>SUM(Workings!AC5:AC12)</f>
        <v>0</v>
      </c>
      <c r="Y28" s="7">
        <f>SUM(Workings!AD5:AD12)</f>
        <v>0</v>
      </c>
      <c r="Z28" s="7">
        <f>SUM(Workings!AE5:AE12)</f>
        <v>0</v>
      </c>
      <c r="AA28" s="7">
        <f>SUM(Workings!AF5:AF12)</f>
        <v>0</v>
      </c>
      <c r="AB28" s="7">
        <f>SUM(Workings!AG5:AG12)</f>
        <v>0</v>
      </c>
      <c r="AC28" s="7">
        <f>SUM(Workings!AH5:AH12)</f>
        <v>0</v>
      </c>
      <c r="AD28" s="7">
        <f>SUM(Workings!AI5:AI12)</f>
        <v>0</v>
      </c>
      <c r="AE28" s="7">
        <f>SUM(Workings!AJ5:AJ12)</f>
        <v>0</v>
      </c>
      <c r="AF28" s="7">
        <f>SUM(Workings!AK5:AK12)</f>
        <v>0</v>
      </c>
      <c r="AG28" s="7">
        <f>SUM(Workings!AL5:AL12)</f>
        <v>0</v>
      </c>
      <c r="AH28" s="7">
        <f>SUM(Workings!AM5:AM12)</f>
        <v>0</v>
      </c>
      <c r="AI28" s="7">
        <f>SUM(Workings!AN5:AN12)</f>
        <v>0</v>
      </c>
      <c r="AJ28" s="7">
        <f>SUM(Workings!AO5:AO12)</f>
        <v>0</v>
      </c>
      <c r="AK28" s="7">
        <f>SUM(Workings!AP5:AP12)</f>
        <v>0</v>
      </c>
      <c r="AL28" s="7">
        <f>SUM(Workings!AQ5:AQ12)</f>
        <v>0</v>
      </c>
      <c r="AM28" s="7">
        <f>SUM(Workings!AR5:AR12)</f>
        <v>0</v>
      </c>
    </row>
    <row r="29" spans="1:39" x14ac:dyDescent="0.3">
      <c r="A29" s="1" t="str">
        <f>Parameters!A89</f>
        <v>FDA Certification</v>
      </c>
      <c r="B29" s="24">
        <f t="shared" si="2"/>
        <v>0</v>
      </c>
      <c r="C29" s="7"/>
      <c r="D29" s="7">
        <f>Workings!I14</f>
        <v>0</v>
      </c>
      <c r="E29" s="7">
        <f>Workings!J14</f>
        <v>0</v>
      </c>
      <c r="F29" s="7">
        <f>Workings!K14</f>
        <v>0</v>
      </c>
      <c r="G29" s="7">
        <f>Workings!L14</f>
        <v>0</v>
      </c>
      <c r="H29" s="7">
        <f>Workings!M14</f>
        <v>0</v>
      </c>
      <c r="I29" s="7">
        <f>Workings!N14</f>
        <v>0</v>
      </c>
      <c r="J29" s="7">
        <f>Workings!O14</f>
        <v>0</v>
      </c>
      <c r="K29" s="7">
        <f>Workings!P14</f>
        <v>0</v>
      </c>
      <c r="L29" s="7">
        <f>Workings!Q14</f>
        <v>0</v>
      </c>
      <c r="M29" s="7">
        <f>Workings!R14</f>
        <v>0</v>
      </c>
      <c r="N29" s="7">
        <f>Workings!S14</f>
        <v>0</v>
      </c>
      <c r="O29" s="7">
        <f>Workings!T14</f>
        <v>0</v>
      </c>
      <c r="P29" s="7">
        <f>Workings!U14</f>
        <v>0</v>
      </c>
      <c r="Q29" s="7">
        <f>Workings!V14</f>
        <v>0</v>
      </c>
      <c r="R29" s="7">
        <f>Workings!W14</f>
        <v>0</v>
      </c>
      <c r="S29" s="7">
        <f>Workings!X14</f>
        <v>0</v>
      </c>
      <c r="T29" s="7">
        <f>Workings!Y14</f>
        <v>0</v>
      </c>
      <c r="U29" s="7">
        <f>Workings!Z14</f>
        <v>0</v>
      </c>
      <c r="V29" s="7">
        <f>Workings!AA14</f>
        <v>0</v>
      </c>
      <c r="W29" s="7">
        <f>Workings!AB14</f>
        <v>0</v>
      </c>
      <c r="X29" s="7">
        <f>Workings!AC14</f>
        <v>0</v>
      </c>
      <c r="Y29" s="7">
        <f>Workings!AD14</f>
        <v>0</v>
      </c>
      <c r="Z29" s="7">
        <f>Workings!AE14</f>
        <v>0</v>
      </c>
      <c r="AA29" s="7">
        <f>Workings!AF14</f>
        <v>0</v>
      </c>
      <c r="AB29" s="7">
        <f>Workings!AG14</f>
        <v>0</v>
      </c>
      <c r="AC29" s="7">
        <f>Workings!AH14</f>
        <v>0</v>
      </c>
      <c r="AD29" s="7">
        <f>Workings!AI14</f>
        <v>0</v>
      </c>
      <c r="AE29" s="7">
        <f>Workings!AJ14</f>
        <v>0</v>
      </c>
      <c r="AF29" s="7">
        <f>Workings!AK14</f>
        <v>0</v>
      </c>
      <c r="AG29" s="7">
        <f>Workings!AL14</f>
        <v>0</v>
      </c>
      <c r="AH29" s="7">
        <f>Workings!AM14</f>
        <v>0</v>
      </c>
      <c r="AI29" s="7">
        <f>Workings!AN14</f>
        <v>0</v>
      </c>
      <c r="AJ29" s="7">
        <f>Workings!AO14</f>
        <v>0</v>
      </c>
      <c r="AK29" s="7">
        <f>Workings!AP14</f>
        <v>0</v>
      </c>
      <c r="AL29" s="7">
        <f>Workings!AQ14</f>
        <v>0</v>
      </c>
      <c r="AM29" s="7">
        <f>Workings!AR14</f>
        <v>0</v>
      </c>
    </row>
    <row r="30" spans="1:39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2" customFormat="1" x14ac:dyDescent="0.3">
      <c r="A31" s="2" t="s">
        <v>93</v>
      </c>
      <c r="B31" s="30">
        <f t="shared" si="2"/>
        <v>9835052.8404803779</v>
      </c>
      <c r="C31" s="27"/>
      <c r="D31" s="27">
        <f>SUM(D11:D29)</f>
        <v>84583.333333333328</v>
      </c>
      <c r="E31" s="27">
        <f t="shared" ref="E31:AM31" si="3">SUM(E11:E29)</f>
        <v>186250.00000000003</v>
      </c>
      <c r="F31" s="27">
        <f t="shared" si="3"/>
        <v>228750.00000000003</v>
      </c>
      <c r="G31" s="27">
        <f t="shared" si="3"/>
        <v>228750.00000000003</v>
      </c>
      <c r="H31" s="27">
        <f t="shared" si="3"/>
        <v>133750</v>
      </c>
      <c r="I31" s="27">
        <f t="shared" si="3"/>
        <v>133750</v>
      </c>
      <c r="J31" s="27">
        <f t="shared" si="3"/>
        <v>150000</v>
      </c>
      <c r="K31" s="27">
        <f t="shared" si="3"/>
        <v>210083.33333333334</v>
      </c>
      <c r="L31" s="27">
        <f t="shared" si="3"/>
        <v>110083.33333333333</v>
      </c>
      <c r="M31" s="27">
        <f t="shared" si="3"/>
        <v>150083.33333333331</v>
      </c>
      <c r="N31" s="27">
        <f t="shared" si="3"/>
        <v>217583.33333333334</v>
      </c>
      <c r="O31" s="27">
        <f t="shared" si="3"/>
        <v>205333.33333333331</v>
      </c>
      <c r="P31" s="27">
        <f t="shared" si="3"/>
        <v>137833.33333333334</v>
      </c>
      <c r="Q31" s="27">
        <f t="shared" si="3"/>
        <v>137833.33333333334</v>
      </c>
      <c r="R31" s="27">
        <f t="shared" si="3"/>
        <v>137833.33333333334</v>
      </c>
      <c r="S31" s="27">
        <f t="shared" si="3"/>
        <v>112500</v>
      </c>
      <c r="T31" s="27">
        <f t="shared" si="3"/>
        <v>137625</v>
      </c>
      <c r="U31" s="27">
        <f t="shared" si="3"/>
        <v>184875</v>
      </c>
      <c r="V31" s="27">
        <f t="shared" si="3"/>
        <v>200813.4375</v>
      </c>
      <c r="W31" s="27">
        <f t="shared" si="3"/>
        <v>218029.25859374998</v>
      </c>
      <c r="X31" s="27">
        <f t="shared" si="3"/>
        <v>235351.25208398438</v>
      </c>
      <c r="Y31" s="27">
        <f t="shared" si="3"/>
        <v>265007.76363088703</v>
      </c>
      <c r="Z31" s="27">
        <f t="shared" si="3"/>
        <v>286232.1644185331</v>
      </c>
      <c r="AA31" s="27">
        <f t="shared" si="3"/>
        <v>308132.07203132077</v>
      </c>
      <c r="AB31" s="27">
        <f t="shared" si="3"/>
        <v>329310.99759265187</v>
      </c>
      <c r="AC31" s="27">
        <f t="shared" si="3"/>
        <v>359397.90249033959</v>
      </c>
      <c r="AD31" s="27">
        <f t="shared" si="3"/>
        <v>382431.76959617902</v>
      </c>
      <c r="AE31" s="27">
        <f t="shared" si="3"/>
        <v>402433.17490818328</v>
      </c>
      <c r="AF31" s="27">
        <f t="shared" si="3"/>
        <v>420254.63061782275</v>
      </c>
      <c r="AG31" s="27">
        <f t="shared" si="3"/>
        <v>444994.11879642395</v>
      </c>
      <c r="AH31" s="27">
        <f t="shared" si="3"/>
        <v>462372.12453367037</v>
      </c>
      <c r="AI31" s="27">
        <f t="shared" si="3"/>
        <v>480499.24876791972</v>
      </c>
      <c r="AJ31" s="27">
        <f t="shared" si="3"/>
        <v>499407.85669795313</v>
      </c>
      <c r="AK31" s="27">
        <f t="shared" si="3"/>
        <v>528750.7112599659</v>
      </c>
      <c r="AL31" s="27">
        <f t="shared" si="3"/>
        <v>550748.5475693153</v>
      </c>
      <c r="AM31" s="27">
        <f t="shared" si="3"/>
        <v>573385.80939147703</v>
      </c>
    </row>
    <row r="32" spans="1:39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2" customFormat="1" x14ac:dyDescent="0.3">
      <c r="A33" s="2" t="s">
        <v>94</v>
      </c>
      <c r="B33" s="36">
        <f t="shared" si="2"/>
        <v>16915022.320091188</v>
      </c>
      <c r="C33" s="37"/>
      <c r="D33" s="37">
        <f>+D8-D31</f>
        <v>-84583.333333333328</v>
      </c>
      <c r="E33" s="37">
        <f t="shared" ref="E33:AM33" si="4">+E8-E31</f>
        <v>-186250.00000000003</v>
      </c>
      <c r="F33" s="37">
        <f t="shared" si="4"/>
        <v>-228750.00000000003</v>
      </c>
      <c r="G33" s="37">
        <f t="shared" si="4"/>
        <v>-228750.00000000003</v>
      </c>
      <c r="H33" s="37">
        <f t="shared" si="4"/>
        <v>-133750</v>
      </c>
      <c r="I33" s="37">
        <f t="shared" si="4"/>
        <v>-133750</v>
      </c>
      <c r="J33" s="37">
        <f t="shared" si="4"/>
        <v>-150000</v>
      </c>
      <c r="K33" s="37">
        <f t="shared" si="4"/>
        <v>-210083.33333333334</v>
      </c>
      <c r="L33" s="37">
        <f t="shared" si="4"/>
        <v>-110083.33333333333</v>
      </c>
      <c r="M33" s="37">
        <f t="shared" si="4"/>
        <v>-150083.33333333331</v>
      </c>
      <c r="N33" s="37">
        <f t="shared" si="4"/>
        <v>-217583.33333333334</v>
      </c>
      <c r="O33" s="37">
        <f t="shared" si="4"/>
        <v>-205333.33333333331</v>
      </c>
      <c r="P33" s="37">
        <f t="shared" si="4"/>
        <v>-137833.33333333334</v>
      </c>
      <c r="Q33" s="37">
        <f t="shared" si="4"/>
        <v>-137833.33333333334</v>
      </c>
      <c r="R33" s="37">
        <f t="shared" si="4"/>
        <v>-137833.33333333334</v>
      </c>
      <c r="S33" s="37">
        <f t="shared" si="4"/>
        <v>-212500</v>
      </c>
      <c r="T33" s="37">
        <f t="shared" si="4"/>
        <v>-252625</v>
      </c>
      <c r="U33" s="37">
        <f t="shared" si="4"/>
        <v>-244875</v>
      </c>
      <c r="V33" s="37">
        <f t="shared" si="4"/>
        <v>-135375.9375</v>
      </c>
      <c r="W33" s="37">
        <f t="shared" si="4"/>
        <v>-21823.164843749983</v>
      </c>
      <c r="X33" s="37">
        <f t="shared" si="4"/>
        <v>97181.100650390668</v>
      </c>
      <c r="Y33" s="37">
        <f t="shared" si="4"/>
        <v>238978.04742803233</v>
      </c>
      <c r="Z33" s="37">
        <f t="shared" si="4"/>
        <v>384913.87694372365</v>
      </c>
      <c r="AA33" s="37">
        <f t="shared" si="4"/>
        <v>526887.67608883185</v>
      </c>
      <c r="AB33" s="37">
        <f t="shared" si="4"/>
        <v>662785.21482260735</v>
      </c>
      <c r="AC33" s="37">
        <f t="shared" si="4"/>
        <v>796450.5239525683</v>
      </c>
      <c r="AD33" s="37">
        <f t="shared" si="4"/>
        <v>944128.33997055236</v>
      </c>
      <c r="AE33" s="37">
        <f t="shared" si="4"/>
        <v>1103560.5309818008</v>
      </c>
      <c r="AF33" s="37">
        <f t="shared" si="4"/>
        <v>1272219.5994391518</v>
      </c>
      <c r="AG33" s="37">
        <f t="shared" si="4"/>
        <v>1441366.5160379724</v>
      </c>
      <c r="AH33" s="37">
        <f t="shared" si="4"/>
        <v>1625426.993531188</v>
      </c>
      <c r="AI33" s="37">
        <f t="shared" si="4"/>
        <v>1817299.4880646942</v>
      </c>
      <c r="AJ33" s="37">
        <f t="shared" si="4"/>
        <v>2017315.4827000473</v>
      </c>
      <c r="AK33" s="37">
        <f t="shared" si="4"/>
        <v>2216274.8596457825</v>
      </c>
      <c r="AL33" s="37">
        <f t="shared" si="4"/>
        <v>2432253.1496832604</v>
      </c>
      <c r="AM33" s="37">
        <f t="shared" si="4"/>
        <v>2657680.0224943338</v>
      </c>
    </row>
    <row r="34" spans="1:39" x14ac:dyDescent="0.3">
      <c r="A34" t="s">
        <v>132</v>
      </c>
      <c r="B34" s="36"/>
      <c r="C34" s="7"/>
      <c r="D34" s="37">
        <f>+D33</f>
        <v>-84583.333333333328</v>
      </c>
      <c r="E34" s="37">
        <f>+D34+E33</f>
        <v>-270833.33333333337</v>
      </c>
      <c r="F34" s="37">
        <f t="shared" ref="F34:AM34" si="5">+E34+F33</f>
        <v>-499583.33333333337</v>
      </c>
      <c r="G34" s="37">
        <f t="shared" si="5"/>
        <v>-728333.33333333337</v>
      </c>
      <c r="H34" s="37">
        <f t="shared" si="5"/>
        <v>-862083.33333333337</v>
      </c>
      <c r="I34" s="37">
        <f t="shared" si="5"/>
        <v>-995833.33333333337</v>
      </c>
      <c r="J34" s="37">
        <f t="shared" si="5"/>
        <v>-1145833.3333333335</v>
      </c>
      <c r="K34" s="37">
        <f t="shared" si="5"/>
        <v>-1355916.6666666667</v>
      </c>
      <c r="L34" s="37">
        <f t="shared" si="5"/>
        <v>-1466000</v>
      </c>
      <c r="M34" s="37">
        <f t="shared" si="5"/>
        <v>-1616083.3333333333</v>
      </c>
      <c r="N34" s="37">
        <f t="shared" si="5"/>
        <v>-1833666.6666666665</v>
      </c>
      <c r="O34" s="37">
        <f t="shared" si="5"/>
        <v>-2038999.9999999998</v>
      </c>
      <c r="P34" s="37">
        <f t="shared" si="5"/>
        <v>-2176833.333333333</v>
      </c>
      <c r="Q34" s="37">
        <f t="shared" si="5"/>
        <v>-2314666.6666666665</v>
      </c>
      <c r="R34" s="37">
        <f t="shared" si="5"/>
        <v>-2452500</v>
      </c>
      <c r="S34" s="37">
        <f t="shared" si="5"/>
        <v>-2665000</v>
      </c>
      <c r="T34" s="37">
        <f t="shared" si="5"/>
        <v>-2917625</v>
      </c>
      <c r="U34" s="37">
        <f t="shared" si="5"/>
        <v>-3162500</v>
      </c>
      <c r="V34" s="37">
        <f t="shared" si="5"/>
        <v>-3297875.9375</v>
      </c>
      <c r="W34" s="37">
        <f t="shared" si="5"/>
        <v>-3319699.1023437502</v>
      </c>
      <c r="X34" s="37">
        <f t="shared" si="5"/>
        <v>-3222518.0016933596</v>
      </c>
      <c r="Y34" s="37">
        <f t="shared" si="5"/>
        <v>-2983539.9542653272</v>
      </c>
      <c r="Z34" s="37">
        <f t="shared" si="5"/>
        <v>-2598626.0773216034</v>
      </c>
      <c r="AA34" s="37">
        <f t="shared" si="5"/>
        <v>-2071738.4012327716</v>
      </c>
      <c r="AB34" s="37">
        <f t="shared" si="5"/>
        <v>-1408953.1864101642</v>
      </c>
      <c r="AC34" s="37">
        <f t="shared" si="5"/>
        <v>-612502.66245759593</v>
      </c>
      <c r="AD34" s="37">
        <f t="shared" si="5"/>
        <v>331625.67751295643</v>
      </c>
      <c r="AE34" s="37">
        <f t="shared" si="5"/>
        <v>1435186.2084947573</v>
      </c>
      <c r="AF34" s="37">
        <f t="shared" si="5"/>
        <v>2707405.8079339089</v>
      </c>
      <c r="AG34" s="37">
        <f t="shared" si="5"/>
        <v>4148772.3239718815</v>
      </c>
      <c r="AH34" s="37">
        <f t="shared" si="5"/>
        <v>5774199.3175030695</v>
      </c>
      <c r="AI34" s="37">
        <f t="shared" si="5"/>
        <v>7591498.8055677637</v>
      </c>
      <c r="AJ34" s="37">
        <f t="shared" si="5"/>
        <v>9608814.2882678118</v>
      </c>
      <c r="AK34" s="37">
        <f t="shared" si="5"/>
        <v>11825089.147913594</v>
      </c>
      <c r="AL34" s="37">
        <f t="shared" si="5"/>
        <v>14257342.297596853</v>
      </c>
      <c r="AM34" s="37">
        <f t="shared" si="5"/>
        <v>16915022.320091188</v>
      </c>
    </row>
    <row r="37" spans="1:39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2:39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2:39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2:39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2:39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2:39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2:39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2:39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2:39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2:39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2:39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2:39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2:39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2:39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2:39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2:39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2:39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2:39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spans="2:39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spans="2:39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2:39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spans="2:39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2:39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2:39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spans="2:39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2:39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spans="2:39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spans="2:39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spans="2:39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2:39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spans="2:39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spans="2:39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spans="2:39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spans="2:39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spans="2:39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spans="2:39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spans="2:39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spans="2:39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2:39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spans="2:39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spans="2:39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spans="2:39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spans="2:39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spans="2:39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spans="2:39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spans="2:39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spans="2:39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spans="2:39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spans="2:39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spans="2:39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spans="2:39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2:39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spans="2:39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spans="2:39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2:39" x14ac:dyDescent="0.3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</row>
    <row r="103" spans="2:39" x14ac:dyDescent="0.3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</row>
    <row r="104" spans="2:39" x14ac:dyDescent="0.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2:39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2:39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2:39" x14ac:dyDescent="0.3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2:39" x14ac:dyDescent="0.3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2:39" x14ac:dyDescent="0.3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2:39" x14ac:dyDescent="0.3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2:39" x14ac:dyDescent="0.3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2:39" x14ac:dyDescent="0.3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:39" x14ac:dyDescent="0.3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:39" x14ac:dyDescent="0.3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:39" x14ac:dyDescent="0.3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:39" x14ac:dyDescent="0.3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:39" x14ac:dyDescent="0.3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:39" x14ac:dyDescent="0.3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:39" x14ac:dyDescent="0.3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:39" x14ac:dyDescent="0.3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:39" x14ac:dyDescent="0.3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:39" x14ac:dyDescent="0.3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:39" x14ac:dyDescent="0.3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:39" x14ac:dyDescent="0.3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  <row r="125" spans="2:39" x14ac:dyDescent="0.3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</row>
    <row r="126" spans="2:39" x14ac:dyDescent="0.3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2:39" x14ac:dyDescent="0.3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2:39" x14ac:dyDescent="0.3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2:39" x14ac:dyDescent="0.3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</row>
    <row r="130" spans="2:39" x14ac:dyDescent="0.3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</row>
    <row r="131" spans="2:39" x14ac:dyDescent="0.3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</row>
    <row r="132" spans="2:39" x14ac:dyDescent="0.3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2:39" x14ac:dyDescent="0.3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</row>
    <row r="134" spans="2:39" x14ac:dyDescent="0.3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</row>
    <row r="135" spans="2:39" x14ac:dyDescent="0.3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</row>
    <row r="136" spans="2:39" x14ac:dyDescent="0.3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2:39" x14ac:dyDescent="0.3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2:39" x14ac:dyDescent="0.3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</row>
    <row r="139" spans="2:39" x14ac:dyDescent="0.3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</row>
    <row r="140" spans="2:39" x14ac:dyDescent="0.3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</row>
    <row r="141" spans="2:39" x14ac:dyDescent="0.3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2:39" x14ac:dyDescent="0.3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2:39" x14ac:dyDescent="0.3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2:39" x14ac:dyDescent="0.3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2:39" x14ac:dyDescent="0.3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2:39" x14ac:dyDescent="0.3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2:39" x14ac:dyDescent="0.3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2:39" x14ac:dyDescent="0.3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2:39" x14ac:dyDescent="0.3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2:39" x14ac:dyDescent="0.3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2:39" x14ac:dyDescent="0.3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2:39" x14ac:dyDescent="0.3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  <row r="153" spans="2:39" x14ac:dyDescent="0.3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</row>
    <row r="154" spans="2:39" x14ac:dyDescent="0.3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</row>
    <row r="155" spans="2:39" x14ac:dyDescent="0.3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</row>
    <row r="156" spans="2:39" x14ac:dyDescent="0.3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</row>
    <row r="157" spans="2:39" x14ac:dyDescent="0.3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</row>
    <row r="158" spans="2:39" x14ac:dyDescent="0.3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</row>
    <row r="159" spans="2:39" x14ac:dyDescent="0.3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</row>
    <row r="160" spans="2:39" x14ac:dyDescent="0.3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</row>
    <row r="161" spans="2:39" x14ac:dyDescent="0.3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</row>
    <row r="162" spans="2:39" x14ac:dyDescent="0.3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</row>
    <row r="163" spans="2:39" x14ac:dyDescent="0.3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</row>
    <row r="164" spans="2:39" x14ac:dyDescent="0.3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</row>
    <row r="165" spans="2:39" x14ac:dyDescent="0.3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</row>
    <row r="166" spans="2:39" x14ac:dyDescent="0.3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</row>
    <row r="167" spans="2:39" x14ac:dyDescent="0.3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</row>
    <row r="168" spans="2:39" x14ac:dyDescent="0.3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</row>
    <row r="169" spans="2:39" x14ac:dyDescent="0.3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</row>
    <row r="170" spans="2:39" x14ac:dyDescent="0.3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</row>
    <row r="171" spans="2:39" x14ac:dyDescent="0.3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</row>
    <row r="172" spans="2:39" x14ac:dyDescent="0.3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</row>
    <row r="173" spans="2:39" x14ac:dyDescent="0.3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</row>
    <row r="174" spans="2:39" x14ac:dyDescent="0.3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</row>
    <row r="175" spans="2:39" x14ac:dyDescent="0.3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</row>
    <row r="176" spans="2:39" x14ac:dyDescent="0.3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</row>
    <row r="177" spans="2:39" x14ac:dyDescent="0.3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</row>
    <row r="178" spans="2:39" x14ac:dyDescent="0.3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</row>
    <row r="179" spans="2:39" x14ac:dyDescent="0.3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</row>
    <row r="180" spans="2:39" x14ac:dyDescent="0.3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</row>
    <row r="181" spans="2:39" x14ac:dyDescent="0.3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</row>
    <row r="182" spans="2:39" x14ac:dyDescent="0.3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</row>
    <row r="183" spans="2:39" x14ac:dyDescent="0.3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</row>
    <row r="184" spans="2:39" x14ac:dyDescent="0.3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</row>
    <row r="185" spans="2:39" x14ac:dyDescent="0.3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</row>
    <row r="186" spans="2:39" x14ac:dyDescent="0.3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</row>
    <row r="187" spans="2:39" x14ac:dyDescent="0.3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</row>
    <row r="188" spans="2:39" x14ac:dyDescent="0.3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</row>
    <row r="189" spans="2:39" x14ac:dyDescent="0.3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</row>
    <row r="190" spans="2:39" x14ac:dyDescent="0.3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</row>
    <row r="191" spans="2:39" x14ac:dyDescent="0.3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</row>
    <row r="192" spans="2:39" x14ac:dyDescent="0.3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</row>
    <row r="193" spans="2:39" x14ac:dyDescent="0.3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</row>
    <row r="194" spans="2:39" x14ac:dyDescent="0.3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</row>
    <row r="195" spans="2:39" x14ac:dyDescent="0.3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</row>
    <row r="196" spans="2:39" x14ac:dyDescent="0.3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</row>
    <row r="197" spans="2:39" x14ac:dyDescent="0.3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</row>
    <row r="198" spans="2:39" x14ac:dyDescent="0.3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</row>
    <row r="199" spans="2:39" x14ac:dyDescent="0.3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</row>
    <row r="200" spans="2:39" x14ac:dyDescent="0.3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</row>
    <row r="201" spans="2:39" x14ac:dyDescent="0.3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</row>
    <row r="202" spans="2:39" x14ac:dyDescent="0.3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</row>
    <row r="203" spans="2:39" x14ac:dyDescent="0.3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</row>
    <row r="204" spans="2:39" x14ac:dyDescent="0.3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</row>
    <row r="205" spans="2:39" x14ac:dyDescent="0.3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</row>
    <row r="206" spans="2:39" x14ac:dyDescent="0.3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</row>
    <row r="207" spans="2:39" x14ac:dyDescent="0.3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</row>
    <row r="208" spans="2:39" x14ac:dyDescent="0.3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</row>
    <row r="209" spans="2:39" x14ac:dyDescent="0.3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</row>
    <row r="210" spans="2:39" x14ac:dyDescent="0.3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</row>
    <row r="211" spans="2:39" x14ac:dyDescent="0.3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</row>
    <row r="212" spans="2:39" x14ac:dyDescent="0.3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</row>
    <row r="213" spans="2:39" x14ac:dyDescent="0.3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</row>
    <row r="214" spans="2:39" x14ac:dyDescent="0.3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</row>
    <row r="215" spans="2:39" x14ac:dyDescent="0.3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</row>
    <row r="216" spans="2:39" x14ac:dyDescent="0.3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</row>
    <row r="217" spans="2:39" x14ac:dyDescent="0.3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</row>
    <row r="218" spans="2:39" x14ac:dyDescent="0.3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</row>
    <row r="219" spans="2:39" x14ac:dyDescent="0.3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</row>
    <row r="220" spans="2:39" x14ac:dyDescent="0.3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</row>
    <row r="221" spans="2:39" x14ac:dyDescent="0.3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</row>
    <row r="222" spans="2:39" x14ac:dyDescent="0.3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</row>
    <row r="223" spans="2:39" x14ac:dyDescent="0.3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</row>
    <row r="224" spans="2:39" x14ac:dyDescent="0.3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</row>
    <row r="225" spans="2:39" x14ac:dyDescent="0.3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</row>
    <row r="226" spans="2:39" x14ac:dyDescent="0.3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</row>
    <row r="227" spans="2:39" x14ac:dyDescent="0.3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</row>
    <row r="228" spans="2:39" x14ac:dyDescent="0.3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</row>
    <row r="229" spans="2:39" x14ac:dyDescent="0.3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</row>
    <row r="230" spans="2:39" x14ac:dyDescent="0.3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</row>
    <row r="231" spans="2:39" x14ac:dyDescent="0.3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</row>
    <row r="232" spans="2:39" x14ac:dyDescent="0.3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</row>
    <row r="233" spans="2:39" x14ac:dyDescent="0.3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</row>
    <row r="234" spans="2:39" x14ac:dyDescent="0.3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</row>
    <row r="235" spans="2:39" x14ac:dyDescent="0.3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</row>
    <row r="236" spans="2:39" x14ac:dyDescent="0.3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</row>
    <row r="237" spans="2:39" x14ac:dyDescent="0.3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</row>
    <row r="238" spans="2:39" x14ac:dyDescent="0.3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</row>
    <row r="239" spans="2:39" x14ac:dyDescent="0.3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</row>
    <row r="240" spans="2:39" x14ac:dyDescent="0.3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</row>
    <row r="241" spans="2:39" x14ac:dyDescent="0.3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</row>
    <row r="242" spans="2:39" x14ac:dyDescent="0.3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</row>
    <row r="243" spans="2:39" x14ac:dyDescent="0.3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</row>
    <row r="244" spans="2:39" x14ac:dyDescent="0.3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</row>
    <row r="245" spans="2:39" x14ac:dyDescent="0.3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</row>
    <row r="246" spans="2:39" x14ac:dyDescent="0.3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</row>
    <row r="247" spans="2:39" x14ac:dyDescent="0.3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</row>
    <row r="248" spans="2:39" x14ac:dyDescent="0.3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</row>
    <row r="249" spans="2:39" x14ac:dyDescent="0.3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</row>
    <row r="250" spans="2:39" x14ac:dyDescent="0.3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</row>
    <row r="251" spans="2:39" x14ac:dyDescent="0.3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</row>
    <row r="252" spans="2:39" x14ac:dyDescent="0.3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</row>
    <row r="253" spans="2:39" x14ac:dyDescent="0.3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</row>
    <row r="254" spans="2:39" x14ac:dyDescent="0.3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</row>
    <row r="255" spans="2:39" x14ac:dyDescent="0.3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</row>
    <row r="256" spans="2:39" x14ac:dyDescent="0.3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</row>
    <row r="257" spans="2:39" x14ac:dyDescent="0.3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</row>
    <row r="258" spans="2:39" x14ac:dyDescent="0.3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</row>
    <row r="259" spans="2:39" x14ac:dyDescent="0.3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</row>
    <row r="260" spans="2:39" x14ac:dyDescent="0.3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</row>
    <row r="261" spans="2:39" x14ac:dyDescent="0.3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</row>
    <row r="262" spans="2:39" x14ac:dyDescent="0.3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</row>
    <row r="263" spans="2:39" x14ac:dyDescent="0.3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</row>
    <row r="264" spans="2:39" x14ac:dyDescent="0.3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</row>
    <row r="265" spans="2:39" x14ac:dyDescent="0.3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</row>
    <row r="266" spans="2:39" x14ac:dyDescent="0.3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</row>
    <row r="267" spans="2:39" x14ac:dyDescent="0.3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</row>
    <row r="268" spans="2:39" x14ac:dyDescent="0.3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</row>
    <row r="269" spans="2:39" x14ac:dyDescent="0.3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</row>
    <row r="270" spans="2:39" x14ac:dyDescent="0.3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</row>
    <row r="271" spans="2:39" x14ac:dyDescent="0.3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</row>
    <row r="272" spans="2:39" x14ac:dyDescent="0.3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</row>
    <row r="273" spans="2:39" x14ac:dyDescent="0.3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</row>
    <row r="274" spans="2:39" x14ac:dyDescent="0.3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</row>
    <row r="275" spans="2:39" x14ac:dyDescent="0.3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</row>
    <row r="276" spans="2:39" x14ac:dyDescent="0.3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</row>
    <row r="277" spans="2:39" x14ac:dyDescent="0.3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</row>
    <row r="278" spans="2:39" x14ac:dyDescent="0.3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</row>
    <row r="279" spans="2:39" x14ac:dyDescent="0.3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</row>
    <row r="280" spans="2:39" x14ac:dyDescent="0.3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</row>
    <row r="281" spans="2:39" x14ac:dyDescent="0.3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</row>
    <row r="282" spans="2:39" x14ac:dyDescent="0.3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S209"/>
  <sheetViews>
    <sheetView workbookViewId="0">
      <pane xSplit="7" ySplit="1" topLeftCell="H157" activePane="bottomRight" state="frozen"/>
      <selection pane="topRight" activeCell="H1" sqref="H1"/>
      <selection pane="bottomLeft" activeCell="A2" sqref="A2"/>
      <selection pane="bottomRight" activeCell="G77" sqref="G77:G78"/>
    </sheetView>
  </sheetViews>
  <sheetFormatPr defaultRowHeight="14.4" x14ac:dyDescent="0.3"/>
  <cols>
    <col min="1" max="1" width="10.77734375" customWidth="1"/>
    <col min="2" max="2" width="38.88671875" customWidth="1"/>
    <col min="3" max="3" width="11.88671875" customWidth="1"/>
    <col min="4" max="5" width="8.44140625" customWidth="1"/>
    <col min="6" max="6" width="11.21875" bestFit="1" customWidth="1"/>
    <col min="7" max="7" width="13.21875" customWidth="1"/>
    <col min="8" max="8" width="3.44140625" customWidth="1"/>
    <col min="9" max="44" width="12.6640625" customWidth="1"/>
  </cols>
  <sheetData>
    <row r="1" spans="1:44" s="21" customFormat="1" x14ac:dyDescent="0.3">
      <c r="A1" s="21" t="s">
        <v>15</v>
      </c>
      <c r="B1" s="21" t="s">
        <v>57</v>
      </c>
      <c r="C1" s="21" t="s">
        <v>42</v>
      </c>
      <c r="D1" s="21" t="s">
        <v>19</v>
      </c>
      <c r="E1" s="21" t="s">
        <v>41</v>
      </c>
      <c r="F1" s="21" t="s">
        <v>43</v>
      </c>
      <c r="G1" s="21" t="s">
        <v>44</v>
      </c>
      <c r="H1" s="21" t="s">
        <v>49</v>
      </c>
      <c r="I1" s="21">
        <v>1</v>
      </c>
      <c r="J1" s="21">
        <f>+I1+1</f>
        <v>2</v>
      </c>
      <c r="K1" s="21">
        <f t="shared" ref="K1:AR1" si="0">+J1+1</f>
        <v>3</v>
      </c>
      <c r="L1" s="21">
        <f t="shared" si="0"/>
        <v>4</v>
      </c>
      <c r="M1" s="21">
        <f t="shared" si="0"/>
        <v>5</v>
      </c>
      <c r="N1" s="21">
        <f t="shared" si="0"/>
        <v>6</v>
      </c>
      <c r="O1" s="21">
        <f t="shared" si="0"/>
        <v>7</v>
      </c>
      <c r="P1" s="21">
        <f t="shared" si="0"/>
        <v>8</v>
      </c>
      <c r="Q1" s="21">
        <f t="shared" si="0"/>
        <v>9</v>
      </c>
      <c r="R1" s="21">
        <f t="shared" si="0"/>
        <v>10</v>
      </c>
      <c r="S1" s="21">
        <f t="shared" si="0"/>
        <v>11</v>
      </c>
      <c r="T1" s="21">
        <f t="shared" si="0"/>
        <v>12</v>
      </c>
      <c r="U1" s="21">
        <f t="shared" si="0"/>
        <v>13</v>
      </c>
      <c r="V1" s="21">
        <f t="shared" si="0"/>
        <v>14</v>
      </c>
      <c r="W1" s="21">
        <f t="shared" si="0"/>
        <v>15</v>
      </c>
      <c r="X1" s="21">
        <f t="shared" si="0"/>
        <v>16</v>
      </c>
      <c r="Y1" s="21">
        <f t="shared" si="0"/>
        <v>17</v>
      </c>
      <c r="Z1" s="21">
        <f t="shared" si="0"/>
        <v>18</v>
      </c>
      <c r="AA1" s="21">
        <f t="shared" si="0"/>
        <v>19</v>
      </c>
      <c r="AB1" s="21">
        <f t="shared" si="0"/>
        <v>20</v>
      </c>
      <c r="AC1" s="21">
        <f t="shared" si="0"/>
        <v>21</v>
      </c>
      <c r="AD1" s="21">
        <f t="shared" si="0"/>
        <v>22</v>
      </c>
      <c r="AE1" s="21">
        <f t="shared" si="0"/>
        <v>23</v>
      </c>
      <c r="AF1" s="21">
        <f t="shared" si="0"/>
        <v>24</v>
      </c>
      <c r="AG1" s="21">
        <f t="shared" si="0"/>
        <v>25</v>
      </c>
      <c r="AH1" s="21">
        <f t="shared" si="0"/>
        <v>26</v>
      </c>
      <c r="AI1" s="21">
        <f t="shared" si="0"/>
        <v>27</v>
      </c>
      <c r="AJ1" s="21">
        <f t="shared" si="0"/>
        <v>28</v>
      </c>
      <c r="AK1" s="21">
        <f t="shared" si="0"/>
        <v>29</v>
      </c>
      <c r="AL1" s="21">
        <f t="shared" si="0"/>
        <v>30</v>
      </c>
      <c r="AM1" s="21">
        <f t="shared" si="0"/>
        <v>31</v>
      </c>
      <c r="AN1" s="21">
        <f t="shared" si="0"/>
        <v>32</v>
      </c>
      <c r="AO1" s="21">
        <f t="shared" si="0"/>
        <v>33</v>
      </c>
      <c r="AP1" s="21">
        <f t="shared" si="0"/>
        <v>34</v>
      </c>
      <c r="AQ1" s="21">
        <f t="shared" si="0"/>
        <v>35</v>
      </c>
      <c r="AR1" s="21">
        <f t="shared" si="0"/>
        <v>36</v>
      </c>
    </row>
    <row r="2" spans="1:44" x14ac:dyDescent="0.3">
      <c r="I2" s="8">
        <f>+Parameters!B3</f>
        <v>45535</v>
      </c>
      <c r="J2" s="8">
        <f>EDATE(I2,1)</f>
        <v>45565</v>
      </c>
      <c r="K2" s="8">
        <f t="shared" ref="K2:AR2" si="1">EDATE(J2,1)</f>
        <v>45595</v>
      </c>
      <c r="L2" s="8">
        <f t="shared" si="1"/>
        <v>45626</v>
      </c>
      <c r="M2" s="8">
        <f t="shared" si="1"/>
        <v>45656</v>
      </c>
      <c r="N2" s="8">
        <f t="shared" si="1"/>
        <v>45687</v>
      </c>
      <c r="O2" s="8">
        <f t="shared" si="1"/>
        <v>45716</v>
      </c>
      <c r="P2" s="8">
        <f t="shared" si="1"/>
        <v>45744</v>
      </c>
      <c r="Q2" s="8">
        <f t="shared" si="1"/>
        <v>45775</v>
      </c>
      <c r="R2" s="8">
        <f t="shared" si="1"/>
        <v>45805</v>
      </c>
      <c r="S2" s="8">
        <f t="shared" si="1"/>
        <v>45836</v>
      </c>
      <c r="T2" s="8">
        <f t="shared" si="1"/>
        <v>45866</v>
      </c>
      <c r="U2" s="8">
        <f t="shared" si="1"/>
        <v>45897</v>
      </c>
      <c r="V2" s="8">
        <f t="shared" si="1"/>
        <v>45928</v>
      </c>
      <c r="W2" s="8">
        <f t="shared" si="1"/>
        <v>45958</v>
      </c>
      <c r="X2" s="8">
        <f t="shared" si="1"/>
        <v>45989</v>
      </c>
      <c r="Y2" s="8">
        <f t="shared" si="1"/>
        <v>46019</v>
      </c>
      <c r="Z2" s="8">
        <f t="shared" si="1"/>
        <v>46050</v>
      </c>
      <c r="AA2" s="8">
        <f t="shared" si="1"/>
        <v>46081</v>
      </c>
      <c r="AB2" s="8">
        <f t="shared" si="1"/>
        <v>46109</v>
      </c>
      <c r="AC2" s="8">
        <f t="shared" si="1"/>
        <v>46140</v>
      </c>
      <c r="AD2" s="8">
        <f t="shared" si="1"/>
        <v>46170</v>
      </c>
      <c r="AE2" s="8">
        <f t="shared" si="1"/>
        <v>46201</v>
      </c>
      <c r="AF2" s="8">
        <f t="shared" si="1"/>
        <v>46231</v>
      </c>
      <c r="AG2" s="8">
        <f t="shared" si="1"/>
        <v>46262</v>
      </c>
      <c r="AH2" s="8">
        <f t="shared" si="1"/>
        <v>46293</v>
      </c>
      <c r="AI2" s="8">
        <f t="shared" si="1"/>
        <v>46323</v>
      </c>
      <c r="AJ2" s="8">
        <f t="shared" si="1"/>
        <v>46354</v>
      </c>
      <c r="AK2" s="8">
        <f t="shared" si="1"/>
        <v>46384</v>
      </c>
      <c r="AL2" s="8">
        <f t="shared" si="1"/>
        <v>46415</v>
      </c>
      <c r="AM2" s="8">
        <f t="shared" si="1"/>
        <v>46446</v>
      </c>
      <c r="AN2" s="8">
        <f t="shared" si="1"/>
        <v>46474</v>
      </c>
      <c r="AO2" s="8">
        <f t="shared" si="1"/>
        <v>46505</v>
      </c>
      <c r="AP2" s="8">
        <f t="shared" si="1"/>
        <v>46535</v>
      </c>
      <c r="AQ2" s="8">
        <f t="shared" si="1"/>
        <v>46566</v>
      </c>
      <c r="AR2" s="8">
        <f t="shared" si="1"/>
        <v>46596</v>
      </c>
    </row>
    <row r="4" spans="1:44" x14ac:dyDescent="0.3">
      <c r="B4" s="2" t="s">
        <v>0</v>
      </c>
      <c r="C4" s="2"/>
      <c r="D4" s="2"/>
      <c r="E4" s="2"/>
      <c r="F4" s="2"/>
      <c r="G4" s="2"/>
    </row>
    <row r="5" spans="1:44" x14ac:dyDescent="0.3">
      <c r="B5" s="1" t="str">
        <f>Parameters!A81</f>
        <v>Phase 0 - Planning, Requirements &amp; Technical De-Risk</v>
      </c>
      <c r="C5" s="9">
        <f>+Parameters!B81</f>
        <v>115000</v>
      </c>
      <c r="D5" s="1">
        <f>Parameters!D81</f>
        <v>1</v>
      </c>
      <c r="E5" s="1">
        <f>Parameters!F81</f>
        <v>2</v>
      </c>
      <c r="F5" s="9">
        <f>+C5/((E5-D5)+1)</f>
        <v>57500</v>
      </c>
      <c r="G5" s="9">
        <f t="shared" ref="G5:G12" si="2">SUM(I5:AR5)</f>
        <v>115000</v>
      </c>
      <c r="I5" s="7">
        <f>IF(+$D5&gt;I$1,0,IF(I$1&lt;=$E5,$F5,0))</f>
        <v>57500</v>
      </c>
      <c r="J5" s="7">
        <f t="shared" ref="J5:AR14" si="3">IF(+$D5&gt;J$1,0,IF(J$1&lt;=$E5,$F5,0))</f>
        <v>57500</v>
      </c>
      <c r="K5" s="7">
        <f t="shared" si="3"/>
        <v>0</v>
      </c>
      <c r="L5" s="7">
        <f t="shared" si="3"/>
        <v>0</v>
      </c>
      <c r="M5" s="7">
        <f t="shared" si="3"/>
        <v>0</v>
      </c>
      <c r="N5" s="7">
        <f t="shared" si="3"/>
        <v>0</v>
      </c>
      <c r="O5" s="7">
        <f t="shared" si="3"/>
        <v>0</v>
      </c>
      <c r="P5" s="7">
        <f t="shared" si="3"/>
        <v>0</v>
      </c>
      <c r="Q5" s="7">
        <f t="shared" si="3"/>
        <v>0</v>
      </c>
      <c r="R5" s="7">
        <f t="shared" si="3"/>
        <v>0</v>
      </c>
      <c r="S5" s="7">
        <f t="shared" si="3"/>
        <v>0</v>
      </c>
      <c r="T5" s="7">
        <f t="shared" si="3"/>
        <v>0</v>
      </c>
      <c r="U5" s="7">
        <f t="shared" si="3"/>
        <v>0</v>
      </c>
      <c r="V5" s="7">
        <f t="shared" si="3"/>
        <v>0</v>
      </c>
      <c r="W5" s="7">
        <f t="shared" si="3"/>
        <v>0</v>
      </c>
      <c r="X5" s="7">
        <f t="shared" si="3"/>
        <v>0</v>
      </c>
      <c r="Y5" s="7">
        <f t="shared" si="3"/>
        <v>0</v>
      </c>
      <c r="Z5" s="7">
        <f t="shared" si="3"/>
        <v>0</v>
      </c>
      <c r="AA5" s="7">
        <f t="shared" si="3"/>
        <v>0</v>
      </c>
      <c r="AB5" s="7">
        <f t="shared" si="3"/>
        <v>0</v>
      </c>
      <c r="AC5" s="7">
        <f t="shared" si="3"/>
        <v>0</v>
      </c>
      <c r="AD5" s="7">
        <f t="shared" si="3"/>
        <v>0</v>
      </c>
      <c r="AE5" s="7">
        <f t="shared" si="3"/>
        <v>0</v>
      </c>
      <c r="AF5" s="7">
        <f t="shared" si="3"/>
        <v>0</v>
      </c>
      <c r="AG5" s="7">
        <f t="shared" si="3"/>
        <v>0</v>
      </c>
      <c r="AH5" s="7">
        <f t="shared" si="3"/>
        <v>0</v>
      </c>
      <c r="AI5" s="7">
        <f t="shared" si="3"/>
        <v>0</v>
      </c>
      <c r="AJ5" s="7">
        <f t="shared" si="3"/>
        <v>0</v>
      </c>
      <c r="AK5" s="7">
        <f t="shared" si="3"/>
        <v>0</v>
      </c>
      <c r="AL5" s="7">
        <f t="shared" si="3"/>
        <v>0</v>
      </c>
      <c r="AM5" s="7">
        <f t="shared" si="3"/>
        <v>0</v>
      </c>
      <c r="AN5" s="7">
        <f t="shared" si="3"/>
        <v>0</v>
      </c>
      <c r="AO5" s="7">
        <f t="shared" si="3"/>
        <v>0</v>
      </c>
      <c r="AP5" s="7">
        <f t="shared" si="3"/>
        <v>0</v>
      </c>
      <c r="AQ5" s="7">
        <f t="shared" si="3"/>
        <v>0</v>
      </c>
      <c r="AR5" s="7">
        <f t="shared" si="3"/>
        <v>0</v>
      </c>
    </row>
    <row r="6" spans="1:44" x14ac:dyDescent="0.3">
      <c r="B6" s="1" t="str">
        <f>Parameters!A82</f>
        <v>Phase 1 - Prototype Design</v>
      </c>
      <c r="C6" s="9">
        <f>+Parameters!B82</f>
        <v>305000</v>
      </c>
      <c r="D6" s="1">
        <f>Parameters!D82</f>
        <v>2</v>
      </c>
      <c r="E6" s="1">
        <f>Parameters!F82</f>
        <v>4</v>
      </c>
      <c r="F6" s="9">
        <f t="shared" ref="F6:F8" si="4">+C6/((E6-D6)+1)</f>
        <v>101666.66666666667</v>
      </c>
      <c r="G6" s="9">
        <f t="shared" si="2"/>
        <v>305000</v>
      </c>
      <c r="I6" s="7">
        <f t="shared" ref="I6:S14" si="5">IF(+$D6&gt;I$1,0,IF(I$1&lt;=$E6,$F6,0))</f>
        <v>0</v>
      </c>
      <c r="J6" s="7">
        <f t="shared" si="3"/>
        <v>101666.66666666667</v>
      </c>
      <c r="K6" s="7">
        <f t="shared" si="3"/>
        <v>101666.66666666667</v>
      </c>
      <c r="L6" s="7">
        <f t="shared" si="3"/>
        <v>101666.66666666667</v>
      </c>
      <c r="M6" s="7">
        <f t="shared" si="3"/>
        <v>0</v>
      </c>
      <c r="N6" s="7">
        <f t="shared" si="3"/>
        <v>0</v>
      </c>
      <c r="O6" s="7">
        <f t="shared" si="3"/>
        <v>0</v>
      </c>
      <c r="P6" s="7">
        <f t="shared" si="3"/>
        <v>0</v>
      </c>
      <c r="Q6" s="7">
        <f t="shared" si="3"/>
        <v>0</v>
      </c>
      <c r="R6" s="7">
        <f t="shared" si="3"/>
        <v>0</v>
      </c>
      <c r="S6" s="7">
        <f t="shared" si="3"/>
        <v>0</v>
      </c>
      <c r="T6" s="7">
        <f t="shared" si="3"/>
        <v>0</v>
      </c>
      <c r="U6" s="7">
        <f t="shared" si="3"/>
        <v>0</v>
      </c>
      <c r="V6" s="7">
        <f t="shared" si="3"/>
        <v>0</v>
      </c>
      <c r="W6" s="7">
        <f t="shared" si="3"/>
        <v>0</v>
      </c>
      <c r="X6" s="7">
        <f t="shared" si="3"/>
        <v>0</v>
      </c>
      <c r="Y6" s="7">
        <f t="shared" si="3"/>
        <v>0</v>
      </c>
      <c r="Z6" s="7">
        <f t="shared" si="3"/>
        <v>0</v>
      </c>
      <c r="AA6" s="7">
        <f t="shared" si="3"/>
        <v>0</v>
      </c>
      <c r="AB6" s="7">
        <f t="shared" si="3"/>
        <v>0</v>
      </c>
      <c r="AC6" s="7">
        <f t="shared" si="3"/>
        <v>0</v>
      </c>
      <c r="AD6" s="7">
        <f t="shared" si="3"/>
        <v>0</v>
      </c>
      <c r="AE6" s="7">
        <f t="shared" si="3"/>
        <v>0</v>
      </c>
      <c r="AF6" s="7">
        <f t="shared" si="3"/>
        <v>0</v>
      </c>
      <c r="AG6" s="7">
        <f t="shared" si="3"/>
        <v>0</v>
      </c>
      <c r="AH6" s="7">
        <f t="shared" si="3"/>
        <v>0</v>
      </c>
      <c r="AI6" s="7">
        <f t="shared" si="3"/>
        <v>0</v>
      </c>
      <c r="AJ6" s="7">
        <f t="shared" si="3"/>
        <v>0</v>
      </c>
      <c r="AK6" s="7">
        <f t="shared" si="3"/>
        <v>0</v>
      </c>
      <c r="AL6" s="7">
        <f t="shared" si="3"/>
        <v>0</v>
      </c>
      <c r="AM6" s="7">
        <f t="shared" si="3"/>
        <v>0</v>
      </c>
      <c r="AN6" s="7">
        <f t="shared" si="3"/>
        <v>0</v>
      </c>
      <c r="AO6" s="7">
        <f t="shared" si="3"/>
        <v>0</v>
      </c>
      <c r="AP6" s="7">
        <f t="shared" si="3"/>
        <v>0</v>
      </c>
      <c r="AQ6" s="7">
        <f t="shared" si="3"/>
        <v>0</v>
      </c>
      <c r="AR6" s="7">
        <f t="shared" si="3"/>
        <v>0</v>
      </c>
    </row>
    <row r="7" spans="1:44" x14ac:dyDescent="0.3">
      <c r="B7" s="1" t="str">
        <f>Parameters!A83</f>
        <v>Phase 2 - Prototype Implementation</v>
      </c>
      <c r="C7" s="9">
        <f>+Parameters!B83</f>
        <v>600000</v>
      </c>
      <c r="D7" s="1">
        <f>Parameters!D83</f>
        <v>3</v>
      </c>
      <c r="E7" s="1">
        <f>Parameters!F83</f>
        <v>8</v>
      </c>
      <c r="F7" s="9">
        <f t="shared" si="4"/>
        <v>100000</v>
      </c>
      <c r="G7" s="9">
        <f t="shared" si="2"/>
        <v>600000</v>
      </c>
      <c r="I7" s="7">
        <f t="shared" si="5"/>
        <v>0</v>
      </c>
      <c r="J7" s="7">
        <f t="shared" si="3"/>
        <v>0</v>
      </c>
      <c r="K7" s="7">
        <f t="shared" si="3"/>
        <v>100000</v>
      </c>
      <c r="L7" s="7">
        <f t="shared" si="3"/>
        <v>100000</v>
      </c>
      <c r="M7" s="7">
        <f t="shared" si="3"/>
        <v>100000</v>
      </c>
      <c r="N7" s="7">
        <f t="shared" si="3"/>
        <v>100000</v>
      </c>
      <c r="O7" s="7">
        <f t="shared" si="3"/>
        <v>100000</v>
      </c>
      <c r="P7" s="7">
        <f t="shared" si="3"/>
        <v>100000</v>
      </c>
      <c r="Q7" s="7">
        <f t="shared" si="3"/>
        <v>0</v>
      </c>
      <c r="R7" s="7">
        <f t="shared" si="3"/>
        <v>0</v>
      </c>
      <c r="S7" s="7">
        <f t="shared" si="3"/>
        <v>0</v>
      </c>
      <c r="T7" s="7">
        <f t="shared" si="3"/>
        <v>0</v>
      </c>
      <c r="U7" s="7">
        <f t="shared" si="3"/>
        <v>0</v>
      </c>
      <c r="V7" s="7">
        <f t="shared" si="3"/>
        <v>0</v>
      </c>
      <c r="W7" s="7">
        <f t="shared" si="3"/>
        <v>0</v>
      </c>
      <c r="X7" s="7">
        <f t="shared" si="3"/>
        <v>0</v>
      </c>
      <c r="Y7" s="7">
        <f t="shared" si="3"/>
        <v>0</v>
      </c>
      <c r="Z7" s="7">
        <f t="shared" si="3"/>
        <v>0</v>
      </c>
      <c r="AA7" s="7">
        <f t="shared" si="3"/>
        <v>0</v>
      </c>
      <c r="AB7" s="7">
        <f t="shared" si="3"/>
        <v>0</v>
      </c>
      <c r="AC7" s="7">
        <f t="shared" si="3"/>
        <v>0</v>
      </c>
      <c r="AD7" s="7">
        <f t="shared" si="3"/>
        <v>0</v>
      </c>
      <c r="AE7" s="7">
        <f t="shared" si="3"/>
        <v>0</v>
      </c>
      <c r="AF7" s="7">
        <f t="shared" si="3"/>
        <v>0</v>
      </c>
      <c r="AG7" s="7">
        <f t="shared" si="3"/>
        <v>0</v>
      </c>
      <c r="AH7" s="7">
        <f t="shared" si="3"/>
        <v>0</v>
      </c>
      <c r="AI7" s="7">
        <f t="shared" si="3"/>
        <v>0</v>
      </c>
      <c r="AJ7" s="7">
        <f t="shared" si="3"/>
        <v>0</v>
      </c>
      <c r="AK7" s="7">
        <f t="shared" si="3"/>
        <v>0</v>
      </c>
      <c r="AL7" s="7">
        <f t="shared" si="3"/>
        <v>0</v>
      </c>
      <c r="AM7" s="7">
        <f t="shared" si="3"/>
        <v>0</v>
      </c>
      <c r="AN7" s="7">
        <f t="shared" si="3"/>
        <v>0</v>
      </c>
      <c r="AO7" s="7">
        <f t="shared" si="3"/>
        <v>0</v>
      </c>
      <c r="AP7" s="7">
        <f t="shared" si="3"/>
        <v>0</v>
      </c>
      <c r="AQ7" s="7">
        <f t="shared" si="3"/>
        <v>0</v>
      </c>
      <c r="AR7" s="7">
        <f t="shared" si="3"/>
        <v>0</v>
      </c>
    </row>
    <row r="8" spans="1:44" x14ac:dyDescent="0.3">
      <c r="B8" s="1" t="str">
        <f>Parameters!A84</f>
        <v>Phase 3 - Development</v>
      </c>
      <c r="C8" s="9">
        <f>+Parameters!B84</f>
        <v>255000</v>
      </c>
      <c r="D8" s="1">
        <f>Parameters!D84</f>
        <v>8</v>
      </c>
      <c r="E8" s="1">
        <f>Parameters!F84</f>
        <v>11</v>
      </c>
      <c r="F8" s="9">
        <f t="shared" si="4"/>
        <v>63750</v>
      </c>
      <c r="G8" s="9">
        <f t="shared" si="2"/>
        <v>255000</v>
      </c>
      <c r="I8" s="7">
        <f t="shared" si="5"/>
        <v>0</v>
      </c>
      <c r="J8" s="7">
        <f t="shared" si="3"/>
        <v>0</v>
      </c>
      <c r="K8" s="7">
        <f t="shared" si="3"/>
        <v>0</v>
      </c>
      <c r="L8" s="7">
        <f t="shared" si="3"/>
        <v>0</v>
      </c>
      <c r="M8" s="7">
        <f t="shared" si="3"/>
        <v>0</v>
      </c>
      <c r="N8" s="7">
        <f t="shared" si="3"/>
        <v>0</v>
      </c>
      <c r="O8" s="7">
        <f t="shared" si="3"/>
        <v>0</v>
      </c>
      <c r="P8" s="7">
        <f t="shared" si="3"/>
        <v>63750</v>
      </c>
      <c r="Q8" s="7">
        <f t="shared" si="3"/>
        <v>63750</v>
      </c>
      <c r="R8" s="7">
        <f t="shared" si="3"/>
        <v>63750</v>
      </c>
      <c r="S8" s="7">
        <f t="shared" si="3"/>
        <v>63750</v>
      </c>
      <c r="T8" s="7">
        <f t="shared" si="3"/>
        <v>0</v>
      </c>
      <c r="U8" s="7">
        <f t="shared" si="3"/>
        <v>0</v>
      </c>
      <c r="V8" s="7">
        <f t="shared" si="3"/>
        <v>0</v>
      </c>
      <c r="W8" s="7">
        <f t="shared" si="3"/>
        <v>0</v>
      </c>
      <c r="X8" s="7">
        <f t="shared" si="3"/>
        <v>0</v>
      </c>
      <c r="Y8" s="7">
        <f t="shared" si="3"/>
        <v>0</v>
      </c>
      <c r="Z8" s="7">
        <f t="shared" si="3"/>
        <v>0</v>
      </c>
      <c r="AA8" s="7">
        <f t="shared" si="3"/>
        <v>0</v>
      </c>
      <c r="AB8" s="7">
        <f t="shared" si="3"/>
        <v>0</v>
      </c>
      <c r="AC8" s="7">
        <f t="shared" si="3"/>
        <v>0</v>
      </c>
      <c r="AD8" s="7">
        <f t="shared" si="3"/>
        <v>0</v>
      </c>
      <c r="AE8" s="7">
        <f t="shared" si="3"/>
        <v>0</v>
      </c>
      <c r="AF8" s="7">
        <f t="shared" si="3"/>
        <v>0</v>
      </c>
      <c r="AG8" s="7">
        <f t="shared" si="3"/>
        <v>0</v>
      </c>
      <c r="AH8" s="7">
        <f t="shared" si="3"/>
        <v>0</v>
      </c>
      <c r="AI8" s="7">
        <f t="shared" si="3"/>
        <v>0</v>
      </c>
      <c r="AJ8" s="7">
        <f t="shared" si="3"/>
        <v>0</v>
      </c>
      <c r="AK8" s="7">
        <f t="shared" si="3"/>
        <v>0</v>
      </c>
      <c r="AL8" s="7">
        <f t="shared" si="3"/>
        <v>0</v>
      </c>
      <c r="AM8" s="7">
        <f t="shared" si="3"/>
        <v>0</v>
      </c>
      <c r="AN8" s="7">
        <f t="shared" si="3"/>
        <v>0</v>
      </c>
      <c r="AO8" s="7">
        <f t="shared" si="3"/>
        <v>0</v>
      </c>
      <c r="AP8" s="7">
        <f t="shared" si="3"/>
        <v>0</v>
      </c>
      <c r="AQ8" s="7">
        <f t="shared" si="3"/>
        <v>0</v>
      </c>
      <c r="AR8" s="7">
        <f t="shared" si="3"/>
        <v>0</v>
      </c>
    </row>
    <row r="9" spans="1:44" x14ac:dyDescent="0.3">
      <c r="B9" s="1" t="str">
        <f>Parameters!A85</f>
        <v>Phase 4 - Design Verification</v>
      </c>
      <c r="C9" s="9">
        <f>+Parameters!B85</f>
        <v>135000</v>
      </c>
      <c r="D9" s="1">
        <f>Parameters!D85</f>
        <v>11</v>
      </c>
      <c r="E9" s="1">
        <f>Parameters!F85</f>
        <v>12</v>
      </c>
      <c r="F9" s="9">
        <f t="shared" ref="F9" si="6">+C9/((E9-D9)+1)</f>
        <v>67500</v>
      </c>
      <c r="G9" s="9">
        <f t="shared" si="2"/>
        <v>135000</v>
      </c>
      <c r="I9" s="7">
        <f t="shared" si="5"/>
        <v>0</v>
      </c>
      <c r="J9" s="7">
        <f t="shared" si="3"/>
        <v>0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 t="shared" si="3"/>
        <v>0</v>
      </c>
      <c r="R9" s="7">
        <f t="shared" si="3"/>
        <v>0</v>
      </c>
      <c r="S9" s="7">
        <f t="shared" si="3"/>
        <v>67500</v>
      </c>
      <c r="T9" s="7">
        <f t="shared" si="3"/>
        <v>67500</v>
      </c>
      <c r="U9" s="7">
        <f t="shared" si="3"/>
        <v>0</v>
      </c>
      <c r="V9" s="7">
        <f t="shared" si="3"/>
        <v>0</v>
      </c>
      <c r="W9" s="7">
        <f t="shared" si="3"/>
        <v>0</v>
      </c>
      <c r="X9" s="7">
        <f t="shared" si="3"/>
        <v>0</v>
      </c>
      <c r="Y9" s="7">
        <f t="shared" si="3"/>
        <v>0</v>
      </c>
      <c r="Z9" s="7">
        <f t="shared" si="3"/>
        <v>0</v>
      </c>
      <c r="AA9" s="7">
        <f t="shared" si="3"/>
        <v>0</v>
      </c>
      <c r="AB9" s="7">
        <f t="shared" si="3"/>
        <v>0</v>
      </c>
      <c r="AC9" s="7">
        <f t="shared" si="3"/>
        <v>0</v>
      </c>
      <c r="AD9" s="7">
        <f t="shared" si="3"/>
        <v>0</v>
      </c>
      <c r="AE9" s="7">
        <f t="shared" si="3"/>
        <v>0</v>
      </c>
      <c r="AF9" s="7">
        <f t="shared" si="3"/>
        <v>0</v>
      </c>
      <c r="AG9" s="7">
        <f t="shared" si="3"/>
        <v>0</v>
      </c>
      <c r="AH9" s="7">
        <f t="shared" si="3"/>
        <v>0</v>
      </c>
      <c r="AI9" s="7">
        <f t="shared" si="3"/>
        <v>0</v>
      </c>
      <c r="AJ9" s="7">
        <f t="shared" si="3"/>
        <v>0</v>
      </c>
      <c r="AK9" s="7">
        <f t="shared" si="3"/>
        <v>0</v>
      </c>
      <c r="AL9" s="7">
        <f t="shared" si="3"/>
        <v>0</v>
      </c>
      <c r="AM9" s="7">
        <f t="shared" si="3"/>
        <v>0</v>
      </c>
      <c r="AN9" s="7">
        <f t="shared" si="3"/>
        <v>0</v>
      </c>
      <c r="AO9" s="7">
        <f t="shared" si="3"/>
        <v>0</v>
      </c>
      <c r="AP9" s="7">
        <f t="shared" si="3"/>
        <v>0</v>
      </c>
      <c r="AQ9" s="7">
        <f t="shared" si="3"/>
        <v>0</v>
      </c>
      <c r="AR9" s="7">
        <f t="shared" si="3"/>
        <v>0</v>
      </c>
    </row>
    <row r="10" spans="1:44" x14ac:dyDescent="0.3">
      <c r="B10" s="1" t="str">
        <f>Parameters!A86</f>
        <v>Phase 5 - Design Transfer</v>
      </c>
      <c r="C10" s="9">
        <f>+Parameters!B86</f>
        <v>150000</v>
      </c>
      <c r="D10" s="1">
        <f>Parameters!D86</f>
        <v>12</v>
      </c>
      <c r="E10" s="1">
        <f>Parameters!F86</f>
        <v>15</v>
      </c>
      <c r="F10" s="9">
        <f t="shared" ref="F10" si="7">+C10/((E10-D10)+1)</f>
        <v>37500</v>
      </c>
      <c r="G10" s="9">
        <f t="shared" si="2"/>
        <v>150000</v>
      </c>
      <c r="I10" s="7">
        <f t="shared" si="5"/>
        <v>0</v>
      </c>
      <c r="J10" s="7">
        <f t="shared" si="3"/>
        <v>0</v>
      </c>
      <c r="K10" s="7">
        <f t="shared" si="3"/>
        <v>0</v>
      </c>
      <c r="L10" s="7">
        <f t="shared" si="3"/>
        <v>0</v>
      </c>
      <c r="M10" s="7">
        <f t="shared" si="3"/>
        <v>0</v>
      </c>
      <c r="N10" s="7">
        <f t="shared" si="3"/>
        <v>0</v>
      </c>
      <c r="O10" s="7">
        <f t="shared" si="3"/>
        <v>0</v>
      </c>
      <c r="P10" s="7">
        <f t="shared" si="3"/>
        <v>0</v>
      </c>
      <c r="Q10" s="7">
        <f t="shared" si="3"/>
        <v>0</v>
      </c>
      <c r="R10" s="7">
        <f t="shared" si="3"/>
        <v>0</v>
      </c>
      <c r="S10" s="7">
        <f t="shared" si="3"/>
        <v>0</v>
      </c>
      <c r="T10" s="7">
        <f t="shared" ref="T10:AR11" si="8">IF(+$D10&gt;T$1,0,IF(T$1&lt;=$E10,$F10,0))</f>
        <v>37500</v>
      </c>
      <c r="U10" s="7">
        <f t="shared" si="8"/>
        <v>37500</v>
      </c>
      <c r="V10" s="7">
        <f t="shared" si="8"/>
        <v>37500</v>
      </c>
      <c r="W10" s="7">
        <f t="shared" si="8"/>
        <v>37500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si="8"/>
        <v>0</v>
      </c>
      <c r="AI10" s="7">
        <f t="shared" si="8"/>
        <v>0</v>
      </c>
      <c r="AJ10" s="7">
        <f t="shared" si="8"/>
        <v>0</v>
      </c>
      <c r="AK10" s="7">
        <f t="shared" si="8"/>
        <v>0</v>
      </c>
      <c r="AL10" s="7">
        <f t="shared" si="8"/>
        <v>0</v>
      </c>
      <c r="AM10" s="7">
        <f t="shared" si="8"/>
        <v>0</v>
      </c>
      <c r="AN10" s="7">
        <f t="shared" si="8"/>
        <v>0</v>
      </c>
      <c r="AO10" s="7">
        <f t="shared" si="8"/>
        <v>0</v>
      </c>
      <c r="AP10" s="7">
        <f t="shared" si="8"/>
        <v>0</v>
      </c>
      <c r="AQ10" s="7">
        <f t="shared" si="8"/>
        <v>0</v>
      </c>
      <c r="AR10" s="7">
        <f t="shared" si="8"/>
        <v>0</v>
      </c>
    </row>
    <row r="11" spans="1:44" x14ac:dyDescent="0.3">
      <c r="B11" s="1" t="str">
        <f>Parameters!A87</f>
        <v>Estimated Additional Cost</v>
      </c>
      <c r="C11" s="9">
        <f>+Parameters!B87</f>
        <v>200000</v>
      </c>
      <c r="D11" s="1">
        <f>Parameters!D87</f>
        <v>1</v>
      </c>
      <c r="E11" s="1">
        <f>Parameters!F87</f>
        <v>15</v>
      </c>
      <c r="F11" s="9">
        <f t="shared" ref="F11" si="9">+C11/((E11-D11)+1)</f>
        <v>13333.333333333334</v>
      </c>
      <c r="G11" s="9">
        <f t="shared" ref="G11" si="10">SUM(I11:AR11)</f>
        <v>200000.00000000003</v>
      </c>
      <c r="I11" s="7">
        <f t="shared" si="5"/>
        <v>13333.333333333334</v>
      </c>
      <c r="J11" s="7">
        <f t="shared" si="5"/>
        <v>13333.333333333334</v>
      </c>
      <c r="K11" s="7">
        <f t="shared" si="5"/>
        <v>13333.333333333334</v>
      </c>
      <c r="L11" s="7">
        <f t="shared" si="5"/>
        <v>13333.333333333334</v>
      </c>
      <c r="M11" s="7">
        <f t="shared" si="5"/>
        <v>13333.333333333334</v>
      </c>
      <c r="N11" s="7">
        <f t="shared" si="5"/>
        <v>13333.333333333334</v>
      </c>
      <c r="O11" s="7">
        <f t="shared" si="5"/>
        <v>13333.333333333334</v>
      </c>
      <c r="P11" s="7">
        <f t="shared" si="5"/>
        <v>13333.333333333334</v>
      </c>
      <c r="Q11" s="7">
        <f t="shared" si="5"/>
        <v>13333.333333333334</v>
      </c>
      <c r="R11" s="7">
        <f t="shared" si="5"/>
        <v>13333.333333333334</v>
      </c>
      <c r="S11" s="7">
        <f t="shared" si="5"/>
        <v>13333.333333333334</v>
      </c>
      <c r="T11" s="7">
        <f t="shared" si="8"/>
        <v>13333.333333333334</v>
      </c>
      <c r="U11" s="7">
        <f t="shared" si="8"/>
        <v>13333.333333333334</v>
      </c>
      <c r="V11" s="7">
        <f t="shared" si="8"/>
        <v>13333.333333333334</v>
      </c>
      <c r="W11" s="7">
        <f t="shared" si="8"/>
        <v>13333.333333333334</v>
      </c>
      <c r="X11" s="7">
        <f t="shared" si="8"/>
        <v>0</v>
      </c>
      <c r="Y11" s="7">
        <f t="shared" si="8"/>
        <v>0</v>
      </c>
      <c r="Z11" s="7">
        <f t="shared" si="8"/>
        <v>0</v>
      </c>
      <c r="AA11" s="7">
        <f t="shared" si="8"/>
        <v>0</v>
      </c>
      <c r="AB11" s="7">
        <f t="shared" si="8"/>
        <v>0</v>
      </c>
      <c r="AC11" s="7">
        <f t="shared" si="8"/>
        <v>0</v>
      </c>
      <c r="AD11" s="7">
        <f t="shared" si="8"/>
        <v>0</v>
      </c>
      <c r="AE11" s="7">
        <f t="shared" si="8"/>
        <v>0</v>
      </c>
      <c r="AF11" s="7">
        <f t="shared" si="8"/>
        <v>0</v>
      </c>
      <c r="AG11" s="7">
        <f t="shared" si="8"/>
        <v>0</v>
      </c>
      <c r="AH11" s="7">
        <f t="shared" si="8"/>
        <v>0</v>
      </c>
      <c r="AI11" s="7">
        <f t="shared" si="8"/>
        <v>0</v>
      </c>
      <c r="AJ11" s="7">
        <f t="shared" si="8"/>
        <v>0</v>
      </c>
      <c r="AK11" s="7">
        <f t="shared" si="8"/>
        <v>0</v>
      </c>
      <c r="AL11" s="7">
        <f t="shared" si="8"/>
        <v>0</v>
      </c>
      <c r="AM11" s="7">
        <f t="shared" si="8"/>
        <v>0</v>
      </c>
      <c r="AN11" s="7">
        <f t="shared" si="8"/>
        <v>0</v>
      </c>
      <c r="AO11" s="7">
        <f t="shared" si="8"/>
        <v>0</v>
      </c>
      <c r="AP11" s="7">
        <f t="shared" si="8"/>
        <v>0</v>
      </c>
      <c r="AQ11" s="7">
        <f t="shared" si="8"/>
        <v>0</v>
      </c>
      <c r="AR11" s="7">
        <f t="shared" si="8"/>
        <v>0</v>
      </c>
    </row>
    <row r="12" spans="1:44" x14ac:dyDescent="0.3">
      <c r="B12" s="1" t="str">
        <f>Parameters!A88</f>
        <v>Software ongoing</v>
      </c>
      <c r="C12" s="9">
        <f>+Parameters!B88</f>
        <v>0</v>
      </c>
      <c r="D12" s="1">
        <f>Parameters!D88</f>
        <v>16</v>
      </c>
      <c r="E12" s="1">
        <f>Parameters!F88</f>
        <v>36</v>
      </c>
      <c r="F12" s="12">
        <f>C12</f>
        <v>0</v>
      </c>
      <c r="G12" s="9">
        <f t="shared" si="2"/>
        <v>0</v>
      </c>
      <c r="I12" s="7">
        <f t="shared" si="5"/>
        <v>0</v>
      </c>
      <c r="J12" s="7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7">
        <f t="shared" si="3"/>
        <v>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7">
        <f t="shared" si="3"/>
        <v>0</v>
      </c>
      <c r="W12" s="7">
        <f t="shared" si="3"/>
        <v>0</v>
      </c>
      <c r="X12" s="7">
        <f t="shared" si="3"/>
        <v>0</v>
      </c>
      <c r="Y12" s="7">
        <f t="shared" si="3"/>
        <v>0</v>
      </c>
      <c r="Z12" s="7">
        <f t="shared" si="3"/>
        <v>0</v>
      </c>
      <c r="AA12" s="7">
        <f t="shared" si="3"/>
        <v>0</v>
      </c>
      <c r="AB12" s="7">
        <f t="shared" si="3"/>
        <v>0</v>
      </c>
      <c r="AC12" s="7">
        <f t="shared" si="3"/>
        <v>0</v>
      </c>
      <c r="AD12" s="7">
        <f t="shared" si="3"/>
        <v>0</v>
      </c>
      <c r="AE12" s="7">
        <f t="shared" si="3"/>
        <v>0</v>
      </c>
      <c r="AF12" s="7">
        <f t="shared" si="3"/>
        <v>0</v>
      </c>
      <c r="AG12" s="7">
        <f t="shared" si="3"/>
        <v>0</v>
      </c>
      <c r="AH12" s="7">
        <f t="shared" si="3"/>
        <v>0</v>
      </c>
      <c r="AI12" s="7">
        <f t="shared" si="3"/>
        <v>0</v>
      </c>
      <c r="AJ12" s="7">
        <f t="shared" si="3"/>
        <v>0</v>
      </c>
      <c r="AK12" s="7">
        <f t="shared" si="3"/>
        <v>0</v>
      </c>
      <c r="AL12" s="7">
        <f t="shared" si="3"/>
        <v>0</v>
      </c>
      <c r="AM12" s="7">
        <f t="shared" si="3"/>
        <v>0</v>
      </c>
      <c r="AN12" s="7">
        <f t="shared" si="3"/>
        <v>0</v>
      </c>
      <c r="AO12" s="7">
        <f t="shared" si="3"/>
        <v>0</v>
      </c>
      <c r="AP12" s="7">
        <f t="shared" si="3"/>
        <v>0</v>
      </c>
      <c r="AQ12" s="7">
        <f t="shared" si="3"/>
        <v>0</v>
      </c>
      <c r="AR12" s="7">
        <f t="shared" si="3"/>
        <v>0</v>
      </c>
    </row>
    <row r="13" spans="1:44" x14ac:dyDescent="0.3">
      <c r="B13" s="3" t="s">
        <v>1</v>
      </c>
      <c r="C13" s="3"/>
      <c r="D13" s="3"/>
      <c r="E13" s="3"/>
      <c r="F13" s="9"/>
      <c r="G13" s="9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x14ac:dyDescent="0.3">
      <c r="B14" s="1" t="str">
        <f>Parameters!A90</f>
        <v>Application cost</v>
      </c>
      <c r="C14" s="9">
        <f>+Parameters!B90</f>
        <v>0</v>
      </c>
      <c r="D14" s="1">
        <f>Parameters!D90</f>
        <v>16</v>
      </c>
      <c r="E14" s="1">
        <f>Parameters!F90</f>
        <v>20</v>
      </c>
      <c r="F14" s="9">
        <f t="shared" ref="F14" si="11">+C14/((E14-D14)+1)</f>
        <v>0</v>
      </c>
      <c r="G14" s="9">
        <f>SUM(I14:AR14)</f>
        <v>0</v>
      </c>
      <c r="I14" s="7">
        <f t="shared" si="5"/>
        <v>0</v>
      </c>
      <c r="J14" s="7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7">
        <f t="shared" si="3"/>
        <v>0</v>
      </c>
      <c r="O14" s="7">
        <f t="shared" si="3"/>
        <v>0</v>
      </c>
      <c r="P14" s="7">
        <f t="shared" si="3"/>
        <v>0</v>
      </c>
      <c r="Q14" s="7">
        <f t="shared" si="3"/>
        <v>0</v>
      </c>
      <c r="R14" s="7">
        <f t="shared" si="3"/>
        <v>0</v>
      </c>
      <c r="S14" s="7">
        <f t="shared" si="3"/>
        <v>0</v>
      </c>
      <c r="T14" s="7">
        <f t="shared" si="3"/>
        <v>0</v>
      </c>
      <c r="U14" s="7">
        <f t="shared" si="3"/>
        <v>0</v>
      </c>
      <c r="V14" s="7">
        <f t="shared" si="3"/>
        <v>0</v>
      </c>
      <c r="W14" s="7">
        <f t="shared" si="3"/>
        <v>0</v>
      </c>
      <c r="X14" s="7">
        <f t="shared" si="3"/>
        <v>0</v>
      </c>
      <c r="Y14" s="7">
        <f t="shared" si="3"/>
        <v>0</v>
      </c>
      <c r="Z14" s="7">
        <f t="shared" si="3"/>
        <v>0</v>
      </c>
      <c r="AA14" s="7">
        <f t="shared" si="3"/>
        <v>0</v>
      </c>
      <c r="AB14" s="7">
        <f t="shared" si="3"/>
        <v>0</v>
      </c>
      <c r="AC14" s="7">
        <f t="shared" si="3"/>
        <v>0</v>
      </c>
      <c r="AD14" s="7">
        <f t="shared" si="3"/>
        <v>0</v>
      </c>
      <c r="AE14" s="7">
        <f t="shared" si="3"/>
        <v>0</v>
      </c>
      <c r="AF14" s="7">
        <f t="shared" si="3"/>
        <v>0</v>
      </c>
      <c r="AG14" s="7">
        <f t="shared" si="3"/>
        <v>0</v>
      </c>
      <c r="AH14" s="7">
        <f t="shared" si="3"/>
        <v>0</v>
      </c>
      <c r="AI14" s="7">
        <f t="shared" si="3"/>
        <v>0</v>
      </c>
      <c r="AJ14" s="7">
        <f t="shared" si="3"/>
        <v>0</v>
      </c>
      <c r="AK14" s="7">
        <f t="shared" si="3"/>
        <v>0</v>
      </c>
      <c r="AL14" s="7">
        <f t="shared" si="3"/>
        <v>0</v>
      </c>
      <c r="AM14" s="7">
        <f t="shared" si="3"/>
        <v>0</v>
      </c>
      <c r="AN14" s="7">
        <f t="shared" si="3"/>
        <v>0</v>
      </c>
      <c r="AO14" s="7">
        <f t="shared" si="3"/>
        <v>0</v>
      </c>
      <c r="AP14" s="7">
        <f t="shared" si="3"/>
        <v>0</v>
      </c>
      <c r="AQ14" s="7">
        <f t="shared" si="3"/>
        <v>0</v>
      </c>
      <c r="AR14" s="7">
        <f t="shared" si="3"/>
        <v>0</v>
      </c>
    </row>
    <row r="15" spans="1:44" x14ac:dyDescent="0.3">
      <c r="B15" s="3" t="s">
        <v>3</v>
      </c>
      <c r="C15" s="3"/>
      <c r="D15" s="3"/>
      <c r="E15" s="3"/>
      <c r="F15" s="10"/>
      <c r="G15" s="10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x14ac:dyDescent="0.3">
      <c r="B16" s="1" t="s">
        <v>4</v>
      </c>
      <c r="C16" s="9">
        <f>Parameters!B34</f>
        <v>75</v>
      </c>
      <c r="D16" s="1"/>
      <c r="E16" s="1"/>
      <c r="F16" s="9"/>
      <c r="G16" s="9">
        <f>SUM(I16:AR16)</f>
        <v>998309.4006161734</v>
      </c>
      <c r="H16" s="9"/>
      <c r="I16" s="7">
        <f t="shared" ref="I16:AR16" si="12">+$C$16*SUM(I22:I25)</f>
        <v>0</v>
      </c>
      <c r="J16" s="7">
        <f t="shared" si="12"/>
        <v>0</v>
      </c>
      <c r="K16" s="7">
        <f t="shared" si="12"/>
        <v>0</v>
      </c>
      <c r="L16" s="7">
        <f t="shared" si="12"/>
        <v>0</v>
      </c>
      <c r="M16" s="7">
        <f t="shared" si="12"/>
        <v>0</v>
      </c>
      <c r="N16" s="7">
        <f t="shared" si="12"/>
        <v>0</v>
      </c>
      <c r="O16" s="7">
        <f t="shared" si="12"/>
        <v>0</v>
      </c>
      <c r="P16" s="7">
        <f t="shared" si="12"/>
        <v>0</v>
      </c>
      <c r="Q16" s="7">
        <f t="shared" si="12"/>
        <v>0</v>
      </c>
      <c r="R16" s="7">
        <f t="shared" si="12"/>
        <v>0</v>
      </c>
      <c r="S16" s="7">
        <f t="shared" si="12"/>
        <v>0</v>
      </c>
      <c r="T16" s="7">
        <f t="shared" si="12"/>
        <v>0</v>
      </c>
      <c r="U16" s="7">
        <f t="shared" si="12"/>
        <v>0</v>
      </c>
      <c r="V16" s="7">
        <f t="shared" si="12"/>
        <v>0</v>
      </c>
      <c r="W16" s="7">
        <f t="shared" si="12"/>
        <v>0</v>
      </c>
      <c r="X16" s="7">
        <f t="shared" si="12"/>
        <v>15000</v>
      </c>
      <c r="Y16" s="7">
        <f t="shared" si="12"/>
        <v>26250</v>
      </c>
      <c r="Z16" s="7">
        <f t="shared" si="12"/>
        <v>33750</v>
      </c>
      <c r="AA16" s="7">
        <f t="shared" si="12"/>
        <v>35184.375</v>
      </c>
      <c r="AB16" s="7">
        <f t="shared" si="12"/>
        <v>36679.7109375</v>
      </c>
      <c r="AC16" s="7">
        <f t="shared" si="12"/>
        <v>38238.598652343753</v>
      </c>
      <c r="AD16" s="7">
        <f t="shared" si="12"/>
        <v>39863.739095068362</v>
      </c>
      <c r="AE16" s="7">
        <f t="shared" si="12"/>
        <v>41557.948006608771</v>
      </c>
      <c r="AF16" s="7">
        <f t="shared" si="12"/>
        <v>43324.160796889642</v>
      </c>
      <c r="AG16" s="7">
        <f t="shared" si="12"/>
        <v>45165.437630757449</v>
      </c>
      <c r="AH16" s="7">
        <f t="shared" si="12"/>
        <v>47084.96873006464</v>
      </c>
      <c r="AI16" s="7">
        <f t="shared" si="12"/>
        <v>49086.079901092387</v>
      </c>
      <c r="AJ16" s="7">
        <f t="shared" si="12"/>
        <v>51172.238296888812</v>
      </c>
      <c r="AK16" s="7">
        <f t="shared" si="12"/>
        <v>53347.058424506584</v>
      </c>
      <c r="AL16" s="7">
        <f t="shared" si="12"/>
        <v>55614.308407548109</v>
      </c>
      <c r="AM16" s="7">
        <f t="shared" si="12"/>
        <v>57977.916514868906</v>
      </c>
      <c r="AN16" s="7">
        <f t="shared" si="12"/>
        <v>60441.977966750834</v>
      </c>
      <c r="AO16" s="7">
        <f t="shared" si="12"/>
        <v>63010.762030337748</v>
      </c>
      <c r="AP16" s="7">
        <f t="shared" si="12"/>
        <v>65688.719416627093</v>
      </c>
      <c r="AQ16" s="7">
        <f t="shared" si="12"/>
        <v>68480.489991833747</v>
      </c>
      <c r="AR16" s="7">
        <f t="shared" si="12"/>
        <v>71390.910816486678</v>
      </c>
    </row>
    <row r="17" spans="2:45" x14ac:dyDescent="0.3">
      <c r="B17" s="1" t="s">
        <v>5</v>
      </c>
      <c r="C17" s="9">
        <f>Parameters!B35</f>
        <v>20000</v>
      </c>
      <c r="D17" s="1">
        <f>Parameters!H35</f>
        <v>18</v>
      </c>
      <c r="E17" s="1">
        <f>+Parameters!F35+D17-1</f>
        <v>23</v>
      </c>
      <c r="F17" s="9">
        <f>+C17</f>
        <v>20000</v>
      </c>
      <c r="G17" s="9"/>
      <c r="H17" s="9"/>
      <c r="I17" s="7">
        <f t="shared" ref="I17:AR17" si="13">IF(+$D17&gt;I$1,0,IF(I$1&lt;=$E17,$F17,0))</f>
        <v>0</v>
      </c>
      <c r="J17" s="7">
        <f t="shared" si="13"/>
        <v>0</v>
      </c>
      <c r="K17" s="7">
        <f t="shared" si="13"/>
        <v>0</v>
      </c>
      <c r="L17" s="7">
        <f t="shared" si="13"/>
        <v>0</v>
      </c>
      <c r="M17" s="7">
        <f t="shared" si="13"/>
        <v>0</v>
      </c>
      <c r="N17" s="7">
        <f t="shared" si="13"/>
        <v>0</v>
      </c>
      <c r="O17" s="7">
        <f t="shared" si="13"/>
        <v>0</v>
      </c>
      <c r="P17" s="7">
        <f t="shared" si="13"/>
        <v>0</v>
      </c>
      <c r="Q17" s="7">
        <f t="shared" si="13"/>
        <v>0</v>
      </c>
      <c r="R17" s="7">
        <f t="shared" si="13"/>
        <v>0</v>
      </c>
      <c r="S17" s="7">
        <f t="shared" si="13"/>
        <v>0</v>
      </c>
      <c r="T17" s="7">
        <f t="shared" si="13"/>
        <v>0</v>
      </c>
      <c r="U17" s="7">
        <f t="shared" si="13"/>
        <v>0</v>
      </c>
      <c r="V17" s="7">
        <f t="shared" si="13"/>
        <v>0</v>
      </c>
      <c r="W17" s="7">
        <f t="shared" si="13"/>
        <v>0</v>
      </c>
      <c r="X17" s="7">
        <f t="shared" si="13"/>
        <v>0</v>
      </c>
      <c r="Y17" s="7">
        <f t="shared" si="13"/>
        <v>0</v>
      </c>
      <c r="Z17" s="7">
        <f t="shared" si="13"/>
        <v>20000</v>
      </c>
      <c r="AA17" s="7">
        <f t="shared" si="13"/>
        <v>20000</v>
      </c>
      <c r="AB17" s="7">
        <f t="shared" si="13"/>
        <v>20000</v>
      </c>
      <c r="AC17" s="7">
        <f t="shared" si="13"/>
        <v>20000</v>
      </c>
      <c r="AD17" s="7">
        <f t="shared" si="13"/>
        <v>20000</v>
      </c>
      <c r="AE17" s="7">
        <f t="shared" si="13"/>
        <v>20000</v>
      </c>
      <c r="AF17" s="7">
        <f t="shared" si="13"/>
        <v>0</v>
      </c>
      <c r="AG17" s="7">
        <f t="shared" si="13"/>
        <v>0</v>
      </c>
      <c r="AH17" s="7">
        <f t="shared" si="13"/>
        <v>0</v>
      </c>
      <c r="AI17" s="7">
        <f t="shared" si="13"/>
        <v>0</v>
      </c>
      <c r="AJ17" s="7">
        <f t="shared" si="13"/>
        <v>0</v>
      </c>
      <c r="AK17" s="7">
        <f t="shared" si="13"/>
        <v>0</v>
      </c>
      <c r="AL17" s="7">
        <f t="shared" si="13"/>
        <v>0</v>
      </c>
      <c r="AM17" s="7">
        <f t="shared" si="13"/>
        <v>0</v>
      </c>
      <c r="AN17" s="7">
        <f t="shared" si="13"/>
        <v>0</v>
      </c>
      <c r="AO17" s="7">
        <f t="shared" si="13"/>
        <v>0</v>
      </c>
      <c r="AP17" s="7">
        <f t="shared" si="13"/>
        <v>0</v>
      </c>
      <c r="AQ17" s="7">
        <f t="shared" si="13"/>
        <v>0</v>
      </c>
      <c r="AR17" s="7">
        <f t="shared" si="13"/>
        <v>0</v>
      </c>
    </row>
    <row r="18" spans="2:45" x14ac:dyDescent="0.3">
      <c r="B18" s="1" t="s">
        <v>52</v>
      </c>
      <c r="C18" s="17">
        <f>+Parameters!D35</f>
        <v>0.05</v>
      </c>
      <c r="D18" s="1"/>
      <c r="E18" s="1">
        <f>+E17+1</f>
        <v>24</v>
      </c>
      <c r="F18" s="9"/>
      <c r="G18" s="9"/>
      <c r="H18" s="9"/>
      <c r="I18" s="14">
        <f t="shared" ref="I18:N18" si="14">IF(I1&gt;=$E$18,IF(H17&gt;0,+H17*(1+$C$18),0),0)</f>
        <v>0</v>
      </c>
      <c r="J18" s="14">
        <f t="shared" si="14"/>
        <v>0</v>
      </c>
      <c r="K18" s="14">
        <f t="shared" si="14"/>
        <v>0</v>
      </c>
      <c r="L18" s="14">
        <f t="shared" si="14"/>
        <v>0</v>
      </c>
      <c r="M18" s="14">
        <f t="shared" si="14"/>
        <v>0</v>
      </c>
      <c r="N18" s="14">
        <f t="shared" si="14"/>
        <v>0</v>
      </c>
      <c r="O18" s="14">
        <f>IF(O1&gt;=$E$18,IF(N17&gt;0,+N17*(1+$C$18),0),0)</f>
        <v>0</v>
      </c>
      <c r="P18" s="14">
        <f t="shared" ref="P18:AR18" si="15">IF(P1&gt;=$E$18,IF(O17&gt;0,+O17*(1+$C$18),0),0)</f>
        <v>0</v>
      </c>
      <c r="Q18" s="14">
        <f t="shared" si="15"/>
        <v>0</v>
      </c>
      <c r="R18" s="14">
        <f t="shared" si="15"/>
        <v>0</v>
      </c>
      <c r="S18" s="14">
        <f t="shared" si="15"/>
        <v>0</v>
      </c>
      <c r="T18" s="14">
        <f t="shared" si="15"/>
        <v>0</v>
      </c>
      <c r="U18" s="14">
        <f t="shared" si="15"/>
        <v>0</v>
      </c>
      <c r="V18" s="14">
        <f t="shared" si="15"/>
        <v>0</v>
      </c>
      <c r="W18" s="14">
        <f t="shared" si="15"/>
        <v>0</v>
      </c>
      <c r="X18" s="14">
        <f t="shared" si="15"/>
        <v>0</v>
      </c>
      <c r="Y18" s="14">
        <f t="shared" si="15"/>
        <v>0</v>
      </c>
      <c r="Z18" s="14">
        <f t="shared" si="15"/>
        <v>0</v>
      </c>
      <c r="AA18" s="14">
        <f t="shared" si="15"/>
        <v>0</v>
      </c>
      <c r="AB18" s="14">
        <f t="shared" si="15"/>
        <v>0</v>
      </c>
      <c r="AC18" s="14">
        <f t="shared" si="15"/>
        <v>0</v>
      </c>
      <c r="AD18" s="14">
        <f t="shared" si="15"/>
        <v>0</v>
      </c>
      <c r="AE18" s="14">
        <f t="shared" si="15"/>
        <v>0</v>
      </c>
      <c r="AF18" s="14">
        <f t="shared" si="15"/>
        <v>21000</v>
      </c>
      <c r="AG18" s="14">
        <f t="shared" si="15"/>
        <v>0</v>
      </c>
      <c r="AH18" s="14">
        <f t="shared" si="15"/>
        <v>0</v>
      </c>
      <c r="AI18" s="14">
        <f t="shared" si="15"/>
        <v>0</v>
      </c>
      <c r="AJ18" s="14">
        <f t="shared" si="15"/>
        <v>0</v>
      </c>
      <c r="AK18" s="14">
        <f t="shared" si="15"/>
        <v>0</v>
      </c>
      <c r="AL18" s="14">
        <f t="shared" si="15"/>
        <v>0</v>
      </c>
      <c r="AM18" s="14">
        <f t="shared" si="15"/>
        <v>0</v>
      </c>
      <c r="AN18" s="14">
        <f t="shared" si="15"/>
        <v>0</v>
      </c>
      <c r="AO18" s="14">
        <f t="shared" si="15"/>
        <v>0</v>
      </c>
      <c r="AP18" s="14">
        <f t="shared" si="15"/>
        <v>0</v>
      </c>
      <c r="AQ18" s="14">
        <f t="shared" si="15"/>
        <v>0</v>
      </c>
      <c r="AR18" s="14">
        <f t="shared" si="15"/>
        <v>0</v>
      </c>
    </row>
    <row r="19" spans="2:45" x14ac:dyDescent="0.3">
      <c r="B19" s="1" t="s">
        <v>53</v>
      </c>
      <c r="C19" s="9"/>
      <c r="D19" s="2"/>
      <c r="E19" s="2"/>
      <c r="F19" s="11"/>
      <c r="G19" s="11"/>
      <c r="H19" s="11"/>
      <c r="I19" s="7">
        <f t="shared" ref="I19:O19" si="16">IF(+I1&lt;=$E$18,0,IF(+H19+H18&gt;0,(+H19+H18)*(1+$C$18)))</f>
        <v>0</v>
      </c>
      <c r="J19" s="7">
        <f t="shared" si="16"/>
        <v>0</v>
      </c>
      <c r="K19" s="7">
        <f t="shared" si="16"/>
        <v>0</v>
      </c>
      <c r="L19" s="7">
        <f t="shared" si="16"/>
        <v>0</v>
      </c>
      <c r="M19" s="7">
        <f t="shared" si="16"/>
        <v>0</v>
      </c>
      <c r="N19" s="7">
        <f t="shared" si="16"/>
        <v>0</v>
      </c>
      <c r="O19" s="7">
        <f t="shared" si="16"/>
        <v>0</v>
      </c>
      <c r="P19" s="7">
        <f>IF(+P1&lt;=$E$18,0,IF(+O19+O18&gt;0,(+O19+O18)*(1+$C$18)))</f>
        <v>0</v>
      </c>
      <c r="Q19" s="7">
        <f t="shared" ref="Q19:AR19" si="17">IF(+Q1&lt;=$E$18,0,IF(+P19+P18&gt;0,(+P19+P18)*(1+$C$18)))</f>
        <v>0</v>
      </c>
      <c r="R19" s="7">
        <f t="shared" si="17"/>
        <v>0</v>
      </c>
      <c r="S19" s="7">
        <f t="shared" si="17"/>
        <v>0</v>
      </c>
      <c r="T19" s="7">
        <f t="shared" si="17"/>
        <v>0</v>
      </c>
      <c r="U19" s="7">
        <f t="shared" si="17"/>
        <v>0</v>
      </c>
      <c r="V19" s="7">
        <f t="shared" si="17"/>
        <v>0</v>
      </c>
      <c r="W19" s="7">
        <f t="shared" si="17"/>
        <v>0</v>
      </c>
      <c r="X19" s="7">
        <f t="shared" si="17"/>
        <v>0</v>
      </c>
      <c r="Y19" s="7">
        <f t="shared" si="17"/>
        <v>0</v>
      </c>
      <c r="Z19" s="7">
        <f t="shared" si="17"/>
        <v>0</v>
      </c>
      <c r="AA19" s="7">
        <f t="shared" si="17"/>
        <v>0</v>
      </c>
      <c r="AB19" s="7">
        <f t="shared" si="17"/>
        <v>0</v>
      </c>
      <c r="AC19" s="7">
        <f t="shared" si="17"/>
        <v>0</v>
      </c>
      <c r="AD19" s="7">
        <f t="shared" si="17"/>
        <v>0</v>
      </c>
      <c r="AE19" s="7">
        <f t="shared" si="17"/>
        <v>0</v>
      </c>
      <c r="AF19" s="7">
        <f t="shared" si="17"/>
        <v>0</v>
      </c>
      <c r="AG19" s="7">
        <f t="shared" si="17"/>
        <v>22050</v>
      </c>
      <c r="AH19" s="7">
        <f t="shared" si="17"/>
        <v>23152.5</v>
      </c>
      <c r="AI19" s="7">
        <f t="shared" si="17"/>
        <v>24310.125</v>
      </c>
      <c r="AJ19" s="7">
        <f t="shared" si="17"/>
        <v>25525.631250000002</v>
      </c>
      <c r="AK19" s="7">
        <f t="shared" si="17"/>
        <v>26801.912812500002</v>
      </c>
      <c r="AL19" s="7">
        <f t="shared" si="17"/>
        <v>28142.008453125003</v>
      </c>
      <c r="AM19" s="7">
        <f t="shared" si="17"/>
        <v>29549.108875781254</v>
      </c>
      <c r="AN19" s="7">
        <f t="shared" si="17"/>
        <v>31026.56431957032</v>
      </c>
      <c r="AO19" s="7">
        <f t="shared" si="17"/>
        <v>32577.892535548835</v>
      </c>
      <c r="AP19" s="7">
        <f t="shared" si="17"/>
        <v>34206.787162326276</v>
      </c>
      <c r="AQ19" s="7">
        <f t="shared" si="17"/>
        <v>35917.126520442594</v>
      </c>
      <c r="AR19" s="7">
        <f t="shared" si="17"/>
        <v>37712.982846464729</v>
      </c>
    </row>
    <row r="20" spans="2:45" x14ac:dyDescent="0.3">
      <c r="B20" s="2" t="s">
        <v>6</v>
      </c>
    </row>
    <row r="21" spans="2:45" x14ac:dyDescent="0.3">
      <c r="B21" s="2" t="s">
        <v>20</v>
      </c>
      <c r="C21" s="9"/>
      <c r="D21" s="2"/>
      <c r="E21" s="2"/>
      <c r="F21" s="11"/>
      <c r="G21" s="11"/>
      <c r="H21" s="11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2:45" x14ac:dyDescent="0.3">
      <c r="B22" s="1" t="s">
        <v>45</v>
      </c>
      <c r="C22" s="9">
        <f>Parameters!B12</f>
        <v>200</v>
      </c>
      <c r="D22" s="1">
        <f>Parameters!D12</f>
        <v>16</v>
      </c>
      <c r="E22" s="1">
        <f>+D22</f>
        <v>16</v>
      </c>
      <c r="F22" s="9">
        <f>C22</f>
        <v>200</v>
      </c>
      <c r="G22" s="9">
        <f t="shared" ref="G22:G25" si="18">SUM(I22:AR22)</f>
        <v>200</v>
      </c>
      <c r="H22" s="9"/>
      <c r="I22" s="7">
        <f t="shared" ref="I22:R24" si="19">IF(+$D22&gt;I$1,0,IF(I$1&lt;=$E22,$F22,0))</f>
        <v>0</v>
      </c>
      <c r="J22" s="7">
        <f t="shared" si="19"/>
        <v>0</v>
      </c>
      <c r="K22" s="7">
        <f t="shared" si="19"/>
        <v>0</v>
      </c>
      <c r="L22" s="7">
        <f t="shared" si="19"/>
        <v>0</v>
      </c>
      <c r="M22" s="7">
        <f t="shared" si="19"/>
        <v>0</v>
      </c>
      <c r="N22" s="7">
        <f t="shared" si="19"/>
        <v>0</v>
      </c>
      <c r="O22" s="7">
        <f t="shared" si="19"/>
        <v>0</v>
      </c>
      <c r="P22" s="7">
        <f t="shared" si="19"/>
        <v>0</v>
      </c>
      <c r="Q22" s="7">
        <f t="shared" si="19"/>
        <v>0</v>
      </c>
      <c r="R22" s="7">
        <f t="shared" si="19"/>
        <v>0</v>
      </c>
      <c r="S22" s="7">
        <f t="shared" ref="S22:AB24" si="20">IF(+$D22&gt;S$1,0,IF(S$1&lt;=$E22,$F22,0))</f>
        <v>0</v>
      </c>
      <c r="T22" s="7">
        <f t="shared" si="20"/>
        <v>0</v>
      </c>
      <c r="U22" s="7">
        <f t="shared" si="20"/>
        <v>0</v>
      </c>
      <c r="V22" s="7">
        <f t="shared" si="20"/>
        <v>0</v>
      </c>
      <c r="W22" s="7">
        <f t="shared" si="20"/>
        <v>0</v>
      </c>
      <c r="X22" s="7">
        <f t="shared" si="20"/>
        <v>200</v>
      </c>
      <c r="Y22" s="7">
        <f t="shared" si="20"/>
        <v>0</v>
      </c>
      <c r="Z22" s="7">
        <f t="shared" si="20"/>
        <v>0</v>
      </c>
      <c r="AA22" s="7">
        <f t="shared" si="20"/>
        <v>0</v>
      </c>
      <c r="AB22" s="7">
        <f t="shared" si="20"/>
        <v>0</v>
      </c>
      <c r="AC22" s="7">
        <f t="shared" ref="AC22:AL24" si="21">IF(+$D22&gt;AC$1,0,IF(AC$1&lt;=$E22,$F22,0))</f>
        <v>0</v>
      </c>
      <c r="AD22" s="7">
        <f t="shared" si="21"/>
        <v>0</v>
      </c>
      <c r="AE22" s="7">
        <f t="shared" si="21"/>
        <v>0</v>
      </c>
      <c r="AF22" s="7">
        <f t="shared" si="21"/>
        <v>0</v>
      </c>
      <c r="AG22" s="7">
        <f t="shared" si="21"/>
        <v>0</v>
      </c>
      <c r="AH22" s="7">
        <f t="shared" si="21"/>
        <v>0</v>
      </c>
      <c r="AI22" s="7">
        <f t="shared" si="21"/>
        <v>0</v>
      </c>
      <c r="AJ22" s="7">
        <f t="shared" si="21"/>
        <v>0</v>
      </c>
      <c r="AK22" s="7">
        <f t="shared" si="21"/>
        <v>0</v>
      </c>
      <c r="AL22" s="7">
        <f t="shared" si="21"/>
        <v>0</v>
      </c>
      <c r="AM22" s="7">
        <f t="shared" ref="AM22:AR24" si="22">IF(+$D22&gt;AM$1,0,IF(AM$1&lt;=$E22,$F22,0))</f>
        <v>0</v>
      </c>
      <c r="AN22" s="7">
        <f t="shared" si="22"/>
        <v>0</v>
      </c>
      <c r="AO22" s="7">
        <f t="shared" si="22"/>
        <v>0</v>
      </c>
      <c r="AP22" s="7">
        <f t="shared" si="22"/>
        <v>0</v>
      </c>
      <c r="AQ22" s="7">
        <f t="shared" si="22"/>
        <v>0</v>
      </c>
      <c r="AR22" s="7">
        <f t="shared" si="22"/>
        <v>0</v>
      </c>
    </row>
    <row r="23" spans="2:45" x14ac:dyDescent="0.3">
      <c r="B23" s="1" t="s">
        <v>46</v>
      </c>
      <c r="C23" s="9">
        <f>+Parameters!B13</f>
        <v>350</v>
      </c>
      <c r="D23" s="1">
        <f>+D22+1</f>
        <v>17</v>
      </c>
      <c r="E23" s="1">
        <f>+D23</f>
        <v>17</v>
      </c>
      <c r="F23" s="9">
        <f t="shared" ref="F23:F24" si="23">C23</f>
        <v>350</v>
      </c>
      <c r="G23" s="9">
        <f t="shared" si="18"/>
        <v>350</v>
      </c>
      <c r="H23" s="9"/>
      <c r="I23" s="7">
        <f t="shared" si="19"/>
        <v>0</v>
      </c>
      <c r="J23" s="7">
        <f t="shared" si="19"/>
        <v>0</v>
      </c>
      <c r="K23" s="7">
        <f t="shared" si="19"/>
        <v>0</v>
      </c>
      <c r="L23" s="7">
        <f t="shared" si="19"/>
        <v>0</v>
      </c>
      <c r="M23" s="7">
        <f t="shared" si="19"/>
        <v>0</v>
      </c>
      <c r="N23" s="7">
        <f t="shared" si="19"/>
        <v>0</v>
      </c>
      <c r="O23" s="7">
        <f t="shared" si="19"/>
        <v>0</v>
      </c>
      <c r="P23" s="7">
        <f t="shared" si="19"/>
        <v>0</v>
      </c>
      <c r="Q23" s="7">
        <f t="shared" si="19"/>
        <v>0</v>
      </c>
      <c r="R23" s="7">
        <f t="shared" si="19"/>
        <v>0</v>
      </c>
      <c r="S23" s="7">
        <f t="shared" si="20"/>
        <v>0</v>
      </c>
      <c r="T23" s="7">
        <f t="shared" si="20"/>
        <v>0</v>
      </c>
      <c r="U23" s="7">
        <f t="shared" si="20"/>
        <v>0</v>
      </c>
      <c r="V23" s="7">
        <f t="shared" si="20"/>
        <v>0</v>
      </c>
      <c r="W23" s="7">
        <f t="shared" si="20"/>
        <v>0</v>
      </c>
      <c r="X23" s="7">
        <f t="shared" si="20"/>
        <v>0</v>
      </c>
      <c r="Y23" s="7">
        <f t="shared" si="20"/>
        <v>350</v>
      </c>
      <c r="Z23" s="7">
        <f t="shared" si="20"/>
        <v>0</v>
      </c>
      <c r="AA23" s="7">
        <f t="shared" si="20"/>
        <v>0</v>
      </c>
      <c r="AB23" s="7">
        <f t="shared" si="20"/>
        <v>0</v>
      </c>
      <c r="AC23" s="7">
        <f t="shared" si="21"/>
        <v>0</v>
      </c>
      <c r="AD23" s="7">
        <f t="shared" si="21"/>
        <v>0</v>
      </c>
      <c r="AE23" s="7">
        <f t="shared" si="21"/>
        <v>0</v>
      </c>
      <c r="AF23" s="7">
        <f t="shared" si="21"/>
        <v>0</v>
      </c>
      <c r="AG23" s="7">
        <f t="shared" si="21"/>
        <v>0</v>
      </c>
      <c r="AH23" s="7">
        <f t="shared" si="21"/>
        <v>0</v>
      </c>
      <c r="AI23" s="7">
        <f t="shared" si="21"/>
        <v>0</v>
      </c>
      <c r="AJ23" s="7">
        <f t="shared" si="21"/>
        <v>0</v>
      </c>
      <c r="AK23" s="7">
        <f t="shared" si="21"/>
        <v>0</v>
      </c>
      <c r="AL23" s="7">
        <f t="shared" si="21"/>
        <v>0</v>
      </c>
      <c r="AM23" s="7">
        <f t="shared" si="22"/>
        <v>0</v>
      </c>
      <c r="AN23" s="7">
        <f t="shared" si="22"/>
        <v>0</v>
      </c>
      <c r="AO23" s="7">
        <f t="shared" si="22"/>
        <v>0</v>
      </c>
      <c r="AP23" s="7">
        <f t="shared" si="22"/>
        <v>0</v>
      </c>
      <c r="AQ23" s="7">
        <f t="shared" si="22"/>
        <v>0</v>
      </c>
      <c r="AR23" s="7">
        <f t="shared" si="22"/>
        <v>0</v>
      </c>
    </row>
    <row r="24" spans="2:45" x14ac:dyDescent="0.3">
      <c r="B24" s="1" t="s">
        <v>47</v>
      </c>
      <c r="C24" s="9">
        <f>+Parameters!B14</f>
        <v>450</v>
      </c>
      <c r="D24" s="1">
        <f>+D23+1</f>
        <v>18</v>
      </c>
      <c r="E24" s="1">
        <f>+D24</f>
        <v>18</v>
      </c>
      <c r="F24" s="9">
        <f t="shared" si="23"/>
        <v>450</v>
      </c>
      <c r="G24" s="9">
        <f t="shared" si="18"/>
        <v>450</v>
      </c>
      <c r="H24" s="9"/>
      <c r="I24" s="7">
        <f t="shared" si="19"/>
        <v>0</v>
      </c>
      <c r="J24" s="7">
        <f t="shared" si="19"/>
        <v>0</v>
      </c>
      <c r="K24" s="7">
        <f t="shared" si="19"/>
        <v>0</v>
      </c>
      <c r="L24" s="7">
        <f t="shared" si="19"/>
        <v>0</v>
      </c>
      <c r="M24" s="7">
        <f t="shared" si="19"/>
        <v>0</v>
      </c>
      <c r="N24" s="7">
        <f t="shared" si="19"/>
        <v>0</v>
      </c>
      <c r="O24" s="7">
        <f t="shared" si="19"/>
        <v>0</v>
      </c>
      <c r="P24" s="7">
        <f t="shared" si="19"/>
        <v>0</v>
      </c>
      <c r="Q24" s="7">
        <f t="shared" si="19"/>
        <v>0</v>
      </c>
      <c r="R24" s="7">
        <f t="shared" si="19"/>
        <v>0</v>
      </c>
      <c r="S24" s="7">
        <f t="shared" si="20"/>
        <v>0</v>
      </c>
      <c r="T24" s="7">
        <f t="shared" si="20"/>
        <v>0</v>
      </c>
      <c r="U24" s="7">
        <f t="shared" si="20"/>
        <v>0</v>
      </c>
      <c r="V24" s="7">
        <f t="shared" si="20"/>
        <v>0</v>
      </c>
      <c r="W24" s="7">
        <f t="shared" si="20"/>
        <v>0</v>
      </c>
      <c r="X24" s="7">
        <f t="shared" si="20"/>
        <v>0</v>
      </c>
      <c r="Y24" s="7">
        <f t="shared" si="20"/>
        <v>0</v>
      </c>
      <c r="Z24" s="7">
        <f t="shared" si="20"/>
        <v>450</v>
      </c>
      <c r="AA24" s="7">
        <f t="shared" si="20"/>
        <v>0</v>
      </c>
      <c r="AB24" s="7">
        <f t="shared" si="20"/>
        <v>0</v>
      </c>
      <c r="AC24" s="7">
        <f t="shared" si="21"/>
        <v>0</v>
      </c>
      <c r="AD24" s="7">
        <f t="shared" si="21"/>
        <v>0</v>
      </c>
      <c r="AE24" s="7">
        <f t="shared" si="21"/>
        <v>0</v>
      </c>
      <c r="AF24" s="7">
        <f t="shared" si="21"/>
        <v>0</v>
      </c>
      <c r="AG24" s="7">
        <f t="shared" si="21"/>
        <v>0</v>
      </c>
      <c r="AH24" s="7">
        <f t="shared" si="21"/>
        <v>0</v>
      </c>
      <c r="AI24" s="7">
        <f t="shared" si="21"/>
        <v>0</v>
      </c>
      <c r="AJ24" s="7">
        <f t="shared" si="21"/>
        <v>0</v>
      </c>
      <c r="AK24" s="7">
        <f t="shared" si="21"/>
        <v>0</v>
      </c>
      <c r="AL24" s="7">
        <f t="shared" si="21"/>
        <v>0</v>
      </c>
      <c r="AM24" s="7">
        <f t="shared" si="22"/>
        <v>0</v>
      </c>
      <c r="AN24" s="7">
        <f t="shared" si="22"/>
        <v>0</v>
      </c>
      <c r="AO24" s="7">
        <f t="shared" si="22"/>
        <v>0</v>
      </c>
      <c r="AP24" s="7">
        <f t="shared" si="22"/>
        <v>0</v>
      </c>
      <c r="AQ24" s="7">
        <f t="shared" si="22"/>
        <v>0</v>
      </c>
      <c r="AR24" s="7">
        <f t="shared" si="22"/>
        <v>0</v>
      </c>
    </row>
    <row r="25" spans="2:45" x14ac:dyDescent="0.3">
      <c r="B25" s="1" t="s">
        <v>48</v>
      </c>
      <c r="C25" s="17">
        <f>+Parameters!B15</f>
        <v>4.2500000000000003E-2</v>
      </c>
      <c r="D25" s="1">
        <f>+D24+1</f>
        <v>19</v>
      </c>
      <c r="E25" s="1">
        <v>36</v>
      </c>
      <c r="F25" s="9">
        <f>+F24</f>
        <v>450</v>
      </c>
      <c r="G25" s="9">
        <f t="shared" si="18"/>
        <v>12310.792008215645</v>
      </c>
      <c r="H25" s="9"/>
      <c r="I25" s="14">
        <f t="shared" ref="I25:AR25" si="24">IF(+H25+H24=0,0,((+H25+H24)*(1+I$26)))</f>
        <v>0</v>
      </c>
      <c r="J25" s="14">
        <f t="shared" si="24"/>
        <v>0</v>
      </c>
      <c r="K25" s="14">
        <f t="shared" si="24"/>
        <v>0</v>
      </c>
      <c r="L25" s="14">
        <f t="shared" si="24"/>
        <v>0</v>
      </c>
      <c r="M25" s="14">
        <f t="shared" si="24"/>
        <v>0</v>
      </c>
      <c r="N25" s="14">
        <f t="shared" si="24"/>
        <v>0</v>
      </c>
      <c r="O25" s="14">
        <f t="shared" si="24"/>
        <v>0</v>
      </c>
      <c r="P25" s="14">
        <f t="shared" si="24"/>
        <v>0</v>
      </c>
      <c r="Q25" s="14">
        <f t="shared" si="24"/>
        <v>0</v>
      </c>
      <c r="R25" s="14">
        <f t="shared" si="24"/>
        <v>0</v>
      </c>
      <c r="S25" s="14">
        <f t="shared" si="24"/>
        <v>0</v>
      </c>
      <c r="T25" s="14">
        <f t="shared" si="24"/>
        <v>0</v>
      </c>
      <c r="U25" s="14">
        <f t="shared" si="24"/>
        <v>0</v>
      </c>
      <c r="V25" s="14">
        <f t="shared" si="24"/>
        <v>0</v>
      </c>
      <c r="W25" s="14">
        <f t="shared" si="24"/>
        <v>0</v>
      </c>
      <c r="X25" s="14">
        <f t="shared" si="24"/>
        <v>0</v>
      </c>
      <c r="Y25" s="14">
        <f t="shared" si="24"/>
        <v>0</v>
      </c>
      <c r="Z25" s="14">
        <f t="shared" si="24"/>
        <v>0</v>
      </c>
      <c r="AA25" s="14">
        <f t="shared" si="24"/>
        <v>469.125</v>
      </c>
      <c r="AB25" s="14">
        <f t="shared" si="24"/>
        <v>489.06281250000001</v>
      </c>
      <c r="AC25" s="14">
        <f t="shared" si="24"/>
        <v>509.84798203125001</v>
      </c>
      <c r="AD25" s="14">
        <f t="shared" si="24"/>
        <v>531.51652126757813</v>
      </c>
      <c r="AE25" s="14">
        <f t="shared" si="24"/>
        <v>554.10597342145024</v>
      </c>
      <c r="AF25" s="14">
        <f t="shared" si="24"/>
        <v>577.65547729186187</v>
      </c>
      <c r="AG25" s="14">
        <f t="shared" si="24"/>
        <v>602.20583507676599</v>
      </c>
      <c r="AH25" s="14">
        <f t="shared" si="24"/>
        <v>627.79958306752849</v>
      </c>
      <c r="AI25" s="14">
        <f t="shared" si="24"/>
        <v>654.48106534789849</v>
      </c>
      <c r="AJ25" s="14">
        <f t="shared" si="24"/>
        <v>682.29651062518417</v>
      </c>
      <c r="AK25" s="14">
        <f t="shared" si="24"/>
        <v>711.29411232675443</v>
      </c>
      <c r="AL25" s="14">
        <f t="shared" si="24"/>
        <v>741.52411210064145</v>
      </c>
      <c r="AM25" s="14">
        <f t="shared" si="24"/>
        <v>773.03888686491871</v>
      </c>
      <c r="AN25" s="14">
        <f t="shared" si="24"/>
        <v>805.89303955667776</v>
      </c>
      <c r="AO25" s="14">
        <f t="shared" si="24"/>
        <v>840.14349373783659</v>
      </c>
      <c r="AP25" s="14">
        <f t="shared" si="24"/>
        <v>875.84959222169459</v>
      </c>
      <c r="AQ25" s="14">
        <f t="shared" si="24"/>
        <v>913.07319989111659</v>
      </c>
      <c r="AR25" s="14">
        <f t="shared" si="24"/>
        <v>951.87881088648908</v>
      </c>
    </row>
    <row r="26" spans="2:45" x14ac:dyDescent="0.3">
      <c r="B26" s="1" t="s">
        <v>51</v>
      </c>
      <c r="C26" s="13"/>
      <c r="D26" s="1"/>
      <c r="E26" s="1"/>
      <c r="F26" s="9"/>
      <c r="G26" s="9">
        <f>SUM(G22:G25)</f>
        <v>13310.792008215645</v>
      </c>
      <c r="H26" s="9"/>
      <c r="I26" s="17">
        <f>+Parameters!N9</f>
        <v>4.2500000000000003E-2</v>
      </c>
      <c r="J26" s="17">
        <f>+Parameters!N10</f>
        <v>4.2500000000000003E-2</v>
      </c>
      <c r="K26" s="17">
        <f>+Parameters!N11</f>
        <v>4.2500000000000003E-2</v>
      </c>
      <c r="L26" s="17">
        <f>+Parameters!N12</f>
        <v>4.2500000000000003E-2</v>
      </c>
      <c r="M26" s="17">
        <f>+Parameters!N13</f>
        <v>4.2500000000000003E-2</v>
      </c>
      <c r="N26" s="17">
        <f>+Parameters!N14</f>
        <v>4.2500000000000003E-2</v>
      </c>
      <c r="O26" s="17">
        <f>+Parameters!N15</f>
        <v>4.2500000000000003E-2</v>
      </c>
      <c r="P26" s="17">
        <f>+Parameters!N16</f>
        <v>4.2500000000000003E-2</v>
      </c>
      <c r="Q26" s="17">
        <f>+Parameters!N17</f>
        <v>4.2500000000000003E-2</v>
      </c>
      <c r="R26" s="17">
        <f>+Parameters!N18</f>
        <v>4.2500000000000003E-2</v>
      </c>
      <c r="S26" s="17">
        <f>+Parameters!N19</f>
        <v>4.2500000000000003E-2</v>
      </c>
      <c r="T26" s="17">
        <f>+Parameters!N20</f>
        <v>4.2500000000000003E-2</v>
      </c>
      <c r="U26" s="17">
        <f>+Parameters!N21</f>
        <v>4.2500000000000003E-2</v>
      </c>
      <c r="V26" s="17">
        <f>+Parameters!N22</f>
        <v>4.2500000000000003E-2</v>
      </c>
      <c r="W26" s="17">
        <f>+Parameters!N23</f>
        <v>4.2500000000000003E-2</v>
      </c>
      <c r="X26" s="17">
        <f>+Parameters!N24</f>
        <v>4.2500000000000003E-2</v>
      </c>
      <c r="Y26" s="17">
        <f>+Parameters!N25</f>
        <v>4.2500000000000003E-2</v>
      </c>
      <c r="Z26" s="17">
        <f>+Parameters!N26</f>
        <v>4.2500000000000003E-2</v>
      </c>
      <c r="AA26" s="17">
        <f>+Parameters!N27</f>
        <v>4.2500000000000003E-2</v>
      </c>
      <c r="AB26" s="17">
        <f>+Parameters!N28</f>
        <v>4.2500000000000003E-2</v>
      </c>
      <c r="AC26" s="17">
        <f>+Parameters!N29</f>
        <v>4.2500000000000003E-2</v>
      </c>
      <c r="AD26" s="17">
        <f>+Parameters!N30</f>
        <v>4.2500000000000003E-2</v>
      </c>
      <c r="AE26" s="17">
        <f>+Parameters!N31</f>
        <v>4.2500000000000003E-2</v>
      </c>
      <c r="AF26" s="17">
        <f>+Parameters!N32</f>
        <v>4.2500000000000003E-2</v>
      </c>
      <c r="AG26" s="17">
        <f>+Parameters!N33</f>
        <v>4.2500000000000003E-2</v>
      </c>
      <c r="AH26" s="17">
        <f>+Parameters!N34</f>
        <v>4.2500000000000003E-2</v>
      </c>
      <c r="AI26" s="17">
        <f>+Parameters!N35</f>
        <v>4.2500000000000003E-2</v>
      </c>
      <c r="AJ26" s="17">
        <f>+Parameters!N36</f>
        <v>4.2500000000000003E-2</v>
      </c>
      <c r="AK26" s="17">
        <f>+Parameters!N37</f>
        <v>4.2500000000000003E-2</v>
      </c>
      <c r="AL26" s="17">
        <f>+Parameters!N38</f>
        <v>4.2500000000000003E-2</v>
      </c>
      <c r="AM26" s="17">
        <f>+Parameters!N39</f>
        <v>4.2500000000000003E-2</v>
      </c>
      <c r="AN26" s="17">
        <f>+Parameters!N40</f>
        <v>4.2500000000000003E-2</v>
      </c>
      <c r="AO26" s="17">
        <f>+Parameters!N41</f>
        <v>4.2500000000000003E-2</v>
      </c>
      <c r="AP26" s="17">
        <f>+Parameters!N42</f>
        <v>4.2500000000000003E-2</v>
      </c>
      <c r="AQ26" s="17">
        <f>+Parameters!N43</f>
        <v>4.2500000000000003E-2</v>
      </c>
      <c r="AR26" s="17">
        <f>+Parameters!N44</f>
        <v>4.2500000000000003E-2</v>
      </c>
    </row>
    <row r="27" spans="2:45" x14ac:dyDescent="0.3">
      <c r="B27" s="1" t="s">
        <v>129</v>
      </c>
      <c r="C27" s="13"/>
      <c r="D27" s="1"/>
      <c r="E27" s="1"/>
      <c r="F27" s="9"/>
      <c r="G27" s="9"/>
      <c r="H27" s="9"/>
      <c r="I27" s="16">
        <f>+I36/$C$36</f>
        <v>0</v>
      </c>
      <c r="J27" s="16">
        <f t="shared" ref="J27:AR27" si="25">+J36/$C$36</f>
        <v>0</v>
      </c>
      <c r="K27" s="16">
        <f t="shared" si="25"/>
        <v>0</v>
      </c>
      <c r="L27" s="16">
        <f t="shared" si="25"/>
        <v>0</v>
      </c>
      <c r="M27" s="16">
        <f t="shared" si="25"/>
        <v>0</v>
      </c>
      <c r="N27" s="16">
        <f t="shared" si="25"/>
        <v>0</v>
      </c>
      <c r="O27" s="16">
        <f t="shared" si="25"/>
        <v>0</v>
      </c>
      <c r="P27" s="16">
        <f t="shared" si="25"/>
        <v>0</v>
      </c>
      <c r="Q27" s="16">
        <f t="shared" si="25"/>
        <v>0</v>
      </c>
      <c r="R27" s="16">
        <f t="shared" si="25"/>
        <v>0</v>
      </c>
      <c r="S27" s="16">
        <f t="shared" si="25"/>
        <v>0</v>
      </c>
      <c r="T27" s="16">
        <f t="shared" si="25"/>
        <v>0</v>
      </c>
      <c r="U27" s="16">
        <f t="shared" si="25"/>
        <v>0</v>
      </c>
      <c r="V27" s="16">
        <f t="shared" si="25"/>
        <v>0</v>
      </c>
      <c r="W27" s="16">
        <f t="shared" si="25"/>
        <v>0</v>
      </c>
      <c r="X27" s="16">
        <f t="shared" si="25"/>
        <v>0</v>
      </c>
      <c r="Y27" s="16">
        <f t="shared" si="25"/>
        <v>0</v>
      </c>
      <c r="Z27" s="16">
        <f t="shared" si="25"/>
        <v>0</v>
      </c>
      <c r="AA27" s="16">
        <f t="shared" si="25"/>
        <v>0</v>
      </c>
      <c r="AB27" s="16">
        <f t="shared" si="25"/>
        <v>0</v>
      </c>
      <c r="AC27" s="16">
        <f t="shared" si="25"/>
        <v>0</v>
      </c>
      <c r="AD27" s="16">
        <f t="shared" si="25"/>
        <v>10</v>
      </c>
      <c r="AE27" s="16">
        <f t="shared" si="25"/>
        <v>17.5</v>
      </c>
      <c r="AF27" s="16">
        <f t="shared" si="25"/>
        <v>22.5</v>
      </c>
      <c r="AG27" s="16">
        <f t="shared" si="25"/>
        <v>23.456250000000001</v>
      </c>
      <c r="AH27" s="16">
        <f t="shared" si="25"/>
        <v>24.453140625000003</v>
      </c>
      <c r="AI27" s="16">
        <f t="shared" si="25"/>
        <v>25.492399101562501</v>
      </c>
      <c r="AJ27" s="16">
        <f t="shared" si="25"/>
        <v>27.075826063378909</v>
      </c>
      <c r="AK27" s="16">
        <f t="shared" si="25"/>
        <v>28.580298671072512</v>
      </c>
      <c r="AL27" s="16">
        <f t="shared" si="25"/>
        <v>30.007773864593094</v>
      </c>
      <c r="AM27" s="16">
        <f t="shared" si="25"/>
        <v>31.2831042538383</v>
      </c>
      <c r="AN27" s="16">
        <f t="shared" si="25"/>
        <v>32.612636184626425</v>
      </c>
      <c r="AO27" s="16">
        <f t="shared" si="25"/>
        <v>33.998673222473052</v>
      </c>
      <c r="AP27" s="16">
        <f t="shared" si="25"/>
        <v>35.468616834428154</v>
      </c>
      <c r="AQ27" s="16">
        <f t="shared" si="25"/>
        <v>36.99372054989135</v>
      </c>
      <c r="AR27" s="16">
        <f t="shared" si="25"/>
        <v>38.576594298261732</v>
      </c>
    </row>
    <row r="28" spans="2:45" x14ac:dyDescent="0.3">
      <c r="B28" s="3" t="s">
        <v>59</v>
      </c>
      <c r="C28" s="13"/>
      <c r="D28" s="1"/>
      <c r="E28" s="1"/>
      <c r="F28" s="9"/>
      <c r="G28" s="9">
        <f>SUM(I28:AR28)</f>
        <v>13728.791041884771</v>
      </c>
      <c r="H28" s="9"/>
      <c r="I28" s="9">
        <f>SUM(I22:I25)+I27</f>
        <v>0</v>
      </c>
      <c r="J28" s="9">
        <f t="shared" ref="J28:AR28" si="26">SUM(J22:J25)+J27</f>
        <v>0</v>
      </c>
      <c r="K28" s="9">
        <f t="shared" si="26"/>
        <v>0</v>
      </c>
      <c r="L28" s="9">
        <f t="shared" si="26"/>
        <v>0</v>
      </c>
      <c r="M28" s="9">
        <f t="shared" si="26"/>
        <v>0</v>
      </c>
      <c r="N28" s="9">
        <f t="shared" si="26"/>
        <v>0</v>
      </c>
      <c r="O28" s="9">
        <f t="shared" si="26"/>
        <v>0</v>
      </c>
      <c r="P28" s="9">
        <f t="shared" si="26"/>
        <v>0</v>
      </c>
      <c r="Q28" s="9">
        <f t="shared" si="26"/>
        <v>0</v>
      </c>
      <c r="R28" s="9">
        <f>Parameters!B6718</f>
        <v>0</v>
      </c>
      <c r="S28" s="9">
        <f t="shared" si="26"/>
        <v>0</v>
      </c>
      <c r="T28" s="9">
        <f t="shared" si="26"/>
        <v>0</v>
      </c>
      <c r="U28" s="9">
        <f t="shared" si="26"/>
        <v>0</v>
      </c>
      <c r="V28" s="9">
        <f t="shared" si="26"/>
        <v>0</v>
      </c>
      <c r="W28" s="9">
        <f t="shared" si="26"/>
        <v>0</v>
      </c>
      <c r="X28" s="9">
        <f t="shared" si="26"/>
        <v>200</v>
      </c>
      <c r="Y28" s="9">
        <f t="shared" si="26"/>
        <v>350</v>
      </c>
      <c r="Z28" s="9">
        <f t="shared" si="26"/>
        <v>450</v>
      </c>
      <c r="AA28" s="9">
        <f t="shared" si="26"/>
        <v>469.125</v>
      </c>
      <c r="AB28" s="9">
        <f t="shared" si="26"/>
        <v>489.06281250000001</v>
      </c>
      <c r="AC28" s="9">
        <f t="shared" si="26"/>
        <v>509.84798203125001</v>
      </c>
      <c r="AD28" s="9">
        <f t="shared" si="26"/>
        <v>541.51652126757813</v>
      </c>
      <c r="AE28" s="9">
        <f t="shared" si="26"/>
        <v>571.60597342145024</v>
      </c>
      <c r="AF28" s="9">
        <f t="shared" si="26"/>
        <v>600.15547729186187</v>
      </c>
      <c r="AG28" s="9">
        <f t="shared" si="26"/>
        <v>625.66208507676595</v>
      </c>
      <c r="AH28" s="9">
        <f t="shared" si="26"/>
        <v>652.25272369252843</v>
      </c>
      <c r="AI28" s="9">
        <f t="shared" si="26"/>
        <v>679.97346444946095</v>
      </c>
      <c r="AJ28" s="9">
        <f t="shared" si="26"/>
        <v>709.37233668856311</v>
      </c>
      <c r="AK28" s="9">
        <f t="shared" si="26"/>
        <v>739.874410997827</v>
      </c>
      <c r="AL28" s="9">
        <f t="shared" si="26"/>
        <v>771.53188596523455</v>
      </c>
      <c r="AM28" s="9">
        <f t="shared" si="26"/>
        <v>804.32199111875696</v>
      </c>
      <c r="AN28" s="9">
        <f t="shared" si="26"/>
        <v>838.50567574130423</v>
      </c>
      <c r="AO28" s="9">
        <f t="shared" si="26"/>
        <v>874.14216696030962</v>
      </c>
      <c r="AP28" s="9">
        <f t="shared" si="26"/>
        <v>911.31820905612278</v>
      </c>
      <c r="AQ28" s="9">
        <f t="shared" si="26"/>
        <v>950.06692044100794</v>
      </c>
      <c r="AR28" s="9">
        <f t="shared" si="26"/>
        <v>990.45540518475082</v>
      </c>
      <c r="AS28" s="9"/>
    </row>
    <row r="29" spans="2:45" x14ac:dyDescent="0.3">
      <c r="B29" s="38" t="s">
        <v>97</v>
      </c>
      <c r="C29" s="13"/>
      <c r="D29" s="1"/>
      <c r="E29" s="1"/>
      <c r="F29" s="9" t="s">
        <v>123</v>
      </c>
      <c r="G29" s="9"/>
      <c r="H29" s="9"/>
      <c r="I29" s="9">
        <f>+I28</f>
        <v>0</v>
      </c>
      <c r="J29" s="9">
        <f>+I29+J28</f>
        <v>0</v>
      </c>
      <c r="K29" s="9">
        <f t="shared" ref="K29:AR29" si="27">+J29+K28</f>
        <v>0</v>
      </c>
      <c r="L29" s="9">
        <f t="shared" si="27"/>
        <v>0</v>
      </c>
      <c r="M29" s="9">
        <f t="shared" si="27"/>
        <v>0</v>
      </c>
      <c r="N29" s="9">
        <f t="shared" si="27"/>
        <v>0</v>
      </c>
      <c r="O29" s="9">
        <f t="shared" si="27"/>
        <v>0</v>
      </c>
      <c r="P29" s="9">
        <f t="shared" si="27"/>
        <v>0</v>
      </c>
      <c r="Q29" s="9">
        <f t="shared" si="27"/>
        <v>0</v>
      </c>
      <c r="R29" s="9">
        <f t="shared" si="27"/>
        <v>0</v>
      </c>
      <c r="S29" s="9">
        <f t="shared" si="27"/>
        <v>0</v>
      </c>
      <c r="T29" s="9">
        <f t="shared" si="27"/>
        <v>0</v>
      </c>
      <c r="U29" s="9">
        <f t="shared" si="27"/>
        <v>0</v>
      </c>
      <c r="V29" s="9">
        <f t="shared" si="27"/>
        <v>0</v>
      </c>
      <c r="W29" s="9">
        <f t="shared" si="27"/>
        <v>0</v>
      </c>
      <c r="X29" s="9">
        <f t="shared" si="27"/>
        <v>200</v>
      </c>
      <c r="Y29" s="9">
        <f t="shared" si="27"/>
        <v>550</v>
      </c>
      <c r="Z29" s="9">
        <f t="shared" si="27"/>
        <v>1000</v>
      </c>
      <c r="AA29" s="9">
        <f t="shared" si="27"/>
        <v>1469.125</v>
      </c>
      <c r="AB29" s="9">
        <f t="shared" si="27"/>
        <v>1958.1878125000001</v>
      </c>
      <c r="AC29" s="9">
        <f t="shared" si="27"/>
        <v>2468.0357945312498</v>
      </c>
      <c r="AD29" s="9">
        <f t="shared" si="27"/>
        <v>3009.5523157988282</v>
      </c>
      <c r="AE29" s="9">
        <f t="shared" si="27"/>
        <v>3581.1582892202787</v>
      </c>
      <c r="AF29" s="9">
        <f t="shared" si="27"/>
        <v>4181.3137665121403</v>
      </c>
      <c r="AG29" s="9">
        <f t="shared" si="27"/>
        <v>4806.9758515889062</v>
      </c>
      <c r="AH29" s="9">
        <f t="shared" si="27"/>
        <v>5459.228575281435</v>
      </c>
      <c r="AI29" s="9">
        <f t="shared" si="27"/>
        <v>6139.2020397308961</v>
      </c>
      <c r="AJ29" s="9">
        <f t="shared" si="27"/>
        <v>6848.5743764194594</v>
      </c>
      <c r="AK29" s="9">
        <f t="shared" si="27"/>
        <v>7588.4487874172864</v>
      </c>
      <c r="AL29" s="9">
        <f t="shared" si="27"/>
        <v>8359.9806733825208</v>
      </c>
      <c r="AM29" s="9">
        <f t="shared" si="27"/>
        <v>9164.3026645012778</v>
      </c>
      <c r="AN29" s="9">
        <f t="shared" si="27"/>
        <v>10002.808340242582</v>
      </c>
      <c r="AO29" s="9">
        <f t="shared" si="27"/>
        <v>10876.950507202891</v>
      </c>
      <c r="AP29" s="9">
        <f t="shared" si="27"/>
        <v>11788.268716259014</v>
      </c>
      <c r="AQ29" s="9">
        <f t="shared" si="27"/>
        <v>12738.335636700021</v>
      </c>
      <c r="AR29" s="9">
        <f t="shared" si="27"/>
        <v>13728.791041884771</v>
      </c>
      <c r="AS29" s="9"/>
    </row>
    <row r="30" spans="2:45" x14ac:dyDescent="0.3">
      <c r="B30" s="38" t="s">
        <v>129</v>
      </c>
      <c r="C30" s="17">
        <f>Parameters!B22</f>
        <v>0.05</v>
      </c>
      <c r="D30" s="1">
        <f>Parameters!D22</f>
        <v>6</v>
      </c>
      <c r="E30" s="1"/>
      <c r="F30" s="9">
        <f>ROW(B28)</f>
        <v>28</v>
      </c>
      <c r="G30" s="9">
        <f>SUM(I30:AR30)</f>
        <v>417.99903366912599</v>
      </c>
      <c r="H30" s="9"/>
      <c r="I30" s="9">
        <f>_xlfn.IFNA(HLOOKUP((HLOOKUP((I1-$D$30),$I$1:$AR$1,1,FALSE)),$I$1:$AR$30,$F$30,FALSE),0)*$C$30</f>
        <v>0</v>
      </c>
      <c r="J30" s="9">
        <f t="shared" ref="J30:P30" si="28">_xlfn.IFNA(HLOOKUP((HLOOKUP((J1-$D$30),$I$1:$AR$1,1,FALSE)),$I$1:$AR$30,$F$30,FALSE),0)*$C$30</f>
        <v>0</v>
      </c>
      <c r="K30" s="9">
        <f t="shared" si="28"/>
        <v>0</v>
      </c>
      <c r="L30" s="9">
        <f t="shared" si="28"/>
        <v>0</v>
      </c>
      <c r="M30" s="9">
        <f t="shared" si="28"/>
        <v>0</v>
      </c>
      <c r="N30" s="9">
        <f t="shared" si="28"/>
        <v>0</v>
      </c>
      <c r="O30" s="9">
        <f t="shared" si="28"/>
        <v>0</v>
      </c>
      <c r="P30" s="9">
        <f t="shared" si="28"/>
        <v>0</v>
      </c>
      <c r="Q30" s="9">
        <f>_xlfn.IFNA(HLOOKUP((HLOOKUP((Q1-$D$30),$I$1:$AR$1,1,FALSE)),$I$1:$AR$30,$F$30,FALSE),0)*$C$30</f>
        <v>0</v>
      </c>
      <c r="R30" s="9">
        <f t="shared" ref="R30:AR30" si="29">_xlfn.IFNA(HLOOKUP((HLOOKUP((R1-$D$30),$I$1:$AR$1,1,FALSE)),$I$1:$AR$30,$F$30,FALSE),0)*$C$30</f>
        <v>0</v>
      </c>
      <c r="S30" s="9">
        <f t="shared" si="29"/>
        <v>0</v>
      </c>
      <c r="T30" s="9">
        <f t="shared" si="29"/>
        <v>0</v>
      </c>
      <c r="U30" s="9">
        <f t="shared" si="29"/>
        <v>0</v>
      </c>
      <c r="V30" s="9">
        <f t="shared" si="29"/>
        <v>0</v>
      </c>
      <c r="W30" s="9">
        <f t="shared" si="29"/>
        <v>0</v>
      </c>
      <c r="X30" s="9">
        <f t="shared" si="29"/>
        <v>0</v>
      </c>
      <c r="Y30" s="9">
        <f t="shared" si="29"/>
        <v>0</v>
      </c>
      <c r="Z30" s="9">
        <f t="shared" si="29"/>
        <v>0</v>
      </c>
      <c r="AA30" s="9">
        <f t="shared" si="29"/>
        <v>0</v>
      </c>
      <c r="AB30" s="9">
        <f t="shared" si="29"/>
        <v>0</v>
      </c>
      <c r="AC30" s="9">
        <f t="shared" si="29"/>
        <v>0</v>
      </c>
      <c r="AD30" s="9">
        <f t="shared" si="29"/>
        <v>10</v>
      </c>
      <c r="AE30" s="9">
        <f t="shared" si="29"/>
        <v>17.5</v>
      </c>
      <c r="AF30" s="9">
        <f t="shared" si="29"/>
        <v>22.5</v>
      </c>
      <c r="AG30" s="9">
        <f t="shared" si="29"/>
        <v>23.456250000000001</v>
      </c>
      <c r="AH30" s="9">
        <f t="shared" si="29"/>
        <v>24.453140625000003</v>
      </c>
      <c r="AI30" s="9">
        <f t="shared" si="29"/>
        <v>25.492399101562501</v>
      </c>
      <c r="AJ30" s="9">
        <f t="shared" si="29"/>
        <v>27.075826063378909</v>
      </c>
      <c r="AK30" s="9">
        <f t="shared" si="29"/>
        <v>28.580298671072512</v>
      </c>
      <c r="AL30" s="9">
        <f t="shared" si="29"/>
        <v>30.007773864593094</v>
      </c>
      <c r="AM30" s="9">
        <f t="shared" si="29"/>
        <v>31.2831042538383</v>
      </c>
      <c r="AN30" s="9">
        <f t="shared" si="29"/>
        <v>32.612636184626425</v>
      </c>
      <c r="AO30" s="9">
        <f t="shared" si="29"/>
        <v>33.998673222473052</v>
      </c>
      <c r="AP30" s="9">
        <f t="shared" si="29"/>
        <v>35.468616834428154</v>
      </c>
      <c r="AQ30" s="9">
        <f t="shared" si="29"/>
        <v>36.99372054989135</v>
      </c>
      <c r="AR30" s="9">
        <f t="shared" si="29"/>
        <v>38.576594298261732</v>
      </c>
      <c r="AS30" s="9"/>
    </row>
    <row r="31" spans="2:45" x14ac:dyDescent="0.3">
      <c r="B31" s="38" t="s">
        <v>131</v>
      </c>
      <c r="C31" s="17"/>
      <c r="D31" s="1"/>
      <c r="E31" s="1"/>
      <c r="F31" s="9"/>
      <c r="G31" s="9"/>
      <c r="H31" s="9"/>
      <c r="I31" s="9">
        <f>+I29-I30</f>
        <v>0</v>
      </c>
      <c r="J31" s="9">
        <f t="shared" ref="J31:AR31" si="30">+J29-J30</f>
        <v>0</v>
      </c>
      <c r="K31" s="9">
        <f t="shared" si="30"/>
        <v>0</v>
      </c>
      <c r="L31" s="9">
        <f t="shared" si="30"/>
        <v>0</v>
      </c>
      <c r="M31" s="9">
        <f t="shared" si="30"/>
        <v>0</v>
      </c>
      <c r="N31" s="9">
        <f t="shared" si="30"/>
        <v>0</v>
      </c>
      <c r="O31" s="9">
        <f t="shared" si="30"/>
        <v>0</v>
      </c>
      <c r="P31" s="9">
        <f t="shared" si="30"/>
        <v>0</v>
      </c>
      <c r="Q31" s="9">
        <f t="shared" si="30"/>
        <v>0</v>
      </c>
      <c r="R31" s="9">
        <f t="shared" si="30"/>
        <v>0</v>
      </c>
      <c r="S31" s="9">
        <f t="shared" si="30"/>
        <v>0</v>
      </c>
      <c r="T31" s="9">
        <f t="shared" si="30"/>
        <v>0</v>
      </c>
      <c r="U31" s="9">
        <f t="shared" si="30"/>
        <v>0</v>
      </c>
      <c r="V31" s="9">
        <f t="shared" si="30"/>
        <v>0</v>
      </c>
      <c r="W31" s="9">
        <f t="shared" si="30"/>
        <v>0</v>
      </c>
      <c r="X31" s="9">
        <f t="shared" si="30"/>
        <v>200</v>
      </c>
      <c r="Y31" s="9">
        <f t="shared" si="30"/>
        <v>550</v>
      </c>
      <c r="Z31" s="9">
        <f t="shared" si="30"/>
        <v>1000</v>
      </c>
      <c r="AA31" s="9">
        <f t="shared" si="30"/>
        <v>1469.125</v>
      </c>
      <c r="AB31" s="9">
        <f t="shared" si="30"/>
        <v>1958.1878125000001</v>
      </c>
      <c r="AC31" s="9">
        <f t="shared" si="30"/>
        <v>2468.0357945312498</v>
      </c>
      <c r="AD31" s="9">
        <f t="shared" si="30"/>
        <v>2999.5523157988282</v>
      </c>
      <c r="AE31" s="9">
        <f t="shared" si="30"/>
        <v>3563.6582892202787</v>
      </c>
      <c r="AF31" s="9">
        <f t="shared" si="30"/>
        <v>4158.8137665121403</v>
      </c>
      <c r="AG31" s="9">
        <f t="shared" si="30"/>
        <v>4783.519601588906</v>
      </c>
      <c r="AH31" s="9">
        <f t="shared" si="30"/>
        <v>5434.7754346564352</v>
      </c>
      <c r="AI31" s="9">
        <f t="shared" si="30"/>
        <v>6113.709640629334</v>
      </c>
      <c r="AJ31" s="9">
        <f t="shared" si="30"/>
        <v>6821.4985503560802</v>
      </c>
      <c r="AK31" s="9">
        <f t="shared" si="30"/>
        <v>7559.8684887462141</v>
      </c>
      <c r="AL31" s="9">
        <f t="shared" si="30"/>
        <v>8329.9728995179285</v>
      </c>
      <c r="AM31" s="9">
        <f t="shared" si="30"/>
        <v>9133.0195602474396</v>
      </c>
      <c r="AN31" s="9">
        <f t="shared" si="30"/>
        <v>9970.1957040579546</v>
      </c>
      <c r="AO31" s="9">
        <f t="shared" si="30"/>
        <v>10842.951833980418</v>
      </c>
      <c r="AP31" s="9">
        <f t="shared" si="30"/>
        <v>11752.800099424585</v>
      </c>
      <c r="AQ31" s="9">
        <f t="shared" si="30"/>
        <v>12701.34191615013</v>
      </c>
      <c r="AR31" s="9">
        <f t="shared" si="30"/>
        <v>13690.21444758651</v>
      </c>
      <c r="AS31" s="9"/>
    </row>
    <row r="32" spans="2:45" x14ac:dyDescent="0.3">
      <c r="B32" s="3" t="s">
        <v>50</v>
      </c>
      <c r="C32" s="13"/>
      <c r="D32" s="1"/>
      <c r="E32" s="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2:45" x14ac:dyDescent="0.3">
      <c r="B33" s="1" t="s">
        <v>122</v>
      </c>
      <c r="C33" s="16">
        <f>Parameters!B16</f>
        <v>300</v>
      </c>
      <c r="D33" s="1"/>
      <c r="E33" s="1"/>
      <c r="F33" s="9"/>
      <c r="G33" s="9">
        <f t="shared" ref="G33:G46" si="31">SUM(I33:AR33)</f>
        <v>3867837.8923639553</v>
      </c>
      <c r="H33" s="9"/>
      <c r="I33" s="9">
        <f>(+SUM(I22:I25)-I30)*$C$33</f>
        <v>0</v>
      </c>
      <c r="J33" s="9">
        <f t="shared" ref="J33:AR33" si="32">(+SUM(J22:J25)-J30)*$C$33</f>
        <v>0</v>
      </c>
      <c r="K33" s="9">
        <f t="shared" si="32"/>
        <v>0</v>
      </c>
      <c r="L33" s="9">
        <f t="shared" si="32"/>
        <v>0</v>
      </c>
      <c r="M33" s="9">
        <f t="shared" si="32"/>
        <v>0</v>
      </c>
      <c r="N33" s="9">
        <f t="shared" si="32"/>
        <v>0</v>
      </c>
      <c r="O33" s="9">
        <f t="shared" si="32"/>
        <v>0</v>
      </c>
      <c r="P33" s="9">
        <f t="shared" si="32"/>
        <v>0</v>
      </c>
      <c r="Q33" s="9">
        <f t="shared" si="32"/>
        <v>0</v>
      </c>
      <c r="R33" s="9">
        <f t="shared" si="32"/>
        <v>0</v>
      </c>
      <c r="S33" s="9">
        <f t="shared" si="32"/>
        <v>0</v>
      </c>
      <c r="T33" s="9">
        <f t="shared" si="32"/>
        <v>0</v>
      </c>
      <c r="U33" s="9">
        <f t="shared" si="32"/>
        <v>0</v>
      </c>
      <c r="V33" s="9">
        <f t="shared" si="32"/>
        <v>0</v>
      </c>
      <c r="W33" s="9">
        <f t="shared" si="32"/>
        <v>0</v>
      </c>
      <c r="X33" s="9">
        <f t="shared" si="32"/>
        <v>60000</v>
      </c>
      <c r="Y33" s="9">
        <f t="shared" si="32"/>
        <v>105000</v>
      </c>
      <c r="Z33" s="9">
        <f t="shared" si="32"/>
        <v>135000</v>
      </c>
      <c r="AA33" s="9">
        <f t="shared" si="32"/>
        <v>140737.5</v>
      </c>
      <c r="AB33" s="9">
        <f t="shared" si="32"/>
        <v>146718.84375</v>
      </c>
      <c r="AC33" s="9">
        <f t="shared" si="32"/>
        <v>152954.39460937501</v>
      </c>
      <c r="AD33" s="9">
        <f t="shared" si="32"/>
        <v>156454.95638027345</v>
      </c>
      <c r="AE33" s="9">
        <f t="shared" si="32"/>
        <v>160981.79202643508</v>
      </c>
      <c r="AF33" s="9">
        <f t="shared" si="32"/>
        <v>166546.64318755857</v>
      </c>
      <c r="AG33" s="9">
        <f t="shared" si="32"/>
        <v>173624.8755230298</v>
      </c>
      <c r="AH33" s="9">
        <f t="shared" si="32"/>
        <v>181003.93273275855</v>
      </c>
      <c r="AI33" s="9">
        <f t="shared" si="32"/>
        <v>188696.59987390082</v>
      </c>
      <c r="AJ33" s="9">
        <f t="shared" si="32"/>
        <v>196566.20536854156</v>
      </c>
      <c r="AK33" s="9">
        <f t="shared" si="32"/>
        <v>204814.14409670455</v>
      </c>
      <c r="AL33" s="9">
        <f t="shared" si="32"/>
        <v>213454.90147081451</v>
      </c>
      <c r="AM33" s="9">
        <f t="shared" si="32"/>
        <v>222526.73478332415</v>
      </c>
      <c r="AN33" s="9">
        <f t="shared" si="32"/>
        <v>231984.12101161538</v>
      </c>
      <c r="AO33" s="9">
        <f t="shared" si="32"/>
        <v>241843.44615460906</v>
      </c>
      <c r="AP33" s="9">
        <f t="shared" si="32"/>
        <v>252114.29261617991</v>
      </c>
      <c r="AQ33" s="9">
        <f t="shared" si="32"/>
        <v>262823.84380236757</v>
      </c>
      <c r="AR33" s="9">
        <f t="shared" si="32"/>
        <v>273990.66497646819</v>
      </c>
      <c r="AS33" s="9"/>
    </row>
    <row r="34" spans="2:45" x14ac:dyDescent="0.3">
      <c r="B34" s="1" t="s">
        <v>95</v>
      </c>
      <c r="C34" s="16"/>
      <c r="D34" s="1"/>
      <c r="E34" s="1"/>
      <c r="F34" s="9" t="s">
        <v>123</v>
      </c>
      <c r="G34" s="9">
        <f t="shared" si="31"/>
        <v>36047178.55828058</v>
      </c>
      <c r="H34" s="9"/>
      <c r="I34" s="9">
        <f>+I33</f>
        <v>0</v>
      </c>
      <c r="J34" s="9">
        <f>+I34+J33</f>
        <v>0</v>
      </c>
      <c r="K34" s="9">
        <f t="shared" ref="K34:AR34" si="33">+J34+K33</f>
        <v>0</v>
      </c>
      <c r="L34" s="9">
        <f t="shared" si="33"/>
        <v>0</v>
      </c>
      <c r="M34" s="9">
        <f t="shared" si="33"/>
        <v>0</v>
      </c>
      <c r="N34" s="9">
        <f t="shared" si="33"/>
        <v>0</v>
      </c>
      <c r="O34" s="9">
        <f t="shared" si="33"/>
        <v>0</v>
      </c>
      <c r="P34" s="9">
        <f t="shared" si="33"/>
        <v>0</v>
      </c>
      <c r="Q34" s="9">
        <f t="shared" si="33"/>
        <v>0</v>
      </c>
      <c r="R34" s="9">
        <f t="shared" si="33"/>
        <v>0</v>
      </c>
      <c r="S34" s="9">
        <f t="shared" si="33"/>
        <v>0</v>
      </c>
      <c r="T34" s="9">
        <f t="shared" si="33"/>
        <v>0</v>
      </c>
      <c r="U34" s="9">
        <f t="shared" si="33"/>
        <v>0</v>
      </c>
      <c r="V34" s="9">
        <f t="shared" si="33"/>
        <v>0</v>
      </c>
      <c r="W34" s="9">
        <f t="shared" si="33"/>
        <v>0</v>
      </c>
      <c r="X34" s="9">
        <f t="shared" si="33"/>
        <v>60000</v>
      </c>
      <c r="Y34" s="9">
        <f t="shared" si="33"/>
        <v>165000</v>
      </c>
      <c r="Z34" s="9">
        <f t="shared" si="33"/>
        <v>300000</v>
      </c>
      <c r="AA34" s="9">
        <f t="shared" si="33"/>
        <v>440737.5</v>
      </c>
      <c r="AB34" s="9">
        <f t="shared" si="33"/>
        <v>587456.34375</v>
      </c>
      <c r="AC34" s="9">
        <f t="shared" si="33"/>
        <v>740410.73835937504</v>
      </c>
      <c r="AD34" s="9">
        <f t="shared" si="33"/>
        <v>896865.69473964849</v>
      </c>
      <c r="AE34" s="9">
        <f t="shared" si="33"/>
        <v>1057847.4867660836</v>
      </c>
      <c r="AF34" s="9">
        <f t="shared" si="33"/>
        <v>1224394.1299536421</v>
      </c>
      <c r="AG34" s="9">
        <f t="shared" si="33"/>
        <v>1398019.005476672</v>
      </c>
      <c r="AH34" s="9">
        <f t="shared" si="33"/>
        <v>1579022.9382094305</v>
      </c>
      <c r="AI34" s="9">
        <f t="shared" si="33"/>
        <v>1767719.5380833314</v>
      </c>
      <c r="AJ34" s="9">
        <f t="shared" si="33"/>
        <v>1964285.7434518731</v>
      </c>
      <c r="AK34" s="9">
        <f t="shared" si="33"/>
        <v>2169099.8875485775</v>
      </c>
      <c r="AL34" s="9">
        <f t="shared" si="33"/>
        <v>2382554.7890193919</v>
      </c>
      <c r="AM34" s="9">
        <f t="shared" si="33"/>
        <v>2605081.5238027158</v>
      </c>
      <c r="AN34" s="9">
        <f t="shared" si="33"/>
        <v>2837065.6448143311</v>
      </c>
      <c r="AO34" s="9">
        <f t="shared" si="33"/>
        <v>3078909.0909689399</v>
      </c>
      <c r="AP34" s="9">
        <f t="shared" si="33"/>
        <v>3331023.3835851196</v>
      </c>
      <c r="AQ34" s="9">
        <f t="shared" si="33"/>
        <v>3593847.227387487</v>
      </c>
      <c r="AR34" s="9">
        <f t="shared" si="33"/>
        <v>3867837.8923639553</v>
      </c>
      <c r="AS34" s="9"/>
    </row>
    <row r="35" spans="2:45" x14ac:dyDescent="0.3">
      <c r="B35" s="1" t="s">
        <v>126</v>
      </c>
      <c r="C35" s="16">
        <f>Parameters!B16-Parameters!B17</f>
        <v>100</v>
      </c>
      <c r="D35" s="1">
        <f>Parameters!D17</f>
        <v>6</v>
      </c>
      <c r="E35" t="s">
        <v>116</v>
      </c>
      <c r="F35" s="9">
        <v>28</v>
      </c>
      <c r="G35" s="9">
        <f t="shared" si="31"/>
        <v>-835998.06733825221</v>
      </c>
      <c r="H35" s="9"/>
      <c r="I35" s="9">
        <f>_xlfn.IFNA(HLOOKUP((HLOOKUP((I1-$D$35),$I$1:$AR$1,1,FALSE)),$I$1:$AR$33,$F$35,FALSE),0)*-$C$35</f>
        <v>0</v>
      </c>
      <c r="J35" s="9">
        <f t="shared" ref="J35:AR35" si="34">_xlfn.IFNA(HLOOKUP((HLOOKUP((J1-$D$35),$I$1:$AR$1,1,FALSE)),$I$1:$AR$33,$F$35,FALSE),0)*-$C$35</f>
        <v>0</v>
      </c>
      <c r="K35" s="9">
        <f t="shared" si="34"/>
        <v>0</v>
      </c>
      <c r="L35" s="9">
        <f t="shared" si="34"/>
        <v>0</v>
      </c>
      <c r="M35" s="9">
        <f t="shared" si="34"/>
        <v>0</v>
      </c>
      <c r="N35" s="9">
        <f t="shared" si="34"/>
        <v>0</v>
      </c>
      <c r="O35" s="9">
        <f t="shared" si="34"/>
        <v>0</v>
      </c>
      <c r="P35" s="9">
        <f t="shared" si="34"/>
        <v>0</v>
      </c>
      <c r="Q35" s="9">
        <f t="shared" si="34"/>
        <v>0</v>
      </c>
      <c r="R35" s="9">
        <f t="shared" si="34"/>
        <v>0</v>
      </c>
      <c r="S35" s="9">
        <f t="shared" si="34"/>
        <v>0</v>
      </c>
      <c r="T35" s="9">
        <f t="shared" si="34"/>
        <v>0</v>
      </c>
      <c r="U35" s="9">
        <f t="shared" si="34"/>
        <v>0</v>
      </c>
      <c r="V35" s="9">
        <f t="shared" si="34"/>
        <v>0</v>
      </c>
      <c r="W35" s="9">
        <f t="shared" si="34"/>
        <v>0</v>
      </c>
      <c r="X35" s="9">
        <f t="shared" si="34"/>
        <v>0</v>
      </c>
      <c r="Y35" s="9">
        <f t="shared" si="34"/>
        <v>0</v>
      </c>
      <c r="Z35" s="9">
        <f t="shared" si="34"/>
        <v>0</v>
      </c>
      <c r="AA35" s="9">
        <f t="shared" si="34"/>
        <v>0</v>
      </c>
      <c r="AB35" s="9">
        <f t="shared" si="34"/>
        <v>0</v>
      </c>
      <c r="AC35" s="9">
        <f t="shared" si="34"/>
        <v>0</v>
      </c>
      <c r="AD35" s="9">
        <f t="shared" si="34"/>
        <v>-20000</v>
      </c>
      <c r="AE35" s="9">
        <f t="shared" si="34"/>
        <v>-35000</v>
      </c>
      <c r="AF35" s="9">
        <f t="shared" si="34"/>
        <v>-45000</v>
      </c>
      <c r="AG35" s="9">
        <f t="shared" si="34"/>
        <v>-46912.5</v>
      </c>
      <c r="AH35" s="9">
        <f t="shared" si="34"/>
        <v>-48906.28125</v>
      </c>
      <c r="AI35" s="9">
        <f t="shared" si="34"/>
        <v>-50984.798203124999</v>
      </c>
      <c r="AJ35" s="9">
        <f t="shared" si="34"/>
        <v>-54151.652126757814</v>
      </c>
      <c r="AK35" s="9">
        <f t="shared" si="34"/>
        <v>-57160.597342145025</v>
      </c>
      <c r="AL35" s="9">
        <f t="shared" si="34"/>
        <v>-60015.54772918619</v>
      </c>
      <c r="AM35" s="9">
        <f t="shared" si="34"/>
        <v>-62566.208507676594</v>
      </c>
      <c r="AN35" s="9">
        <f t="shared" si="34"/>
        <v>-65225.272369252845</v>
      </c>
      <c r="AO35" s="9">
        <f t="shared" si="34"/>
        <v>-67997.346444946088</v>
      </c>
      <c r="AP35" s="9">
        <f t="shared" si="34"/>
        <v>-70937.233668856308</v>
      </c>
      <c r="AQ35" s="9">
        <f t="shared" si="34"/>
        <v>-73987.441099782707</v>
      </c>
      <c r="AR35" s="9">
        <f t="shared" si="34"/>
        <v>-77153.188596523454</v>
      </c>
      <c r="AS35" s="9"/>
    </row>
    <row r="36" spans="2:45" x14ac:dyDescent="0.3">
      <c r="B36" s="1" t="s">
        <v>130</v>
      </c>
      <c r="C36" s="16">
        <f>Parameters!B23</f>
        <v>6000</v>
      </c>
      <c r="D36" s="1"/>
      <c r="E36" s="1"/>
      <c r="F36" s="9"/>
      <c r="G36" s="9"/>
      <c r="H36" s="9"/>
      <c r="I36" s="9">
        <f>+I30*$C$36</f>
        <v>0</v>
      </c>
      <c r="J36" s="9">
        <f t="shared" ref="J36:AR36" si="35">+J30*$C$36</f>
        <v>0</v>
      </c>
      <c r="K36" s="9">
        <f t="shared" si="35"/>
        <v>0</v>
      </c>
      <c r="L36" s="9">
        <f t="shared" si="35"/>
        <v>0</v>
      </c>
      <c r="M36" s="9">
        <f t="shared" si="35"/>
        <v>0</v>
      </c>
      <c r="N36" s="9">
        <f t="shared" si="35"/>
        <v>0</v>
      </c>
      <c r="O36" s="9">
        <f t="shared" si="35"/>
        <v>0</v>
      </c>
      <c r="P36" s="9">
        <f t="shared" si="35"/>
        <v>0</v>
      </c>
      <c r="Q36" s="9">
        <f t="shared" si="35"/>
        <v>0</v>
      </c>
      <c r="R36" s="9">
        <f t="shared" si="35"/>
        <v>0</v>
      </c>
      <c r="S36" s="9">
        <f t="shared" si="35"/>
        <v>0</v>
      </c>
      <c r="T36" s="9">
        <f t="shared" si="35"/>
        <v>0</v>
      </c>
      <c r="U36" s="9">
        <f t="shared" si="35"/>
        <v>0</v>
      </c>
      <c r="V36" s="9">
        <f t="shared" si="35"/>
        <v>0</v>
      </c>
      <c r="W36" s="9">
        <f t="shared" si="35"/>
        <v>0</v>
      </c>
      <c r="X36" s="9">
        <f t="shared" si="35"/>
        <v>0</v>
      </c>
      <c r="Y36" s="9">
        <f t="shared" si="35"/>
        <v>0</v>
      </c>
      <c r="Z36" s="9">
        <f t="shared" si="35"/>
        <v>0</v>
      </c>
      <c r="AA36" s="9">
        <f t="shared" si="35"/>
        <v>0</v>
      </c>
      <c r="AB36" s="9">
        <f t="shared" si="35"/>
        <v>0</v>
      </c>
      <c r="AC36" s="9">
        <f t="shared" si="35"/>
        <v>0</v>
      </c>
      <c r="AD36" s="9">
        <f t="shared" si="35"/>
        <v>60000</v>
      </c>
      <c r="AE36" s="9">
        <f t="shared" si="35"/>
        <v>105000</v>
      </c>
      <c r="AF36" s="9">
        <f t="shared" si="35"/>
        <v>135000</v>
      </c>
      <c r="AG36" s="9">
        <f t="shared" si="35"/>
        <v>140737.5</v>
      </c>
      <c r="AH36" s="9">
        <f t="shared" si="35"/>
        <v>146718.84375000003</v>
      </c>
      <c r="AI36" s="9">
        <f t="shared" si="35"/>
        <v>152954.39460937501</v>
      </c>
      <c r="AJ36" s="9">
        <f t="shared" si="35"/>
        <v>162454.95638027345</v>
      </c>
      <c r="AK36" s="9">
        <f t="shared" si="35"/>
        <v>171481.79202643508</v>
      </c>
      <c r="AL36" s="9">
        <f t="shared" si="35"/>
        <v>180046.64318755857</v>
      </c>
      <c r="AM36" s="9">
        <f t="shared" si="35"/>
        <v>187698.6255230298</v>
      </c>
      <c r="AN36" s="9">
        <f t="shared" si="35"/>
        <v>195675.81710775854</v>
      </c>
      <c r="AO36" s="9">
        <f t="shared" si="35"/>
        <v>203992.03933483831</v>
      </c>
      <c r="AP36" s="9">
        <f t="shared" si="35"/>
        <v>212811.70100656891</v>
      </c>
      <c r="AQ36" s="9">
        <f t="shared" si="35"/>
        <v>221962.32329934809</v>
      </c>
      <c r="AR36" s="9">
        <f t="shared" si="35"/>
        <v>231459.56578957039</v>
      </c>
      <c r="AS36" s="9"/>
    </row>
    <row r="37" spans="2:45" x14ac:dyDescent="0.3">
      <c r="B37" s="1" t="s">
        <v>101</v>
      </c>
      <c r="C37" s="16">
        <f>Parameters!B25</f>
        <v>400</v>
      </c>
      <c r="D37" s="39">
        <f>+C37/12</f>
        <v>33.333333333333336</v>
      </c>
      <c r="E37" s="1" t="s">
        <v>102</v>
      </c>
      <c r="F37" s="9"/>
      <c r="G37" s="9"/>
      <c r="H37" s="9"/>
      <c r="I37" s="9">
        <f>+I30*($C$37/12)</f>
        <v>0</v>
      </c>
      <c r="J37" s="9">
        <f t="shared" ref="J37:AR37" si="36">+J30*($C$37/12)</f>
        <v>0</v>
      </c>
      <c r="K37" s="9">
        <f t="shared" si="36"/>
        <v>0</v>
      </c>
      <c r="L37" s="9">
        <f t="shared" si="36"/>
        <v>0</v>
      </c>
      <c r="M37" s="9">
        <f t="shared" si="36"/>
        <v>0</v>
      </c>
      <c r="N37" s="9">
        <f t="shared" si="36"/>
        <v>0</v>
      </c>
      <c r="O37" s="9">
        <f t="shared" si="36"/>
        <v>0</v>
      </c>
      <c r="P37" s="9">
        <f t="shared" si="36"/>
        <v>0</v>
      </c>
      <c r="Q37" s="9">
        <f t="shared" si="36"/>
        <v>0</v>
      </c>
      <c r="R37" s="9">
        <f t="shared" si="36"/>
        <v>0</v>
      </c>
      <c r="S37" s="9">
        <f t="shared" si="36"/>
        <v>0</v>
      </c>
      <c r="T37" s="9">
        <f t="shared" si="36"/>
        <v>0</v>
      </c>
      <c r="U37" s="9">
        <f t="shared" si="36"/>
        <v>0</v>
      </c>
      <c r="V37" s="9">
        <f t="shared" si="36"/>
        <v>0</v>
      </c>
      <c r="W37" s="9">
        <f t="shared" si="36"/>
        <v>0</v>
      </c>
      <c r="X37" s="9">
        <f t="shared" si="36"/>
        <v>0</v>
      </c>
      <c r="Y37" s="9">
        <f t="shared" si="36"/>
        <v>0</v>
      </c>
      <c r="Z37" s="9">
        <f t="shared" si="36"/>
        <v>0</v>
      </c>
      <c r="AA37" s="9">
        <f t="shared" si="36"/>
        <v>0</v>
      </c>
      <c r="AB37" s="9">
        <f t="shared" si="36"/>
        <v>0</v>
      </c>
      <c r="AC37" s="9">
        <f t="shared" si="36"/>
        <v>0</v>
      </c>
      <c r="AD37" s="9">
        <f t="shared" si="36"/>
        <v>333.33333333333337</v>
      </c>
      <c r="AE37" s="9">
        <f t="shared" si="36"/>
        <v>583.33333333333337</v>
      </c>
      <c r="AF37" s="9">
        <f t="shared" si="36"/>
        <v>750</v>
      </c>
      <c r="AG37" s="9">
        <f t="shared" si="36"/>
        <v>781.87500000000011</v>
      </c>
      <c r="AH37" s="9">
        <f t="shared" si="36"/>
        <v>815.10468750000018</v>
      </c>
      <c r="AI37" s="9">
        <f t="shared" si="36"/>
        <v>849.7466367187501</v>
      </c>
      <c r="AJ37" s="9">
        <f t="shared" si="36"/>
        <v>902.52753544596374</v>
      </c>
      <c r="AK37" s="9">
        <f t="shared" si="36"/>
        <v>952.67662236908382</v>
      </c>
      <c r="AL37" s="9">
        <f t="shared" si="36"/>
        <v>1000.2591288197699</v>
      </c>
      <c r="AM37" s="9">
        <f t="shared" si="36"/>
        <v>1042.77014179461</v>
      </c>
      <c r="AN37" s="9">
        <f t="shared" si="36"/>
        <v>1087.0878728208809</v>
      </c>
      <c r="AO37" s="9">
        <f t="shared" si="36"/>
        <v>1133.2891074157685</v>
      </c>
      <c r="AP37" s="9">
        <f t="shared" si="36"/>
        <v>1182.2872278142718</v>
      </c>
      <c r="AQ37" s="9">
        <f t="shared" si="36"/>
        <v>1233.1240183297118</v>
      </c>
      <c r="AR37" s="9">
        <f t="shared" si="36"/>
        <v>1285.8864766087245</v>
      </c>
      <c r="AS37" s="9"/>
    </row>
    <row r="38" spans="2:45" x14ac:dyDescent="0.3">
      <c r="B38" s="3" t="s">
        <v>103</v>
      </c>
      <c r="C38" s="16"/>
      <c r="D38" s="39"/>
      <c r="E38" s="1"/>
      <c r="F38" s="9"/>
      <c r="G38" s="9">
        <f t="shared" si="31"/>
        <v>37733107.994079381</v>
      </c>
      <c r="H38" s="9"/>
      <c r="I38" s="9">
        <f t="shared" ref="I38:AR38" si="37">SUM(I34:I37)</f>
        <v>0</v>
      </c>
      <c r="J38" s="9">
        <f t="shared" si="37"/>
        <v>0</v>
      </c>
      <c r="K38" s="9">
        <f t="shared" si="37"/>
        <v>0</v>
      </c>
      <c r="L38" s="9">
        <f t="shared" si="37"/>
        <v>0</v>
      </c>
      <c r="M38" s="9">
        <f t="shared" si="37"/>
        <v>0</v>
      </c>
      <c r="N38" s="9">
        <f t="shared" si="37"/>
        <v>0</v>
      </c>
      <c r="O38" s="9">
        <f t="shared" si="37"/>
        <v>0</v>
      </c>
      <c r="P38" s="9">
        <f t="shared" si="37"/>
        <v>0</v>
      </c>
      <c r="Q38" s="9">
        <f t="shared" si="37"/>
        <v>0</v>
      </c>
      <c r="R38" s="9">
        <f t="shared" si="37"/>
        <v>0</v>
      </c>
      <c r="S38" s="9">
        <f t="shared" si="37"/>
        <v>0</v>
      </c>
      <c r="T38" s="9">
        <f t="shared" si="37"/>
        <v>0</v>
      </c>
      <c r="U38" s="9">
        <f t="shared" si="37"/>
        <v>0</v>
      </c>
      <c r="V38" s="9">
        <f t="shared" si="37"/>
        <v>0</v>
      </c>
      <c r="W38" s="9">
        <f t="shared" si="37"/>
        <v>0</v>
      </c>
      <c r="X38" s="9">
        <f t="shared" si="37"/>
        <v>60000</v>
      </c>
      <c r="Y38" s="9">
        <f t="shared" si="37"/>
        <v>165000</v>
      </c>
      <c r="Z38" s="9">
        <f t="shared" si="37"/>
        <v>300000</v>
      </c>
      <c r="AA38" s="9">
        <f t="shared" si="37"/>
        <v>440737.5</v>
      </c>
      <c r="AB38" s="9">
        <f t="shared" si="37"/>
        <v>587456.34375</v>
      </c>
      <c r="AC38" s="9">
        <f t="shared" si="37"/>
        <v>740410.73835937504</v>
      </c>
      <c r="AD38" s="9">
        <f t="shared" si="37"/>
        <v>937199.02807298186</v>
      </c>
      <c r="AE38" s="9">
        <f t="shared" si="37"/>
        <v>1128430.8200994169</v>
      </c>
      <c r="AF38" s="9">
        <f t="shared" si="37"/>
        <v>1315144.1299536421</v>
      </c>
      <c r="AG38" s="9">
        <f t="shared" si="37"/>
        <v>1492625.880476672</v>
      </c>
      <c r="AH38" s="9">
        <f t="shared" si="37"/>
        <v>1677650.6053969306</v>
      </c>
      <c r="AI38" s="9">
        <f t="shared" si="37"/>
        <v>1870538.8811263002</v>
      </c>
      <c r="AJ38" s="9">
        <f t="shared" si="37"/>
        <v>2073491.5752408346</v>
      </c>
      <c r="AK38" s="9">
        <f t="shared" si="37"/>
        <v>2284373.7588552362</v>
      </c>
      <c r="AL38" s="9">
        <f t="shared" si="37"/>
        <v>2503586.1436065841</v>
      </c>
      <c r="AM38" s="9">
        <f t="shared" si="37"/>
        <v>2731256.7109598638</v>
      </c>
      <c r="AN38" s="9">
        <f t="shared" si="37"/>
        <v>2968603.2774256575</v>
      </c>
      <c r="AO38" s="9">
        <f t="shared" si="37"/>
        <v>3216037.0729662478</v>
      </c>
      <c r="AP38" s="9">
        <f t="shared" si="37"/>
        <v>3474080.1381506464</v>
      </c>
      <c r="AQ38" s="9">
        <f t="shared" si="37"/>
        <v>3743055.233605382</v>
      </c>
      <c r="AR38" s="9">
        <f t="shared" si="37"/>
        <v>4023430.1560336114</v>
      </c>
      <c r="AS38" s="9"/>
    </row>
    <row r="39" spans="2:45" x14ac:dyDescent="0.3">
      <c r="B39" s="1" t="s">
        <v>121</v>
      </c>
      <c r="C39" s="16"/>
      <c r="D39" s="39"/>
      <c r="E39" s="1"/>
      <c r="F39" s="9"/>
      <c r="G39" s="9"/>
      <c r="H39" s="9"/>
      <c r="I39" s="9">
        <f>+I38-I37-I36</f>
        <v>0</v>
      </c>
      <c r="J39" s="9">
        <f t="shared" ref="J39:AR39" si="38">+J38-J37-J36</f>
        <v>0</v>
      </c>
      <c r="K39" s="9">
        <f t="shared" si="38"/>
        <v>0</v>
      </c>
      <c r="L39" s="9">
        <f t="shared" si="38"/>
        <v>0</v>
      </c>
      <c r="M39" s="9">
        <f t="shared" si="38"/>
        <v>0</v>
      </c>
      <c r="N39" s="9">
        <f t="shared" si="38"/>
        <v>0</v>
      </c>
      <c r="O39" s="9">
        <f t="shared" si="38"/>
        <v>0</v>
      </c>
      <c r="P39" s="9">
        <f t="shared" si="38"/>
        <v>0</v>
      </c>
      <c r="Q39" s="9">
        <f t="shared" si="38"/>
        <v>0</v>
      </c>
      <c r="R39" s="9">
        <f t="shared" si="38"/>
        <v>0</v>
      </c>
      <c r="S39" s="9">
        <f t="shared" si="38"/>
        <v>0</v>
      </c>
      <c r="T39" s="9">
        <f t="shared" si="38"/>
        <v>0</v>
      </c>
      <c r="U39" s="9">
        <f t="shared" si="38"/>
        <v>0</v>
      </c>
      <c r="V39" s="9">
        <f t="shared" si="38"/>
        <v>0</v>
      </c>
      <c r="W39" s="9">
        <f t="shared" si="38"/>
        <v>0</v>
      </c>
      <c r="X39" s="9">
        <f t="shared" si="38"/>
        <v>60000</v>
      </c>
      <c r="Y39" s="9">
        <f t="shared" si="38"/>
        <v>165000</v>
      </c>
      <c r="Z39" s="9">
        <f t="shared" si="38"/>
        <v>300000</v>
      </c>
      <c r="AA39" s="9">
        <f t="shared" si="38"/>
        <v>440737.5</v>
      </c>
      <c r="AB39" s="9">
        <f t="shared" si="38"/>
        <v>587456.34375</v>
      </c>
      <c r="AC39" s="9">
        <f t="shared" si="38"/>
        <v>740410.73835937504</v>
      </c>
      <c r="AD39" s="9">
        <f t="shared" si="38"/>
        <v>876865.69473964849</v>
      </c>
      <c r="AE39" s="9">
        <f t="shared" si="38"/>
        <v>1022847.4867660836</v>
      </c>
      <c r="AF39" s="9">
        <f t="shared" si="38"/>
        <v>1179394.1299536421</v>
      </c>
      <c r="AG39" s="9">
        <f t="shared" si="38"/>
        <v>1351106.505476672</v>
      </c>
      <c r="AH39" s="9">
        <f t="shared" si="38"/>
        <v>1530116.6569594305</v>
      </c>
      <c r="AI39" s="9">
        <f t="shared" si="38"/>
        <v>1716734.7398802065</v>
      </c>
      <c r="AJ39" s="9">
        <f t="shared" si="38"/>
        <v>1910134.0913251152</v>
      </c>
      <c r="AK39" s="9">
        <f t="shared" si="38"/>
        <v>2111939.2902064323</v>
      </c>
      <c r="AL39" s="9">
        <f t="shared" si="38"/>
        <v>2322539.2412902056</v>
      </c>
      <c r="AM39" s="9">
        <f t="shared" si="38"/>
        <v>2542515.3152950392</v>
      </c>
      <c r="AN39" s="9">
        <f t="shared" si="38"/>
        <v>2771840.3724450781</v>
      </c>
      <c r="AO39" s="9">
        <f t="shared" si="38"/>
        <v>3010911.7445239937</v>
      </c>
      <c r="AP39" s="9">
        <f t="shared" si="38"/>
        <v>3260086.1499162633</v>
      </c>
      <c r="AQ39" s="9">
        <f t="shared" si="38"/>
        <v>3519859.7862877045</v>
      </c>
      <c r="AR39" s="9">
        <f t="shared" si="38"/>
        <v>3790684.7037674319</v>
      </c>
      <c r="AS39" s="9"/>
    </row>
    <row r="40" spans="2:45" x14ac:dyDescent="0.3">
      <c r="B40" s="1" t="s">
        <v>124</v>
      </c>
      <c r="C40" s="16"/>
      <c r="D40" s="1"/>
      <c r="E40" s="1"/>
      <c r="F40" s="9"/>
      <c r="G40" s="9"/>
      <c r="H40" s="9"/>
      <c r="I40" s="9">
        <f t="shared" ref="I40:AR40" si="39">+I44/$C$44</f>
        <v>0</v>
      </c>
      <c r="J40" s="9">
        <f t="shared" si="39"/>
        <v>0</v>
      </c>
      <c r="K40" s="9">
        <f t="shared" si="39"/>
        <v>0</v>
      </c>
      <c r="L40" s="9">
        <f t="shared" si="39"/>
        <v>0</v>
      </c>
      <c r="M40" s="9">
        <f t="shared" si="39"/>
        <v>0</v>
      </c>
      <c r="N40" s="9">
        <f t="shared" si="39"/>
        <v>0</v>
      </c>
      <c r="O40" s="9">
        <f t="shared" si="39"/>
        <v>0</v>
      </c>
      <c r="P40" s="9">
        <f t="shared" si="39"/>
        <v>0</v>
      </c>
      <c r="Q40" s="9">
        <f t="shared" si="39"/>
        <v>0</v>
      </c>
      <c r="R40" s="9">
        <f t="shared" si="39"/>
        <v>0</v>
      </c>
      <c r="S40" s="9">
        <f t="shared" si="39"/>
        <v>0</v>
      </c>
      <c r="T40" s="9">
        <f t="shared" si="39"/>
        <v>0</v>
      </c>
      <c r="U40" s="9">
        <f t="shared" si="39"/>
        <v>0</v>
      </c>
      <c r="V40" s="9">
        <f t="shared" si="39"/>
        <v>0</v>
      </c>
      <c r="W40" s="9">
        <f t="shared" si="39"/>
        <v>0</v>
      </c>
      <c r="X40" s="9">
        <f t="shared" si="39"/>
        <v>0</v>
      </c>
      <c r="Y40" s="9">
        <f t="shared" si="39"/>
        <v>0</v>
      </c>
      <c r="Z40" s="9">
        <f t="shared" si="39"/>
        <v>0</v>
      </c>
      <c r="AA40" s="9">
        <f t="shared" si="39"/>
        <v>0</v>
      </c>
      <c r="AB40" s="9">
        <f t="shared" si="39"/>
        <v>0</v>
      </c>
      <c r="AC40" s="9">
        <f t="shared" si="39"/>
        <v>0</v>
      </c>
      <c r="AD40" s="9">
        <f t="shared" si="39"/>
        <v>0</v>
      </c>
      <c r="AE40" s="9">
        <f t="shared" si="39"/>
        <v>0</v>
      </c>
      <c r="AF40" s="9">
        <f t="shared" si="39"/>
        <v>0</v>
      </c>
      <c r="AG40" s="9">
        <f t="shared" si="39"/>
        <v>0</v>
      </c>
      <c r="AH40" s="9">
        <f t="shared" si="39"/>
        <v>0</v>
      </c>
      <c r="AI40" s="9">
        <f t="shared" si="39"/>
        <v>0</v>
      </c>
      <c r="AJ40" s="9">
        <f t="shared" si="39"/>
        <v>60000</v>
      </c>
      <c r="AK40" s="9">
        <f t="shared" si="39"/>
        <v>165000</v>
      </c>
      <c r="AL40" s="9">
        <f t="shared" si="39"/>
        <v>300000</v>
      </c>
      <c r="AM40" s="9">
        <f t="shared" si="39"/>
        <v>440737.5</v>
      </c>
      <c r="AN40" s="9">
        <f t="shared" si="39"/>
        <v>587456.34375</v>
      </c>
      <c r="AO40" s="9">
        <f t="shared" si="39"/>
        <v>740410.73835937493</v>
      </c>
      <c r="AP40" s="9">
        <f t="shared" si="39"/>
        <v>876865.69473964849</v>
      </c>
      <c r="AQ40" s="9">
        <f t="shared" si="39"/>
        <v>1022847.4867660836</v>
      </c>
      <c r="AR40" s="9">
        <f t="shared" si="39"/>
        <v>1179394.1299536421</v>
      </c>
      <c r="AS40" s="9"/>
    </row>
    <row r="41" spans="2:45" x14ac:dyDescent="0.3">
      <c r="B41" s="3" t="s">
        <v>64</v>
      </c>
      <c r="C41" s="16"/>
      <c r="D41" s="1"/>
      <c r="E41" s="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2:45" x14ac:dyDescent="0.3">
      <c r="B42" s="1" t="s">
        <v>65</v>
      </c>
      <c r="C42" s="16">
        <f>+Parameters!B27</f>
        <v>27</v>
      </c>
      <c r="D42" s="1"/>
      <c r="E42" s="1"/>
      <c r="F42" s="9"/>
      <c r="G42" s="9">
        <f t="shared" si="31"/>
        <v>61779.559688481473</v>
      </c>
      <c r="H42" s="9"/>
      <c r="I42" s="9">
        <f>((+I28*Parameters!$B$29)/Parameters!$B$28)*$C$42</f>
        <v>0</v>
      </c>
      <c r="J42" s="9">
        <f>((+J28*Parameters!$B$29)/Parameters!$B$28)*$C$42</f>
        <v>0</v>
      </c>
      <c r="K42" s="9">
        <f>((+K28*Parameters!$B$29)/Parameters!$B$28)*$C$42</f>
        <v>0</v>
      </c>
      <c r="L42" s="9">
        <f>((+L28*Parameters!$B$29)/Parameters!$B$28)*$C$42</f>
        <v>0</v>
      </c>
      <c r="M42" s="9">
        <f>((+M28*Parameters!$B$29)/Parameters!$B$28)*$C$42</f>
        <v>0</v>
      </c>
      <c r="N42" s="9">
        <f>((+N28*Parameters!$B$29)/Parameters!$B$28)*$C$42</f>
        <v>0</v>
      </c>
      <c r="O42" s="9">
        <f>((+O28*Parameters!$B$29)/Parameters!$B$28)*$C$42</f>
        <v>0</v>
      </c>
      <c r="P42" s="9">
        <f>((+P28*Parameters!$B$29)/Parameters!$B$28)*$C$42</f>
        <v>0</v>
      </c>
      <c r="Q42" s="9">
        <f>((+Q28*Parameters!$B$29)/Parameters!$B$28)*$C$42</f>
        <v>0</v>
      </c>
      <c r="R42" s="9">
        <f>((+R28*Parameters!$B$29)/Parameters!$B$28)*$C$42</f>
        <v>0</v>
      </c>
      <c r="S42" s="9">
        <f>((+S28*Parameters!$B$29)/Parameters!$B$28)*$C$42</f>
        <v>0</v>
      </c>
      <c r="T42" s="9">
        <f>((+T28*Parameters!$B$29)/Parameters!$B$28)*$C$42</f>
        <v>0</v>
      </c>
      <c r="U42" s="9">
        <f>((+U28*Parameters!$B$29)/Parameters!$B$28)*$C$42</f>
        <v>0</v>
      </c>
      <c r="V42" s="9">
        <f>((+V28*Parameters!$B$29)/Parameters!$B$28)*$C$42</f>
        <v>0</v>
      </c>
      <c r="W42" s="9">
        <f>((+W28*Parameters!$B$29)/Parameters!$B$28)*$C$42</f>
        <v>0</v>
      </c>
      <c r="X42" s="9">
        <f>((+X28*Parameters!$B$29)/Parameters!$B$28)*$C$42</f>
        <v>900.00000000000011</v>
      </c>
      <c r="Y42" s="9">
        <f>((+Y28*Parameters!$B$29)/Parameters!$B$28)*$C$42</f>
        <v>1575</v>
      </c>
      <c r="Z42" s="9">
        <f>((+Z28*Parameters!$B$29)/Parameters!$B$28)*$C$42</f>
        <v>2025</v>
      </c>
      <c r="AA42" s="9">
        <f>((+AA28*Parameters!$B$29)/Parameters!$B$28)*$C$42</f>
        <v>2111.0625</v>
      </c>
      <c r="AB42" s="9">
        <f>((+AB28*Parameters!$B$29)/Parameters!$B$28)*$C$42</f>
        <v>2200.7826562499999</v>
      </c>
      <c r="AC42" s="9">
        <f>((+AC28*Parameters!$B$29)/Parameters!$B$28)*$C$42</f>
        <v>2294.3159191406253</v>
      </c>
      <c r="AD42" s="9">
        <f>((+AD28*Parameters!$B$29)/Parameters!$B$28)*$C$42</f>
        <v>2436.8243457041017</v>
      </c>
      <c r="AE42" s="9">
        <f>((+AE28*Parameters!$B$29)/Parameters!$B$28)*$C$42</f>
        <v>2572.2268803965262</v>
      </c>
      <c r="AF42" s="9">
        <f>((+AF28*Parameters!$B$29)/Parameters!$B$28)*$C$42</f>
        <v>2700.6996478133783</v>
      </c>
      <c r="AG42" s="9">
        <f>((+AG28*Parameters!$B$29)/Parameters!$B$28)*$C$42</f>
        <v>2815.4793828454467</v>
      </c>
      <c r="AH42" s="9">
        <f>((+AH28*Parameters!$B$29)/Parameters!$B$28)*$C$42</f>
        <v>2935.1372566163777</v>
      </c>
      <c r="AI42" s="9">
        <f>((+AI28*Parameters!$B$29)/Parameters!$B$28)*$C$42</f>
        <v>3059.8805900225743</v>
      </c>
      <c r="AJ42" s="9">
        <f>((+AJ28*Parameters!$B$29)/Parameters!$B$28)*$C$42</f>
        <v>3192.1755150985337</v>
      </c>
      <c r="AK42" s="9">
        <f>((+AK28*Parameters!$B$29)/Parameters!$B$28)*$C$42</f>
        <v>3329.4348494902215</v>
      </c>
      <c r="AL42" s="9">
        <f>((+AL28*Parameters!$B$29)/Parameters!$B$28)*$C$42</f>
        <v>3471.8934868435554</v>
      </c>
      <c r="AM42" s="9">
        <f>((+AM28*Parameters!$B$29)/Parameters!$B$28)*$C$42</f>
        <v>3619.4489600344059</v>
      </c>
      <c r="AN42" s="9">
        <f>((+AN28*Parameters!$B$29)/Parameters!$B$28)*$C$42</f>
        <v>3773.2755408358689</v>
      </c>
      <c r="AO42" s="9">
        <f>((+AO28*Parameters!$B$29)/Parameters!$B$28)*$C$42</f>
        <v>3933.6397513213929</v>
      </c>
      <c r="AP42" s="9">
        <f>((+AP28*Parameters!$B$29)/Parameters!$B$28)*$C$42</f>
        <v>4100.9319407525527</v>
      </c>
      <c r="AQ42" s="9">
        <f>((+AQ28*Parameters!$B$29)/Parameters!$B$28)*$C$42</f>
        <v>4275.3011419845352</v>
      </c>
      <c r="AR42" s="9">
        <f>((+AR28*Parameters!$B$29)/Parameters!$B$28)*$C$42</f>
        <v>4457.0493233313791</v>
      </c>
      <c r="AS42" s="9"/>
    </row>
    <row r="43" spans="2:45" x14ac:dyDescent="0.3">
      <c r="B43" s="1" t="s">
        <v>120</v>
      </c>
      <c r="C43" s="17">
        <f>+Parameters!B18</f>
        <v>0.1</v>
      </c>
      <c r="D43" s="1"/>
      <c r="E43" s="1"/>
      <c r="F43" s="9" t="s">
        <v>123</v>
      </c>
      <c r="G43" s="9">
        <f t="shared" si="31"/>
        <v>2983846.8597373576</v>
      </c>
      <c r="H43" s="9"/>
      <c r="I43" s="7">
        <f t="shared" ref="I43:AR43" si="40">(+I39-I40)*$C$43</f>
        <v>0</v>
      </c>
      <c r="J43" s="7">
        <f t="shared" si="40"/>
        <v>0</v>
      </c>
      <c r="K43" s="7">
        <f t="shared" si="40"/>
        <v>0</v>
      </c>
      <c r="L43" s="7">
        <f t="shared" si="40"/>
        <v>0</v>
      </c>
      <c r="M43" s="7">
        <f t="shared" si="40"/>
        <v>0</v>
      </c>
      <c r="N43" s="7">
        <f t="shared" si="40"/>
        <v>0</v>
      </c>
      <c r="O43" s="7">
        <f t="shared" si="40"/>
        <v>0</v>
      </c>
      <c r="P43" s="7">
        <f t="shared" si="40"/>
        <v>0</v>
      </c>
      <c r="Q43" s="7">
        <f t="shared" si="40"/>
        <v>0</v>
      </c>
      <c r="R43" s="7">
        <f t="shared" si="40"/>
        <v>0</v>
      </c>
      <c r="S43" s="7">
        <f t="shared" si="40"/>
        <v>0</v>
      </c>
      <c r="T43" s="7">
        <f t="shared" si="40"/>
        <v>0</v>
      </c>
      <c r="U43" s="7">
        <f t="shared" si="40"/>
        <v>0</v>
      </c>
      <c r="V43" s="7">
        <f t="shared" si="40"/>
        <v>0</v>
      </c>
      <c r="W43" s="7">
        <f t="shared" si="40"/>
        <v>0</v>
      </c>
      <c r="X43" s="7">
        <f t="shared" si="40"/>
        <v>6000</v>
      </c>
      <c r="Y43" s="7">
        <f t="shared" si="40"/>
        <v>16500</v>
      </c>
      <c r="Z43" s="7">
        <f t="shared" si="40"/>
        <v>30000</v>
      </c>
      <c r="AA43" s="7">
        <f t="shared" si="40"/>
        <v>44073.75</v>
      </c>
      <c r="AB43" s="7">
        <f t="shared" si="40"/>
        <v>58745.634375000001</v>
      </c>
      <c r="AC43" s="7">
        <f t="shared" si="40"/>
        <v>74041.07383593751</v>
      </c>
      <c r="AD43" s="7">
        <f t="shared" si="40"/>
        <v>87686.569473964861</v>
      </c>
      <c r="AE43" s="7">
        <f t="shared" si="40"/>
        <v>102284.74867660837</v>
      </c>
      <c r="AF43" s="7">
        <f t="shared" si="40"/>
        <v>117939.41299536423</v>
      </c>
      <c r="AG43" s="7">
        <f t="shared" si="40"/>
        <v>135110.6505476672</v>
      </c>
      <c r="AH43" s="7">
        <f t="shared" si="40"/>
        <v>153011.66569594305</v>
      </c>
      <c r="AI43" s="7">
        <f t="shared" si="40"/>
        <v>171673.47398802068</v>
      </c>
      <c r="AJ43" s="7">
        <f t="shared" si="40"/>
        <v>185013.40913251153</v>
      </c>
      <c r="AK43" s="7">
        <f t="shared" si="40"/>
        <v>194693.92902064323</v>
      </c>
      <c r="AL43" s="7">
        <f t="shared" si="40"/>
        <v>202253.92412902057</v>
      </c>
      <c r="AM43" s="7">
        <f t="shared" si="40"/>
        <v>210177.78152950393</v>
      </c>
      <c r="AN43" s="7">
        <f t="shared" si="40"/>
        <v>218438.40286950782</v>
      </c>
      <c r="AO43" s="7">
        <f t="shared" si="40"/>
        <v>227050.10061646189</v>
      </c>
      <c r="AP43" s="7">
        <f t="shared" si="40"/>
        <v>238322.04551766149</v>
      </c>
      <c r="AQ43" s="7">
        <f t="shared" si="40"/>
        <v>249701.2299521621</v>
      </c>
      <c r="AR43" s="7">
        <f t="shared" si="40"/>
        <v>261129.05738137895</v>
      </c>
      <c r="AS43" s="9"/>
    </row>
    <row r="44" spans="2:45" x14ac:dyDescent="0.3">
      <c r="B44" s="1" t="s">
        <v>119</v>
      </c>
      <c r="C44" s="17">
        <f>+Parameters!B19</f>
        <v>0.03</v>
      </c>
      <c r="D44" s="1">
        <f>Parameters!D19</f>
        <v>12</v>
      </c>
      <c r="E44" t="s">
        <v>116</v>
      </c>
      <c r="F44" s="1">
        <f>ROW(B39)</f>
        <v>39</v>
      </c>
      <c r="G44" s="9">
        <f t="shared" si="31"/>
        <v>161181.35680706246</v>
      </c>
      <c r="H44" s="9"/>
      <c r="I44" s="9">
        <f t="shared" ref="I44:AR44" si="41">_xlfn.IFNA(HLOOKUP((HLOOKUP((I1-$D$44),$I$1:$AR$1,1,FALSE)),$I$1:$AR$39,$F$44,FALSE),0)*$C$44</f>
        <v>0</v>
      </c>
      <c r="J44" s="9">
        <f t="shared" si="41"/>
        <v>0</v>
      </c>
      <c r="K44" s="9">
        <f t="shared" si="41"/>
        <v>0</v>
      </c>
      <c r="L44" s="9">
        <f t="shared" si="41"/>
        <v>0</v>
      </c>
      <c r="M44" s="9">
        <f t="shared" si="41"/>
        <v>0</v>
      </c>
      <c r="N44" s="9">
        <f t="shared" si="41"/>
        <v>0</v>
      </c>
      <c r="O44" s="9">
        <f t="shared" si="41"/>
        <v>0</v>
      </c>
      <c r="P44" s="9">
        <f t="shared" si="41"/>
        <v>0</v>
      </c>
      <c r="Q44" s="9">
        <f t="shared" si="41"/>
        <v>0</v>
      </c>
      <c r="R44" s="9">
        <f t="shared" si="41"/>
        <v>0</v>
      </c>
      <c r="S44" s="9">
        <f t="shared" si="41"/>
        <v>0</v>
      </c>
      <c r="T44" s="9">
        <f t="shared" si="41"/>
        <v>0</v>
      </c>
      <c r="U44" s="9">
        <f t="shared" si="41"/>
        <v>0</v>
      </c>
      <c r="V44" s="9">
        <f t="shared" si="41"/>
        <v>0</v>
      </c>
      <c r="W44" s="9">
        <f t="shared" si="41"/>
        <v>0</v>
      </c>
      <c r="X44" s="9">
        <f t="shared" si="41"/>
        <v>0</v>
      </c>
      <c r="Y44" s="9">
        <f t="shared" si="41"/>
        <v>0</v>
      </c>
      <c r="Z44" s="9">
        <f t="shared" si="41"/>
        <v>0</v>
      </c>
      <c r="AA44" s="9">
        <f t="shared" si="41"/>
        <v>0</v>
      </c>
      <c r="AB44" s="9">
        <f t="shared" si="41"/>
        <v>0</v>
      </c>
      <c r="AC44" s="9">
        <f t="shared" si="41"/>
        <v>0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9">
        <f t="shared" si="41"/>
        <v>0</v>
      </c>
      <c r="AH44" s="9">
        <f t="shared" si="41"/>
        <v>0</v>
      </c>
      <c r="AI44" s="9">
        <f t="shared" si="41"/>
        <v>0</v>
      </c>
      <c r="AJ44" s="9">
        <f t="shared" si="41"/>
        <v>1800</v>
      </c>
      <c r="AK44" s="9">
        <f t="shared" si="41"/>
        <v>4950</v>
      </c>
      <c r="AL44" s="9">
        <f t="shared" si="41"/>
        <v>9000</v>
      </c>
      <c r="AM44" s="9">
        <f t="shared" si="41"/>
        <v>13222.125</v>
      </c>
      <c r="AN44" s="9">
        <f t="shared" si="41"/>
        <v>17623.690312499999</v>
      </c>
      <c r="AO44" s="9">
        <f t="shared" si="41"/>
        <v>22212.322150781249</v>
      </c>
      <c r="AP44" s="9">
        <f t="shared" si="41"/>
        <v>26305.970842189454</v>
      </c>
      <c r="AQ44" s="9">
        <f t="shared" si="41"/>
        <v>30685.424602982508</v>
      </c>
      <c r="AR44" s="9">
        <f t="shared" si="41"/>
        <v>35381.823898609262</v>
      </c>
      <c r="AS44" s="9"/>
    </row>
    <row r="45" spans="2:45" x14ac:dyDescent="0.3">
      <c r="B45" s="1" t="s">
        <v>104</v>
      </c>
      <c r="C45" s="17">
        <f>+Parameters!B20</f>
        <v>0.1</v>
      </c>
      <c r="D45" s="1"/>
      <c r="E45" s="1"/>
      <c r="F45" s="9"/>
      <c r="G45" s="9">
        <f t="shared" si="31"/>
        <v>250799.42020147562</v>
      </c>
      <c r="H45" s="9"/>
      <c r="I45" s="9">
        <f>+I36*$C$45</f>
        <v>0</v>
      </c>
      <c r="J45" s="9">
        <f t="shared" ref="J45:AR45" si="42">+J36*$C$45</f>
        <v>0</v>
      </c>
      <c r="K45" s="9">
        <f t="shared" si="42"/>
        <v>0</v>
      </c>
      <c r="L45" s="9">
        <f t="shared" si="42"/>
        <v>0</v>
      </c>
      <c r="M45" s="9">
        <f t="shared" si="42"/>
        <v>0</v>
      </c>
      <c r="N45" s="9">
        <f t="shared" si="42"/>
        <v>0</v>
      </c>
      <c r="O45" s="9">
        <f t="shared" si="42"/>
        <v>0</v>
      </c>
      <c r="P45" s="9">
        <f t="shared" si="42"/>
        <v>0</v>
      </c>
      <c r="Q45" s="9">
        <f t="shared" si="42"/>
        <v>0</v>
      </c>
      <c r="R45" s="9">
        <f t="shared" si="42"/>
        <v>0</v>
      </c>
      <c r="S45" s="9">
        <f t="shared" si="42"/>
        <v>0</v>
      </c>
      <c r="T45" s="9">
        <f t="shared" si="42"/>
        <v>0</v>
      </c>
      <c r="U45" s="9">
        <f t="shared" si="42"/>
        <v>0</v>
      </c>
      <c r="V45" s="9">
        <f t="shared" si="42"/>
        <v>0</v>
      </c>
      <c r="W45" s="9">
        <f t="shared" si="42"/>
        <v>0</v>
      </c>
      <c r="X45" s="9">
        <f t="shared" si="42"/>
        <v>0</v>
      </c>
      <c r="Y45" s="9">
        <f t="shared" si="42"/>
        <v>0</v>
      </c>
      <c r="Z45" s="9">
        <f t="shared" si="42"/>
        <v>0</v>
      </c>
      <c r="AA45" s="9">
        <f t="shared" si="42"/>
        <v>0</v>
      </c>
      <c r="AB45" s="9">
        <f t="shared" si="42"/>
        <v>0</v>
      </c>
      <c r="AC45" s="9">
        <f t="shared" si="42"/>
        <v>0</v>
      </c>
      <c r="AD45" s="9">
        <f t="shared" si="42"/>
        <v>6000</v>
      </c>
      <c r="AE45" s="9">
        <f t="shared" si="42"/>
        <v>10500</v>
      </c>
      <c r="AF45" s="9">
        <f t="shared" si="42"/>
        <v>13500</v>
      </c>
      <c r="AG45" s="9">
        <f t="shared" si="42"/>
        <v>14073.75</v>
      </c>
      <c r="AH45" s="9">
        <f t="shared" si="42"/>
        <v>14671.884375000003</v>
      </c>
      <c r="AI45" s="9">
        <f t="shared" si="42"/>
        <v>15295.439460937501</v>
      </c>
      <c r="AJ45" s="9">
        <f t="shared" si="42"/>
        <v>16245.495638027345</v>
      </c>
      <c r="AK45" s="9">
        <f t="shared" si="42"/>
        <v>17148.179202643511</v>
      </c>
      <c r="AL45" s="9">
        <f t="shared" si="42"/>
        <v>18004.664318755858</v>
      </c>
      <c r="AM45" s="9">
        <f t="shared" si="42"/>
        <v>18769.86255230298</v>
      </c>
      <c r="AN45" s="9">
        <f t="shared" si="42"/>
        <v>19567.581710775856</v>
      </c>
      <c r="AO45" s="9">
        <f t="shared" si="42"/>
        <v>20399.203933483834</v>
      </c>
      <c r="AP45" s="9">
        <f t="shared" si="42"/>
        <v>21281.170100656891</v>
      </c>
      <c r="AQ45" s="9">
        <f t="shared" si="42"/>
        <v>22196.23232993481</v>
      </c>
      <c r="AR45" s="9">
        <f t="shared" si="42"/>
        <v>23145.956578957041</v>
      </c>
      <c r="AS45" s="9"/>
    </row>
    <row r="46" spans="2:45" x14ac:dyDescent="0.3">
      <c r="B46" s="1" t="s">
        <v>125</v>
      </c>
      <c r="C46" s="17">
        <f>+Parameters!B21</f>
        <v>0.1</v>
      </c>
      <c r="D46" s="1"/>
      <c r="E46" s="1"/>
      <c r="F46" s="9"/>
      <c r="G46" s="9">
        <f t="shared" si="31"/>
        <v>1393.3301122304204</v>
      </c>
      <c r="H46" s="9"/>
      <c r="I46" s="9">
        <f>+I37*$C$46</f>
        <v>0</v>
      </c>
      <c r="J46" s="9">
        <f t="shared" ref="J46:AR46" si="43">+J37*$C$46</f>
        <v>0</v>
      </c>
      <c r="K46" s="9">
        <f t="shared" si="43"/>
        <v>0</v>
      </c>
      <c r="L46" s="9">
        <f t="shared" si="43"/>
        <v>0</v>
      </c>
      <c r="M46" s="9">
        <f t="shared" si="43"/>
        <v>0</v>
      </c>
      <c r="N46" s="9">
        <f t="shared" si="43"/>
        <v>0</v>
      </c>
      <c r="O46" s="9">
        <f t="shared" si="43"/>
        <v>0</v>
      </c>
      <c r="P46" s="9">
        <f t="shared" si="43"/>
        <v>0</v>
      </c>
      <c r="Q46" s="9">
        <f t="shared" si="43"/>
        <v>0</v>
      </c>
      <c r="R46" s="9">
        <f t="shared" si="43"/>
        <v>0</v>
      </c>
      <c r="S46" s="9">
        <f t="shared" si="43"/>
        <v>0</v>
      </c>
      <c r="T46" s="9">
        <f t="shared" si="43"/>
        <v>0</v>
      </c>
      <c r="U46" s="9">
        <f t="shared" si="43"/>
        <v>0</v>
      </c>
      <c r="V46" s="9">
        <f t="shared" si="43"/>
        <v>0</v>
      </c>
      <c r="W46" s="9">
        <f t="shared" si="43"/>
        <v>0</v>
      </c>
      <c r="X46" s="9">
        <f t="shared" si="43"/>
        <v>0</v>
      </c>
      <c r="Y46" s="9">
        <f t="shared" si="43"/>
        <v>0</v>
      </c>
      <c r="Z46" s="9">
        <f t="shared" si="43"/>
        <v>0</v>
      </c>
      <c r="AA46" s="9">
        <f t="shared" si="43"/>
        <v>0</v>
      </c>
      <c r="AB46" s="9">
        <f t="shared" si="43"/>
        <v>0</v>
      </c>
      <c r="AC46" s="9">
        <f t="shared" si="43"/>
        <v>0</v>
      </c>
      <c r="AD46" s="9">
        <f t="shared" si="43"/>
        <v>33.333333333333336</v>
      </c>
      <c r="AE46" s="9">
        <f t="shared" si="43"/>
        <v>58.333333333333343</v>
      </c>
      <c r="AF46" s="9">
        <f t="shared" si="43"/>
        <v>75</v>
      </c>
      <c r="AG46" s="9">
        <f t="shared" si="43"/>
        <v>78.187500000000014</v>
      </c>
      <c r="AH46" s="9">
        <f t="shared" si="43"/>
        <v>81.51046875000003</v>
      </c>
      <c r="AI46" s="9">
        <f t="shared" si="43"/>
        <v>84.974663671875021</v>
      </c>
      <c r="AJ46" s="9">
        <f t="shared" si="43"/>
        <v>90.252753544596374</v>
      </c>
      <c r="AK46" s="9">
        <f t="shared" si="43"/>
        <v>95.267662236908393</v>
      </c>
      <c r="AL46" s="9">
        <f t="shared" si="43"/>
        <v>100.02591288197699</v>
      </c>
      <c r="AM46" s="9">
        <f t="shared" si="43"/>
        <v>104.27701417946101</v>
      </c>
      <c r="AN46" s="9">
        <f t="shared" si="43"/>
        <v>108.7087872820881</v>
      </c>
      <c r="AO46" s="9">
        <f t="shared" si="43"/>
        <v>113.32891074157686</v>
      </c>
      <c r="AP46" s="9">
        <f t="shared" si="43"/>
        <v>118.22872278142718</v>
      </c>
      <c r="AQ46" s="9">
        <f t="shared" si="43"/>
        <v>123.31240183297119</v>
      </c>
      <c r="AR46" s="9">
        <f t="shared" si="43"/>
        <v>128.58864766087245</v>
      </c>
      <c r="AS46" s="9"/>
    </row>
    <row r="47" spans="2:45" x14ac:dyDescent="0.3">
      <c r="B47" s="1"/>
      <c r="C47" s="17"/>
      <c r="D47" s="1"/>
      <c r="E47" s="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2:45" x14ac:dyDescent="0.3">
      <c r="B48" s="3" t="s">
        <v>7</v>
      </c>
      <c r="C48" s="9"/>
      <c r="D48" s="3"/>
      <c r="E48" s="3"/>
      <c r="F48" s="10"/>
      <c r="G48" s="10"/>
      <c r="H48" s="10"/>
      <c r="I48" s="7"/>
      <c r="J48" s="7"/>
      <c r="K48" s="7"/>
      <c r="L48" s="7"/>
      <c r="M48" s="7"/>
      <c r="N48" s="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2:44" x14ac:dyDescent="0.3">
      <c r="B49" s="1" t="str">
        <f>Parameters!A48</f>
        <v>Primary expense</v>
      </c>
      <c r="C49" s="9"/>
      <c r="D49" s="1"/>
      <c r="E49" s="1"/>
      <c r="F49" s="9"/>
      <c r="G49" s="9"/>
      <c r="H49" s="9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2:44" x14ac:dyDescent="0.3">
      <c r="B50" s="1" t="str">
        <f>Parameters!A49</f>
        <v>Claudio</v>
      </c>
      <c r="C50" s="9">
        <f>Parameters!B49</f>
        <v>150000</v>
      </c>
      <c r="D50" s="1">
        <f>+Parameters!D49+Parameters!G49</f>
        <v>7</v>
      </c>
      <c r="E50" s="1">
        <v>36</v>
      </c>
      <c r="F50" s="9">
        <f>+C50/12</f>
        <v>12500</v>
      </c>
      <c r="G50" s="9">
        <f t="shared" ref="G50:G67" si="44">SUM(I50:AR50)</f>
        <v>375000</v>
      </c>
      <c r="H50" s="9"/>
      <c r="I50" s="7">
        <f>IF(+$D50&gt;I$1,0,IF(I$1&lt;=$E50,$F50,0))</f>
        <v>0</v>
      </c>
      <c r="J50" s="7">
        <f t="shared" ref="J50:AR62" si="45">IF(+$D50&gt;J$1,0,IF(J$1&lt;=$E50,$F50,0))</f>
        <v>0</v>
      </c>
      <c r="K50" s="7">
        <f t="shared" si="45"/>
        <v>0</v>
      </c>
      <c r="L50" s="7">
        <f t="shared" si="45"/>
        <v>0</v>
      </c>
      <c r="M50" s="7">
        <f t="shared" si="45"/>
        <v>0</v>
      </c>
      <c r="N50" s="7">
        <f t="shared" si="45"/>
        <v>0</v>
      </c>
      <c r="O50" s="7">
        <f t="shared" si="45"/>
        <v>12500</v>
      </c>
      <c r="P50" s="7">
        <f t="shared" si="45"/>
        <v>12500</v>
      </c>
      <c r="Q50" s="7">
        <f t="shared" si="45"/>
        <v>12500</v>
      </c>
      <c r="R50" s="7">
        <f t="shared" si="45"/>
        <v>12500</v>
      </c>
      <c r="S50" s="7">
        <f t="shared" si="45"/>
        <v>12500</v>
      </c>
      <c r="T50" s="7">
        <f t="shared" si="45"/>
        <v>12500</v>
      </c>
      <c r="U50" s="7">
        <f t="shared" si="45"/>
        <v>12500</v>
      </c>
      <c r="V50" s="7">
        <f t="shared" si="45"/>
        <v>12500</v>
      </c>
      <c r="W50" s="7">
        <f t="shared" si="45"/>
        <v>12500</v>
      </c>
      <c r="X50" s="7">
        <f t="shared" si="45"/>
        <v>12500</v>
      </c>
      <c r="Y50" s="7">
        <f t="shared" si="45"/>
        <v>12500</v>
      </c>
      <c r="Z50" s="7">
        <f t="shared" si="45"/>
        <v>12500</v>
      </c>
      <c r="AA50" s="7">
        <f t="shared" si="45"/>
        <v>12500</v>
      </c>
      <c r="AB50" s="7">
        <f t="shared" si="45"/>
        <v>12500</v>
      </c>
      <c r="AC50" s="7">
        <f t="shared" si="45"/>
        <v>12500</v>
      </c>
      <c r="AD50" s="7">
        <f t="shared" si="45"/>
        <v>12500</v>
      </c>
      <c r="AE50" s="7">
        <f t="shared" si="45"/>
        <v>12500</v>
      </c>
      <c r="AF50" s="7">
        <f t="shared" si="45"/>
        <v>12500</v>
      </c>
      <c r="AG50" s="7">
        <f t="shared" si="45"/>
        <v>12500</v>
      </c>
      <c r="AH50" s="7">
        <f t="shared" si="45"/>
        <v>12500</v>
      </c>
      <c r="AI50" s="7">
        <f t="shared" si="45"/>
        <v>12500</v>
      </c>
      <c r="AJ50" s="7">
        <f t="shared" si="45"/>
        <v>12500</v>
      </c>
      <c r="AK50" s="7">
        <f t="shared" si="45"/>
        <v>12500</v>
      </c>
      <c r="AL50" s="7">
        <f t="shared" si="45"/>
        <v>12500</v>
      </c>
      <c r="AM50" s="7">
        <f t="shared" si="45"/>
        <v>12500</v>
      </c>
      <c r="AN50" s="7">
        <f t="shared" si="45"/>
        <v>12500</v>
      </c>
      <c r="AO50" s="7">
        <f t="shared" si="45"/>
        <v>12500</v>
      </c>
      <c r="AP50" s="7">
        <f t="shared" si="45"/>
        <v>12500</v>
      </c>
      <c r="AQ50" s="7">
        <f t="shared" si="45"/>
        <v>12500</v>
      </c>
      <c r="AR50" s="7">
        <f t="shared" si="45"/>
        <v>12500</v>
      </c>
    </row>
    <row r="51" spans="2:44" x14ac:dyDescent="0.3">
      <c r="B51" s="1" t="str">
        <f>Parameters!A50</f>
        <v>Steve</v>
      </c>
      <c r="C51" s="9">
        <f>Parameters!B50</f>
        <v>150000</v>
      </c>
      <c r="D51" s="1">
        <f>+Parameters!D50+Parameters!G50</f>
        <v>7</v>
      </c>
      <c r="E51" s="1">
        <v>36</v>
      </c>
      <c r="F51" s="9">
        <f t="shared" ref="F51:F52" si="46">+C51/12</f>
        <v>12500</v>
      </c>
      <c r="G51" s="9">
        <f t="shared" si="44"/>
        <v>375000</v>
      </c>
      <c r="H51" s="9"/>
      <c r="I51" s="7">
        <f t="shared" ref="I51:X67" si="47">IF(+$D51&gt;I$1,0,IF(I$1&lt;=$E51,$F51,0))</f>
        <v>0</v>
      </c>
      <c r="J51" s="7">
        <f t="shared" si="45"/>
        <v>0</v>
      </c>
      <c r="K51" s="7">
        <f t="shared" si="45"/>
        <v>0</v>
      </c>
      <c r="L51" s="7">
        <f t="shared" si="45"/>
        <v>0</v>
      </c>
      <c r="M51" s="7">
        <f t="shared" si="45"/>
        <v>0</v>
      </c>
      <c r="N51" s="7">
        <f t="shared" si="45"/>
        <v>0</v>
      </c>
      <c r="O51" s="7">
        <f t="shared" si="45"/>
        <v>12500</v>
      </c>
      <c r="P51" s="7">
        <f t="shared" si="45"/>
        <v>12500</v>
      </c>
      <c r="Q51" s="7">
        <f t="shared" si="45"/>
        <v>12500</v>
      </c>
      <c r="R51" s="7">
        <f t="shared" si="45"/>
        <v>12500</v>
      </c>
      <c r="S51" s="7">
        <f t="shared" si="45"/>
        <v>12500</v>
      </c>
      <c r="T51" s="7">
        <f t="shared" si="45"/>
        <v>12500</v>
      </c>
      <c r="U51" s="7">
        <f t="shared" si="45"/>
        <v>12500</v>
      </c>
      <c r="V51" s="7">
        <f t="shared" si="45"/>
        <v>12500</v>
      </c>
      <c r="W51" s="7">
        <f t="shared" si="45"/>
        <v>12500</v>
      </c>
      <c r="X51" s="7">
        <f t="shared" si="45"/>
        <v>12500</v>
      </c>
      <c r="Y51" s="7">
        <f t="shared" si="45"/>
        <v>12500</v>
      </c>
      <c r="Z51" s="7">
        <f t="shared" si="45"/>
        <v>12500</v>
      </c>
      <c r="AA51" s="7">
        <f t="shared" si="45"/>
        <v>12500</v>
      </c>
      <c r="AB51" s="7">
        <f t="shared" si="45"/>
        <v>12500</v>
      </c>
      <c r="AC51" s="7">
        <f t="shared" si="45"/>
        <v>12500</v>
      </c>
      <c r="AD51" s="7">
        <f t="shared" si="45"/>
        <v>12500</v>
      </c>
      <c r="AE51" s="7">
        <f t="shared" si="45"/>
        <v>12500</v>
      </c>
      <c r="AF51" s="7">
        <f t="shared" si="45"/>
        <v>12500</v>
      </c>
      <c r="AG51" s="7">
        <f t="shared" si="45"/>
        <v>12500</v>
      </c>
      <c r="AH51" s="7">
        <f t="shared" si="45"/>
        <v>12500</v>
      </c>
      <c r="AI51" s="7">
        <f t="shared" si="45"/>
        <v>12500</v>
      </c>
      <c r="AJ51" s="7">
        <f t="shared" si="45"/>
        <v>12500</v>
      </c>
      <c r="AK51" s="7">
        <f t="shared" si="45"/>
        <v>12500</v>
      </c>
      <c r="AL51" s="7">
        <f t="shared" si="45"/>
        <v>12500</v>
      </c>
      <c r="AM51" s="7">
        <f t="shared" si="45"/>
        <v>12500</v>
      </c>
      <c r="AN51" s="7">
        <f t="shared" si="45"/>
        <v>12500</v>
      </c>
      <c r="AO51" s="7">
        <f t="shared" si="45"/>
        <v>12500</v>
      </c>
      <c r="AP51" s="7">
        <f t="shared" si="45"/>
        <v>12500</v>
      </c>
      <c r="AQ51" s="7">
        <f t="shared" si="45"/>
        <v>12500</v>
      </c>
      <c r="AR51" s="7">
        <f t="shared" si="45"/>
        <v>12500</v>
      </c>
    </row>
    <row r="52" spans="2:44" x14ac:dyDescent="0.3">
      <c r="B52" s="1" t="str">
        <f>Parameters!A51</f>
        <v>Assistant</v>
      </c>
      <c r="C52" s="9">
        <f>Parameters!B51</f>
        <v>60000</v>
      </c>
      <c r="D52" s="1">
        <f>+Parameters!D51+Parameters!G51</f>
        <v>7</v>
      </c>
      <c r="E52" s="1">
        <v>36</v>
      </c>
      <c r="F52" s="9">
        <f t="shared" si="46"/>
        <v>5000</v>
      </c>
      <c r="G52" s="9">
        <f t="shared" si="44"/>
        <v>150000</v>
      </c>
      <c r="H52" s="9"/>
      <c r="I52" s="7">
        <f t="shared" si="47"/>
        <v>0</v>
      </c>
      <c r="J52" s="7">
        <f t="shared" si="45"/>
        <v>0</v>
      </c>
      <c r="K52" s="7">
        <f t="shared" si="45"/>
        <v>0</v>
      </c>
      <c r="L52" s="7">
        <f t="shared" si="45"/>
        <v>0</v>
      </c>
      <c r="M52" s="7">
        <f t="shared" si="45"/>
        <v>0</v>
      </c>
      <c r="N52" s="7">
        <f t="shared" si="45"/>
        <v>0</v>
      </c>
      <c r="O52" s="7">
        <f t="shared" si="45"/>
        <v>5000</v>
      </c>
      <c r="P52" s="7">
        <f t="shared" si="45"/>
        <v>5000</v>
      </c>
      <c r="Q52" s="7">
        <f t="shared" si="45"/>
        <v>5000</v>
      </c>
      <c r="R52" s="7">
        <f t="shared" si="45"/>
        <v>5000</v>
      </c>
      <c r="S52" s="7">
        <f t="shared" si="45"/>
        <v>5000</v>
      </c>
      <c r="T52" s="7">
        <f t="shared" si="45"/>
        <v>5000</v>
      </c>
      <c r="U52" s="7">
        <f t="shared" si="45"/>
        <v>5000</v>
      </c>
      <c r="V52" s="7">
        <f t="shared" si="45"/>
        <v>5000</v>
      </c>
      <c r="W52" s="7">
        <f t="shared" si="45"/>
        <v>5000</v>
      </c>
      <c r="X52" s="7">
        <f t="shared" si="45"/>
        <v>5000</v>
      </c>
      <c r="Y52" s="7">
        <f t="shared" si="45"/>
        <v>5000</v>
      </c>
      <c r="Z52" s="7">
        <f t="shared" si="45"/>
        <v>5000</v>
      </c>
      <c r="AA52" s="7">
        <f t="shared" si="45"/>
        <v>5000</v>
      </c>
      <c r="AB52" s="7">
        <f t="shared" si="45"/>
        <v>5000</v>
      </c>
      <c r="AC52" s="7">
        <f t="shared" si="45"/>
        <v>5000</v>
      </c>
      <c r="AD52" s="7">
        <f t="shared" si="45"/>
        <v>5000</v>
      </c>
      <c r="AE52" s="7">
        <f t="shared" si="45"/>
        <v>5000</v>
      </c>
      <c r="AF52" s="7">
        <f t="shared" si="45"/>
        <v>5000</v>
      </c>
      <c r="AG52" s="7">
        <f t="shared" si="45"/>
        <v>5000</v>
      </c>
      <c r="AH52" s="7">
        <f t="shared" si="45"/>
        <v>5000</v>
      </c>
      <c r="AI52" s="7">
        <f t="shared" si="45"/>
        <v>5000</v>
      </c>
      <c r="AJ52" s="7">
        <f t="shared" si="45"/>
        <v>5000</v>
      </c>
      <c r="AK52" s="7">
        <f t="shared" si="45"/>
        <v>5000</v>
      </c>
      <c r="AL52" s="7">
        <f t="shared" si="45"/>
        <v>5000</v>
      </c>
      <c r="AM52" s="7">
        <f t="shared" si="45"/>
        <v>5000</v>
      </c>
      <c r="AN52" s="7">
        <f t="shared" si="45"/>
        <v>5000</v>
      </c>
      <c r="AO52" s="7">
        <f t="shared" si="45"/>
        <v>5000</v>
      </c>
      <c r="AP52" s="7">
        <f t="shared" si="45"/>
        <v>5000</v>
      </c>
      <c r="AQ52" s="7">
        <f t="shared" si="45"/>
        <v>5000</v>
      </c>
      <c r="AR52" s="7">
        <f t="shared" si="45"/>
        <v>5000</v>
      </c>
    </row>
    <row r="53" spans="2:44" x14ac:dyDescent="0.3">
      <c r="B53" s="1" t="str">
        <f>Parameters!A49</f>
        <v>Claudio</v>
      </c>
      <c r="C53" s="9">
        <f>Parameters!B49*(1-Parameters!F49)</f>
        <v>60000</v>
      </c>
      <c r="D53" s="1">
        <f>Parameters!D49</f>
        <v>1</v>
      </c>
      <c r="E53" s="1">
        <f>Parameters!G49</f>
        <v>6</v>
      </c>
      <c r="F53" s="9">
        <f>+C53/12</f>
        <v>5000</v>
      </c>
      <c r="G53" s="9">
        <f t="shared" ref="G53:G55" si="48">SUM(I53:AR53)</f>
        <v>30000</v>
      </c>
      <c r="H53" s="9"/>
      <c r="I53" s="7">
        <f>IF(+$D53&gt;I$1,0,IF(I$1&lt;=$E53,$F53,0))</f>
        <v>5000</v>
      </c>
      <c r="J53" s="7">
        <f t="shared" ref="J53:AR55" si="49">IF(+$D53&gt;J$1,0,IF(J$1&lt;=$E53,$F53,0))</f>
        <v>5000</v>
      </c>
      <c r="K53" s="7">
        <f t="shared" si="49"/>
        <v>5000</v>
      </c>
      <c r="L53" s="7">
        <f t="shared" si="49"/>
        <v>5000</v>
      </c>
      <c r="M53" s="7">
        <f t="shared" si="49"/>
        <v>5000</v>
      </c>
      <c r="N53" s="7">
        <f t="shared" si="49"/>
        <v>5000</v>
      </c>
      <c r="O53" s="7">
        <f t="shared" si="49"/>
        <v>0</v>
      </c>
      <c r="P53" s="7">
        <f t="shared" si="49"/>
        <v>0</v>
      </c>
      <c r="Q53" s="7">
        <f t="shared" si="49"/>
        <v>0</v>
      </c>
      <c r="R53" s="7">
        <f t="shared" si="49"/>
        <v>0</v>
      </c>
      <c r="S53" s="7">
        <f t="shared" si="49"/>
        <v>0</v>
      </c>
      <c r="T53" s="7">
        <f t="shared" si="49"/>
        <v>0</v>
      </c>
      <c r="U53" s="7">
        <f t="shared" si="49"/>
        <v>0</v>
      </c>
      <c r="V53" s="7">
        <f t="shared" si="49"/>
        <v>0</v>
      </c>
      <c r="W53" s="7">
        <f t="shared" si="49"/>
        <v>0</v>
      </c>
      <c r="X53" s="7">
        <f t="shared" si="49"/>
        <v>0</v>
      </c>
      <c r="Y53" s="7">
        <f t="shared" si="49"/>
        <v>0</v>
      </c>
      <c r="Z53" s="7">
        <f t="shared" si="49"/>
        <v>0</v>
      </c>
      <c r="AA53" s="7">
        <f t="shared" si="49"/>
        <v>0</v>
      </c>
      <c r="AB53" s="7">
        <f t="shared" si="49"/>
        <v>0</v>
      </c>
      <c r="AC53" s="7">
        <f t="shared" si="49"/>
        <v>0</v>
      </c>
      <c r="AD53" s="7">
        <f t="shared" si="49"/>
        <v>0</v>
      </c>
      <c r="AE53" s="7">
        <f t="shared" si="49"/>
        <v>0</v>
      </c>
      <c r="AF53" s="7">
        <f t="shared" si="49"/>
        <v>0</v>
      </c>
      <c r="AG53" s="7">
        <f t="shared" si="49"/>
        <v>0</v>
      </c>
      <c r="AH53" s="7">
        <f t="shared" si="49"/>
        <v>0</v>
      </c>
      <c r="AI53" s="7">
        <f t="shared" si="49"/>
        <v>0</v>
      </c>
      <c r="AJ53" s="7">
        <f t="shared" si="49"/>
        <v>0</v>
      </c>
      <c r="AK53" s="7">
        <f t="shared" si="49"/>
        <v>0</v>
      </c>
      <c r="AL53" s="7">
        <f t="shared" si="49"/>
        <v>0</v>
      </c>
      <c r="AM53" s="7">
        <f t="shared" si="49"/>
        <v>0</v>
      </c>
      <c r="AN53" s="7">
        <f t="shared" si="49"/>
        <v>0</v>
      </c>
      <c r="AO53" s="7">
        <f t="shared" si="49"/>
        <v>0</v>
      </c>
      <c r="AP53" s="7">
        <f t="shared" si="49"/>
        <v>0</v>
      </c>
      <c r="AQ53" s="7">
        <f t="shared" si="49"/>
        <v>0</v>
      </c>
      <c r="AR53" s="7">
        <f t="shared" si="49"/>
        <v>0</v>
      </c>
    </row>
    <row r="54" spans="2:44" x14ac:dyDescent="0.3">
      <c r="B54" s="1" t="str">
        <f>Parameters!A50</f>
        <v>Steve</v>
      </c>
      <c r="C54" s="9">
        <f>Parameters!B50*(1-Parameters!F50)</f>
        <v>75000</v>
      </c>
      <c r="D54" s="1">
        <f>Parameters!D50</f>
        <v>1</v>
      </c>
      <c r="E54" s="1">
        <f>Parameters!G50</f>
        <v>6</v>
      </c>
      <c r="F54" s="9">
        <f t="shared" ref="F54:F55" si="50">+C54/12</f>
        <v>6250</v>
      </c>
      <c r="G54" s="9">
        <f t="shared" si="48"/>
        <v>37500</v>
      </c>
      <c r="H54" s="9"/>
      <c r="I54" s="7">
        <f t="shared" si="47"/>
        <v>6250</v>
      </c>
      <c r="J54" s="7">
        <f t="shared" si="49"/>
        <v>6250</v>
      </c>
      <c r="K54" s="7">
        <f t="shared" si="49"/>
        <v>6250</v>
      </c>
      <c r="L54" s="7">
        <f t="shared" si="49"/>
        <v>6250</v>
      </c>
      <c r="M54" s="7">
        <f t="shared" si="49"/>
        <v>6250</v>
      </c>
      <c r="N54" s="7">
        <f t="shared" si="49"/>
        <v>6250</v>
      </c>
      <c r="O54" s="7">
        <f t="shared" si="49"/>
        <v>0</v>
      </c>
      <c r="P54" s="7">
        <f t="shared" si="49"/>
        <v>0</v>
      </c>
      <c r="Q54" s="7">
        <f t="shared" si="49"/>
        <v>0</v>
      </c>
      <c r="R54" s="7">
        <f t="shared" si="49"/>
        <v>0</v>
      </c>
      <c r="S54" s="7">
        <f t="shared" si="49"/>
        <v>0</v>
      </c>
      <c r="T54" s="7">
        <f t="shared" si="49"/>
        <v>0</v>
      </c>
      <c r="U54" s="7">
        <f t="shared" si="49"/>
        <v>0</v>
      </c>
      <c r="V54" s="7">
        <f t="shared" si="49"/>
        <v>0</v>
      </c>
      <c r="W54" s="7">
        <f t="shared" si="49"/>
        <v>0</v>
      </c>
      <c r="X54" s="7">
        <f t="shared" si="49"/>
        <v>0</v>
      </c>
      <c r="Y54" s="7">
        <f t="shared" si="49"/>
        <v>0</v>
      </c>
      <c r="Z54" s="7">
        <f t="shared" si="49"/>
        <v>0</v>
      </c>
      <c r="AA54" s="7">
        <f t="shared" si="49"/>
        <v>0</v>
      </c>
      <c r="AB54" s="7">
        <f t="shared" si="49"/>
        <v>0</v>
      </c>
      <c r="AC54" s="7">
        <f t="shared" si="49"/>
        <v>0</v>
      </c>
      <c r="AD54" s="7">
        <f t="shared" si="49"/>
        <v>0</v>
      </c>
      <c r="AE54" s="7">
        <f t="shared" si="49"/>
        <v>0</v>
      </c>
      <c r="AF54" s="7">
        <f t="shared" si="49"/>
        <v>0</v>
      </c>
      <c r="AG54" s="7">
        <f t="shared" si="49"/>
        <v>0</v>
      </c>
      <c r="AH54" s="7">
        <f t="shared" si="49"/>
        <v>0</v>
      </c>
      <c r="AI54" s="7">
        <f t="shared" si="49"/>
        <v>0</v>
      </c>
      <c r="AJ54" s="7">
        <f t="shared" si="49"/>
        <v>0</v>
      </c>
      <c r="AK54" s="7">
        <f t="shared" si="49"/>
        <v>0</v>
      </c>
      <c r="AL54" s="7">
        <f t="shared" si="49"/>
        <v>0</v>
      </c>
      <c r="AM54" s="7">
        <f t="shared" si="49"/>
        <v>0</v>
      </c>
      <c r="AN54" s="7">
        <f t="shared" si="49"/>
        <v>0</v>
      </c>
      <c r="AO54" s="7">
        <f t="shared" si="49"/>
        <v>0</v>
      </c>
      <c r="AP54" s="7">
        <f t="shared" si="49"/>
        <v>0</v>
      </c>
      <c r="AQ54" s="7">
        <f t="shared" si="49"/>
        <v>0</v>
      </c>
      <c r="AR54" s="7">
        <f t="shared" si="49"/>
        <v>0</v>
      </c>
    </row>
    <row r="55" spans="2:44" x14ac:dyDescent="0.3">
      <c r="B55" s="1" t="str">
        <f>Parameters!A51</f>
        <v>Assistant</v>
      </c>
      <c r="C55" s="9">
        <f>Parameters!B51*(1-Parameters!F51)</f>
        <v>30000</v>
      </c>
      <c r="D55" s="1">
        <f>Parameters!D51</f>
        <v>1</v>
      </c>
      <c r="E55" s="1">
        <f>Parameters!G51</f>
        <v>6</v>
      </c>
      <c r="F55" s="9">
        <f t="shared" si="50"/>
        <v>2500</v>
      </c>
      <c r="G55" s="9">
        <f t="shared" si="48"/>
        <v>15000</v>
      </c>
      <c r="H55" s="9"/>
      <c r="I55" s="7">
        <f t="shared" si="47"/>
        <v>2500</v>
      </c>
      <c r="J55" s="7">
        <f t="shared" si="49"/>
        <v>2500</v>
      </c>
      <c r="K55" s="7">
        <f t="shared" si="49"/>
        <v>2500</v>
      </c>
      <c r="L55" s="7">
        <f t="shared" si="49"/>
        <v>2500</v>
      </c>
      <c r="M55" s="7">
        <f t="shared" si="49"/>
        <v>2500</v>
      </c>
      <c r="N55" s="7">
        <f t="shared" si="49"/>
        <v>2500</v>
      </c>
      <c r="O55" s="7">
        <f t="shared" si="49"/>
        <v>0</v>
      </c>
      <c r="P55" s="7">
        <f t="shared" si="49"/>
        <v>0</v>
      </c>
      <c r="Q55" s="7">
        <f t="shared" si="49"/>
        <v>0</v>
      </c>
      <c r="R55" s="7">
        <f t="shared" si="49"/>
        <v>0</v>
      </c>
      <c r="S55" s="7">
        <f t="shared" si="49"/>
        <v>0</v>
      </c>
      <c r="T55" s="7">
        <f t="shared" si="49"/>
        <v>0</v>
      </c>
      <c r="U55" s="7">
        <f t="shared" si="49"/>
        <v>0</v>
      </c>
      <c r="V55" s="7">
        <f t="shared" si="49"/>
        <v>0</v>
      </c>
      <c r="W55" s="7">
        <f t="shared" si="49"/>
        <v>0</v>
      </c>
      <c r="X55" s="7">
        <f t="shared" si="49"/>
        <v>0</v>
      </c>
      <c r="Y55" s="7">
        <f t="shared" si="49"/>
        <v>0</v>
      </c>
      <c r="Z55" s="7">
        <f t="shared" si="49"/>
        <v>0</v>
      </c>
      <c r="AA55" s="7">
        <f t="shared" si="49"/>
        <v>0</v>
      </c>
      <c r="AB55" s="7">
        <f t="shared" si="49"/>
        <v>0</v>
      </c>
      <c r="AC55" s="7">
        <f t="shared" si="49"/>
        <v>0</v>
      </c>
      <c r="AD55" s="7">
        <f t="shared" si="49"/>
        <v>0</v>
      </c>
      <c r="AE55" s="7">
        <f t="shared" si="49"/>
        <v>0</v>
      </c>
      <c r="AF55" s="7">
        <f t="shared" si="49"/>
        <v>0</v>
      </c>
      <c r="AG55" s="7">
        <f t="shared" si="49"/>
        <v>0</v>
      </c>
      <c r="AH55" s="7">
        <f t="shared" si="49"/>
        <v>0</v>
      </c>
      <c r="AI55" s="7">
        <f t="shared" si="49"/>
        <v>0</v>
      </c>
      <c r="AJ55" s="7">
        <f t="shared" si="49"/>
        <v>0</v>
      </c>
      <c r="AK55" s="7">
        <f t="shared" si="49"/>
        <v>0</v>
      </c>
      <c r="AL55" s="7">
        <f t="shared" si="49"/>
        <v>0</v>
      </c>
      <c r="AM55" s="7">
        <f t="shared" si="49"/>
        <v>0</v>
      </c>
      <c r="AN55" s="7">
        <f t="shared" si="49"/>
        <v>0</v>
      </c>
      <c r="AO55" s="7">
        <f t="shared" si="49"/>
        <v>0</v>
      </c>
      <c r="AP55" s="7">
        <f t="shared" si="49"/>
        <v>0</v>
      </c>
      <c r="AQ55" s="7">
        <f t="shared" si="49"/>
        <v>0</v>
      </c>
      <c r="AR55" s="7">
        <f t="shared" si="49"/>
        <v>0</v>
      </c>
    </row>
    <row r="56" spans="2:44" x14ac:dyDescent="0.3">
      <c r="B56" s="1" t="str">
        <f>Parameters!A53</f>
        <v>Legal Costs</v>
      </c>
      <c r="C56" s="9">
        <f>+Parameters!B53</f>
        <v>20000</v>
      </c>
      <c r="D56" s="1">
        <f>+Parameters!D53</f>
        <v>10</v>
      </c>
      <c r="E56" s="1">
        <v>36</v>
      </c>
      <c r="F56" s="9">
        <f>+C56</f>
        <v>20000</v>
      </c>
      <c r="G56" s="9">
        <f t="shared" si="44"/>
        <v>540000</v>
      </c>
      <c r="H56" s="9"/>
      <c r="I56" s="7">
        <f t="shared" si="47"/>
        <v>0</v>
      </c>
      <c r="J56" s="7">
        <f t="shared" si="45"/>
        <v>0</v>
      </c>
      <c r="K56" s="7">
        <f t="shared" si="45"/>
        <v>0</v>
      </c>
      <c r="L56" s="7">
        <f t="shared" si="45"/>
        <v>0</v>
      </c>
      <c r="M56" s="7">
        <f t="shared" si="45"/>
        <v>0</v>
      </c>
      <c r="N56" s="7">
        <f t="shared" si="45"/>
        <v>0</v>
      </c>
      <c r="O56" s="7">
        <f t="shared" si="45"/>
        <v>0</v>
      </c>
      <c r="P56" s="7">
        <f t="shared" si="45"/>
        <v>0</v>
      </c>
      <c r="Q56" s="7">
        <f t="shared" si="45"/>
        <v>0</v>
      </c>
      <c r="R56" s="7">
        <f t="shared" si="45"/>
        <v>20000</v>
      </c>
      <c r="S56" s="7">
        <f t="shared" si="45"/>
        <v>20000</v>
      </c>
      <c r="T56" s="7">
        <f t="shared" si="45"/>
        <v>20000</v>
      </c>
      <c r="U56" s="7">
        <f t="shared" si="45"/>
        <v>20000</v>
      </c>
      <c r="V56" s="7">
        <f t="shared" si="45"/>
        <v>20000</v>
      </c>
      <c r="W56" s="7">
        <f t="shared" si="45"/>
        <v>20000</v>
      </c>
      <c r="X56" s="7">
        <f t="shared" si="45"/>
        <v>20000</v>
      </c>
      <c r="Y56" s="7">
        <f t="shared" si="45"/>
        <v>20000</v>
      </c>
      <c r="Z56" s="7">
        <f t="shared" si="45"/>
        <v>20000</v>
      </c>
      <c r="AA56" s="7">
        <f t="shared" si="45"/>
        <v>20000</v>
      </c>
      <c r="AB56" s="7">
        <f t="shared" si="45"/>
        <v>20000</v>
      </c>
      <c r="AC56" s="7">
        <f t="shared" si="45"/>
        <v>20000</v>
      </c>
      <c r="AD56" s="7">
        <f t="shared" si="45"/>
        <v>20000</v>
      </c>
      <c r="AE56" s="7">
        <f t="shared" si="45"/>
        <v>20000</v>
      </c>
      <c r="AF56" s="7">
        <f t="shared" si="45"/>
        <v>20000</v>
      </c>
      <c r="AG56" s="7">
        <f t="shared" si="45"/>
        <v>20000</v>
      </c>
      <c r="AH56" s="7">
        <f t="shared" si="45"/>
        <v>20000</v>
      </c>
      <c r="AI56" s="7">
        <f t="shared" si="45"/>
        <v>20000</v>
      </c>
      <c r="AJ56" s="7">
        <f t="shared" si="45"/>
        <v>20000</v>
      </c>
      <c r="AK56" s="7">
        <f t="shared" si="45"/>
        <v>20000</v>
      </c>
      <c r="AL56" s="7">
        <f t="shared" si="45"/>
        <v>20000</v>
      </c>
      <c r="AM56" s="7">
        <f t="shared" si="45"/>
        <v>20000</v>
      </c>
      <c r="AN56" s="7">
        <f t="shared" si="45"/>
        <v>20000</v>
      </c>
      <c r="AO56" s="7">
        <f t="shared" si="45"/>
        <v>20000</v>
      </c>
      <c r="AP56" s="7">
        <f t="shared" si="45"/>
        <v>20000</v>
      </c>
      <c r="AQ56" s="7">
        <f t="shared" si="45"/>
        <v>20000</v>
      </c>
      <c r="AR56" s="7">
        <f t="shared" si="45"/>
        <v>20000</v>
      </c>
    </row>
    <row r="57" spans="2:44" x14ac:dyDescent="0.3">
      <c r="B57" s="1" t="str">
        <f>Parameters!A54</f>
        <v>Staff</v>
      </c>
      <c r="C57" s="9">
        <f>+Parameters!B54</f>
        <v>4000</v>
      </c>
      <c r="D57" s="1">
        <f>+Parameters!D54</f>
        <v>12</v>
      </c>
      <c r="E57" s="1">
        <f>+D57+Parameters!F54-1</f>
        <v>17</v>
      </c>
      <c r="F57" s="9">
        <f>+C57</f>
        <v>4000</v>
      </c>
      <c r="G57" s="9">
        <f t="shared" si="44"/>
        <v>24000</v>
      </c>
      <c r="H57" s="9"/>
      <c r="I57" s="7">
        <f t="shared" si="47"/>
        <v>0</v>
      </c>
      <c r="J57" s="7">
        <f t="shared" si="47"/>
        <v>0</v>
      </c>
      <c r="K57" s="7">
        <f t="shared" si="47"/>
        <v>0</v>
      </c>
      <c r="L57" s="7">
        <f t="shared" si="47"/>
        <v>0</v>
      </c>
      <c r="M57" s="7">
        <f t="shared" si="47"/>
        <v>0</v>
      </c>
      <c r="N57" s="7">
        <f t="shared" si="47"/>
        <v>0</v>
      </c>
      <c r="O57" s="7">
        <f t="shared" si="47"/>
        <v>0</v>
      </c>
      <c r="P57" s="7">
        <f t="shared" si="47"/>
        <v>0</v>
      </c>
      <c r="Q57" s="7">
        <f t="shared" si="47"/>
        <v>0</v>
      </c>
      <c r="R57" s="7">
        <f t="shared" si="47"/>
        <v>0</v>
      </c>
      <c r="S57" s="7">
        <f t="shared" si="47"/>
        <v>0</v>
      </c>
      <c r="T57" s="7">
        <f t="shared" si="47"/>
        <v>4000</v>
      </c>
      <c r="U57" s="7">
        <f t="shared" si="47"/>
        <v>4000</v>
      </c>
      <c r="V57" s="7">
        <f t="shared" si="47"/>
        <v>4000</v>
      </c>
      <c r="W57" s="7">
        <f t="shared" si="47"/>
        <v>4000</v>
      </c>
      <c r="X57" s="7">
        <f t="shared" si="47"/>
        <v>4000</v>
      </c>
      <c r="Y57" s="7">
        <f t="shared" si="45"/>
        <v>4000</v>
      </c>
      <c r="Z57" s="7">
        <f t="shared" si="45"/>
        <v>0</v>
      </c>
      <c r="AA57" s="7">
        <f t="shared" si="45"/>
        <v>0</v>
      </c>
      <c r="AB57" s="7">
        <f t="shared" si="45"/>
        <v>0</v>
      </c>
      <c r="AC57" s="7">
        <f t="shared" si="45"/>
        <v>0</v>
      </c>
      <c r="AD57" s="7">
        <f t="shared" si="45"/>
        <v>0</v>
      </c>
      <c r="AE57" s="7">
        <f t="shared" si="45"/>
        <v>0</v>
      </c>
      <c r="AF57" s="7">
        <f t="shared" si="45"/>
        <v>0</v>
      </c>
      <c r="AG57" s="7">
        <f t="shared" si="45"/>
        <v>0</v>
      </c>
      <c r="AH57" s="7">
        <f t="shared" si="45"/>
        <v>0</v>
      </c>
      <c r="AI57" s="7">
        <f t="shared" si="45"/>
        <v>0</v>
      </c>
      <c r="AJ57" s="7">
        <f t="shared" si="45"/>
        <v>0</v>
      </c>
      <c r="AK57" s="7">
        <f t="shared" si="45"/>
        <v>0</v>
      </c>
      <c r="AL57" s="7">
        <f t="shared" si="45"/>
        <v>0</v>
      </c>
      <c r="AM57" s="7">
        <f t="shared" si="45"/>
        <v>0</v>
      </c>
      <c r="AN57" s="7">
        <f t="shared" si="45"/>
        <v>0</v>
      </c>
      <c r="AO57" s="7">
        <f t="shared" si="45"/>
        <v>0</v>
      </c>
      <c r="AP57" s="7">
        <f t="shared" si="45"/>
        <v>0</v>
      </c>
      <c r="AQ57" s="7">
        <f t="shared" si="45"/>
        <v>0</v>
      </c>
      <c r="AR57" s="7">
        <f t="shared" si="45"/>
        <v>0</v>
      </c>
    </row>
    <row r="58" spans="2:44" x14ac:dyDescent="0.3">
      <c r="B58" s="1" t="str">
        <f>Parameters!A55</f>
        <v>Staff</v>
      </c>
      <c r="C58" s="9">
        <f>+Parameters!B55</f>
        <v>8000</v>
      </c>
      <c r="D58" s="1">
        <f>+E57+1</f>
        <v>18</v>
      </c>
      <c r="E58" s="1">
        <f>D58+Parameters!D56-1</f>
        <v>21</v>
      </c>
      <c r="F58" s="9">
        <f t="shared" ref="F58" si="51">+C58</f>
        <v>8000</v>
      </c>
      <c r="G58" s="9">
        <f t="shared" si="44"/>
        <v>32000</v>
      </c>
      <c r="I58" s="7">
        <f t="shared" si="47"/>
        <v>0</v>
      </c>
      <c r="J58" s="7">
        <f t="shared" si="47"/>
        <v>0</v>
      </c>
      <c r="K58" s="7">
        <f t="shared" si="47"/>
        <v>0</v>
      </c>
      <c r="L58" s="7">
        <f t="shared" si="47"/>
        <v>0</v>
      </c>
      <c r="M58" s="7">
        <f t="shared" si="47"/>
        <v>0</v>
      </c>
      <c r="N58" s="7">
        <f t="shared" si="47"/>
        <v>0</v>
      </c>
      <c r="O58" s="7">
        <f t="shared" si="47"/>
        <v>0</v>
      </c>
      <c r="P58" s="7">
        <f t="shared" si="47"/>
        <v>0</v>
      </c>
      <c r="Q58" s="7">
        <f t="shared" si="47"/>
        <v>0</v>
      </c>
      <c r="R58" s="7">
        <f t="shared" si="47"/>
        <v>0</v>
      </c>
      <c r="S58" s="7">
        <f t="shared" si="47"/>
        <v>0</v>
      </c>
      <c r="T58" s="7">
        <f t="shared" si="47"/>
        <v>0</v>
      </c>
      <c r="U58" s="7">
        <f t="shared" si="47"/>
        <v>0</v>
      </c>
      <c r="V58" s="7">
        <f t="shared" si="47"/>
        <v>0</v>
      </c>
      <c r="W58" s="7">
        <f t="shared" si="47"/>
        <v>0</v>
      </c>
      <c r="X58" s="7">
        <f t="shared" si="47"/>
        <v>0</v>
      </c>
      <c r="Y58" s="7">
        <f t="shared" si="45"/>
        <v>0</v>
      </c>
      <c r="Z58" s="7">
        <f t="shared" si="45"/>
        <v>8000</v>
      </c>
      <c r="AA58" s="7">
        <f t="shared" si="45"/>
        <v>8000</v>
      </c>
      <c r="AB58" s="7">
        <f t="shared" si="45"/>
        <v>8000</v>
      </c>
      <c r="AC58" s="7">
        <f t="shared" si="45"/>
        <v>8000</v>
      </c>
      <c r="AD58" s="7">
        <f t="shared" si="45"/>
        <v>0</v>
      </c>
      <c r="AE58" s="7">
        <f t="shared" si="45"/>
        <v>0</v>
      </c>
      <c r="AF58" s="7">
        <f t="shared" si="45"/>
        <v>0</v>
      </c>
      <c r="AG58" s="7">
        <f t="shared" si="45"/>
        <v>0</v>
      </c>
      <c r="AH58" s="7">
        <f t="shared" si="45"/>
        <v>0</v>
      </c>
      <c r="AI58" s="7">
        <f t="shared" si="45"/>
        <v>0</v>
      </c>
      <c r="AJ58" s="7">
        <f t="shared" si="45"/>
        <v>0</v>
      </c>
      <c r="AK58" s="7">
        <f t="shared" si="45"/>
        <v>0</v>
      </c>
      <c r="AL58" s="7">
        <f t="shared" si="45"/>
        <v>0</v>
      </c>
      <c r="AM58" s="7">
        <f t="shared" si="45"/>
        <v>0</v>
      </c>
      <c r="AN58" s="7">
        <f t="shared" si="45"/>
        <v>0</v>
      </c>
      <c r="AO58" s="7">
        <f t="shared" si="45"/>
        <v>0</v>
      </c>
      <c r="AP58" s="7">
        <f t="shared" si="45"/>
        <v>0</v>
      </c>
      <c r="AQ58" s="7">
        <f t="shared" si="45"/>
        <v>0</v>
      </c>
      <c r="AR58" s="7">
        <f t="shared" si="45"/>
        <v>0</v>
      </c>
    </row>
    <row r="59" spans="2:44" x14ac:dyDescent="0.3">
      <c r="B59" s="1" t="str">
        <f>Parameters!A56</f>
        <v>Staff Increase</v>
      </c>
      <c r="C59" s="9">
        <f>+Parameters!B56</f>
        <v>8000</v>
      </c>
      <c r="D59" s="1">
        <f>+E58+1</f>
        <v>22</v>
      </c>
      <c r="E59" s="1">
        <f>+D59+Parameters!D56-1</f>
        <v>25</v>
      </c>
      <c r="F59" s="9">
        <f>+F58+C59</f>
        <v>16000</v>
      </c>
      <c r="G59" s="9">
        <f t="shared" si="44"/>
        <v>64000</v>
      </c>
      <c r="I59" s="7">
        <f t="shared" si="47"/>
        <v>0</v>
      </c>
      <c r="J59" s="7">
        <f t="shared" si="47"/>
        <v>0</v>
      </c>
      <c r="K59" s="7">
        <f t="shared" si="47"/>
        <v>0</v>
      </c>
      <c r="L59" s="7">
        <f t="shared" si="47"/>
        <v>0</v>
      </c>
      <c r="M59" s="7">
        <f t="shared" si="47"/>
        <v>0</v>
      </c>
      <c r="N59" s="7">
        <f t="shared" si="47"/>
        <v>0</v>
      </c>
      <c r="O59" s="7">
        <f t="shared" si="47"/>
        <v>0</v>
      </c>
      <c r="P59" s="7">
        <f t="shared" si="47"/>
        <v>0</v>
      </c>
      <c r="Q59" s="7">
        <f t="shared" si="47"/>
        <v>0</v>
      </c>
      <c r="R59" s="7">
        <f t="shared" si="47"/>
        <v>0</v>
      </c>
      <c r="S59" s="7">
        <f t="shared" si="47"/>
        <v>0</v>
      </c>
      <c r="T59" s="7">
        <f t="shared" si="47"/>
        <v>0</v>
      </c>
      <c r="U59" s="7">
        <f t="shared" si="47"/>
        <v>0</v>
      </c>
      <c r="V59" s="7">
        <f t="shared" si="47"/>
        <v>0</v>
      </c>
      <c r="W59" s="7">
        <f t="shared" si="47"/>
        <v>0</v>
      </c>
      <c r="X59" s="7">
        <f t="shared" si="47"/>
        <v>0</v>
      </c>
      <c r="Y59" s="7">
        <f t="shared" si="45"/>
        <v>0</v>
      </c>
      <c r="Z59" s="7">
        <f t="shared" si="45"/>
        <v>0</v>
      </c>
      <c r="AA59" s="7">
        <f t="shared" si="45"/>
        <v>0</v>
      </c>
      <c r="AB59" s="7">
        <f t="shared" si="45"/>
        <v>0</v>
      </c>
      <c r="AC59" s="7">
        <f t="shared" si="45"/>
        <v>0</v>
      </c>
      <c r="AD59" s="7">
        <f t="shared" si="45"/>
        <v>16000</v>
      </c>
      <c r="AE59" s="7">
        <f t="shared" si="45"/>
        <v>16000</v>
      </c>
      <c r="AF59" s="7">
        <f t="shared" si="45"/>
        <v>16000</v>
      </c>
      <c r="AG59" s="7">
        <f t="shared" si="45"/>
        <v>16000</v>
      </c>
      <c r="AH59" s="7">
        <f t="shared" si="45"/>
        <v>0</v>
      </c>
      <c r="AI59" s="7">
        <f t="shared" si="45"/>
        <v>0</v>
      </c>
      <c r="AJ59" s="7">
        <f t="shared" si="45"/>
        <v>0</v>
      </c>
      <c r="AK59" s="7">
        <f t="shared" si="45"/>
        <v>0</v>
      </c>
      <c r="AL59" s="7">
        <f t="shared" si="45"/>
        <v>0</v>
      </c>
      <c r="AM59" s="7">
        <f t="shared" si="45"/>
        <v>0</v>
      </c>
      <c r="AN59" s="7">
        <f t="shared" si="45"/>
        <v>0</v>
      </c>
      <c r="AO59" s="7">
        <f t="shared" si="45"/>
        <v>0</v>
      </c>
      <c r="AP59" s="7">
        <f t="shared" si="45"/>
        <v>0</v>
      </c>
      <c r="AQ59" s="7">
        <f t="shared" si="45"/>
        <v>0</v>
      </c>
      <c r="AR59" s="7">
        <f t="shared" si="45"/>
        <v>0</v>
      </c>
    </row>
    <row r="60" spans="2:44" x14ac:dyDescent="0.3">
      <c r="B60" s="1" t="str">
        <f>+B59</f>
        <v>Staff Increase</v>
      </c>
      <c r="C60" s="9">
        <f>+C59</f>
        <v>8000</v>
      </c>
      <c r="D60" s="1">
        <f>+E59+1</f>
        <v>26</v>
      </c>
      <c r="E60" s="1">
        <f>+D60+Parameters!D56-1</f>
        <v>29</v>
      </c>
      <c r="F60" s="9">
        <f>+F59+C60</f>
        <v>24000</v>
      </c>
      <c r="G60" s="9">
        <f t="shared" si="44"/>
        <v>96000</v>
      </c>
      <c r="I60" s="7">
        <f t="shared" si="47"/>
        <v>0</v>
      </c>
      <c r="J60" s="7">
        <f t="shared" si="47"/>
        <v>0</v>
      </c>
      <c r="K60" s="7">
        <f t="shared" si="47"/>
        <v>0</v>
      </c>
      <c r="L60" s="7">
        <f t="shared" si="47"/>
        <v>0</v>
      </c>
      <c r="M60" s="7">
        <f t="shared" si="47"/>
        <v>0</v>
      </c>
      <c r="N60" s="7">
        <f t="shared" si="47"/>
        <v>0</v>
      </c>
      <c r="O60" s="7">
        <f t="shared" si="47"/>
        <v>0</v>
      </c>
      <c r="P60" s="7">
        <f t="shared" si="47"/>
        <v>0</v>
      </c>
      <c r="Q60" s="7">
        <f t="shared" si="47"/>
        <v>0</v>
      </c>
      <c r="R60" s="7">
        <f t="shared" si="47"/>
        <v>0</v>
      </c>
      <c r="S60" s="7">
        <f t="shared" si="47"/>
        <v>0</v>
      </c>
      <c r="T60" s="7">
        <f t="shared" si="47"/>
        <v>0</v>
      </c>
      <c r="U60" s="7">
        <f t="shared" si="47"/>
        <v>0</v>
      </c>
      <c r="V60" s="7">
        <f t="shared" si="47"/>
        <v>0</v>
      </c>
      <c r="W60" s="7">
        <f t="shared" si="47"/>
        <v>0</v>
      </c>
      <c r="X60" s="7">
        <f t="shared" si="47"/>
        <v>0</v>
      </c>
      <c r="Y60" s="7">
        <f t="shared" si="45"/>
        <v>0</v>
      </c>
      <c r="Z60" s="7">
        <f t="shared" si="45"/>
        <v>0</v>
      </c>
      <c r="AA60" s="7">
        <f t="shared" si="45"/>
        <v>0</v>
      </c>
      <c r="AB60" s="7">
        <f t="shared" si="45"/>
        <v>0</v>
      </c>
      <c r="AC60" s="7">
        <f t="shared" si="45"/>
        <v>0</v>
      </c>
      <c r="AD60" s="7">
        <f t="shared" si="45"/>
        <v>0</v>
      </c>
      <c r="AE60" s="7">
        <f t="shared" si="45"/>
        <v>0</v>
      </c>
      <c r="AF60" s="7">
        <f t="shared" si="45"/>
        <v>0</v>
      </c>
      <c r="AG60" s="7">
        <f t="shared" si="45"/>
        <v>0</v>
      </c>
      <c r="AH60" s="7">
        <f t="shared" si="45"/>
        <v>24000</v>
      </c>
      <c r="AI60" s="7">
        <f t="shared" si="45"/>
        <v>24000</v>
      </c>
      <c r="AJ60" s="7">
        <f t="shared" si="45"/>
        <v>24000</v>
      </c>
      <c r="AK60" s="7">
        <f t="shared" si="45"/>
        <v>24000</v>
      </c>
      <c r="AL60" s="7">
        <f t="shared" si="45"/>
        <v>0</v>
      </c>
      <c r="AM60" s="7">
        <f t="shared" si="45"/>
        <v>0</v>
      </c>
      <c r="AN60" s="7">
        <f t="shared" si="45"/>
        <v>0</v>
      </c>
      <c r="AO60" s="7">
        <f t="shared" si="45"/>
        <v>0</v>
      </c>
      <c r="AP60" s="7">
        <f t="shared" si="45"/>
        <v>0</v>
      </c>
      <c r="AQ60" s="7">
        <f t="shared" si="45"/>
        <v>0</v>
      </c>
      <c r="AR60" s="7">
        <f t="shared" si="45"/>
        <v>0</v>
      </c>
    </row>
    <row r="61" spans="2:44" x14ac:dyDescent="0.3">
      <c r="B61" s="1" t="str">
        <f t="shared" ref="B61:B63" si="52">+B60</f>
        <v>Staff Increase</v>
      </c>
      <c r="C61" s="9">
        <f t="shared" ref="C61:C63" si="53">+C60</f>
        <v>8000</v>
      </c>
      <c r="D61" s="1">
        <f t="shared" ref="D61:D67" si="54">+E60+1</f>
        <v>30</v>
      </c>
      <c r="E61" s="1">
        <f>+D61+Parameters!D56-1</f>
        <v>33</v>
      </c>
      <c r="F61" s="9">
        <f t="shared" ref="F61:F63" si="55">+F60+C61</f>
        <v>32000</v>
      </c>
      <c r="G61" s="9">
        <f t="shared" si="44"/>
        <v>128000</v>
      </c>
      <c r="I61" s="7">
        <f t="shared" si="47"/>
        <v>0</v>
      </c>
      <c r="J61" s="7">
        <f t="shared" si="47"/>
        <v>0</v>
      </c>
      <c r="K61" s="7">
        <f t="shared" si="47"/>
        <v>0</v>
      </c>
      <c r="L61" s="7">
        <f t="shared" si="47"/>
        <v>0</v>
      </c>
      <c r="M61" s="7">
        <f t="shared" si="47"/>
        <v>0</v>
      </c>
      <c r="N61" s="7">
        <f t="shared" si="47"/>
        <v>0</v>
      </c>
      <c r="O61" s="7">
        <f t="shared" si="47"/>
        <v>0</v>
      </c>
      <c r="P61" s="7">
        <f t="shared" si="47"/>
        <v>0</v>
      </c>
      <c r="Q61" s="7">
        <f t="shared" si="47"/>
        <v>0</v>
      </c>
      <c r="R61" s="7">
        <f t="shared" si="47"/>
        <v>0</v>
      </c>
      <c r="S61" s="7">
        <f t="shared" si="47"/>
        <v>0</v>
      </c>
      <c r="T61" s="7">
        <f t="shared" si="47"/>
        <v>0</v>
      </c>
      <c r="U61" s="7">
        <f t="shared" si="47"/>
        <v>0</v>
      </c>
      <c r="V61" s="7">
        <f t="shared" si="47"/>
        <v>0</v>
      </c>
      <c r="W61" s="7">
        <f t="shared" si="47"/>
        <v>0</v>
      </c>
      <c r="X61" s="7">
        <f t="shared" si="47"/>
        <v>0</v>
      </c>
      <c r="Y61" s="7">
        <f t="shared" si="45"/>
        <v>0</v>
      </c>
      <c r="Z61" s="7">
        <f t="shared" si="45"/>
        <v>0</v>
      </c>
      <c r="AA61" s="7">
        <f t="shared" si="45"/>
        <v>0</v>
      </c>
      <c r="AB61" s="7">
        <f t="shared" si="45"/>
        <v>0</v>
      </c>
      <c r="AC61" s="7">
        <f t="shared" si="45"/>
        <v>0</v>
      </c>
      <c r="AD61" s="7">
        <f t="shared" si="45"/>
        <v>0</v>
      </c>
      <c r="AE61" s="7">
        <f t="shared" si="45"/>
        <v>0</v>
      </c>
      <c r="AF61" s="7">
        <f t="shared" si="45"/>
        <v>0</v>
      </c>
      <c r="AG61" s="7">
        <f t="shared" si="45"/>
        <v>0</v>
      </c>
      <c r="AH61" s="7">
        <f t="shared" si="45"/>
        <v>0</v>
      </c>
      <c r="AI61" s="7">
        <f t="shared" si="45"/>
        <v>0</v>
      </c>
      <c r="AJ61" s="7">
        <f t="shared" si="45"/>
        <v>0</v>
      </c>
      <c r="AK61" s="7">
        <f t="shared" si="45"/>
        <v>0</v>
      </c>
      <c r="AL61" s="7">
        <f t="shared" si="45"/>
        <v>32000</v>
      </c>
      <c r="AM61" s="7">
        <f t="shared" si="45"/>
        <v>32000</v>
      </c>
      <c r="AN61" s="7">
        <f t="shared" si="45"/>
        <v>32000</v>
      </c>
      <c r="AO61" s="7">
        <f t="shared" si="45"/>
        <v>32000</v>
      </c>
      <c r="AP61" s="7">
        <f t="shared" si="45"/>
        <v>0</v>
      </c>
      <c r="AQ61" s="7">
        <f t="shared" si="45"/>
        <v>0</v>
      </c>
      <c r="AR61" s="7">
        <f t="shared" si="45"/>
        <v>0</v>
      </c>
    </row>
    <row r="62" spans="2:44" x14ac:dyDescent="0.3">
      <c r="B62" s="1" t="str">
        <f t="shared" si="52"/>
        <v>Staff Increase</v>
      </c>
      <c r="C62" s="9">
        <f t="shared" si="53"/>
        <v>8000</v>
      </c>
      <c r="D62" s="1">
        <f t="shared" si="54"/>
        <v>34</v>
      </c>
      <c r="E62" s="1">
        <f>+D62+Parameters!D56-1</f>
        <v>37</v>
      </c>
      <c r="F62" s="9">
        <f t="shared" si="55"/>
        <v>40000</v>
      </c>
      <c r="G62" s="9">
        <f t="shared" si="44"/>
        <v>120000</v>
      </c>
      <c r="I62" s="7">
        <f t="shared" si="47"/>
        <v>0</v>
      </c>
      <c r="J62" s="7">
        <f t="shared" si="47"/>
        <v>0</v>
      </c>
      <c r="K62" s="7">
        <f t="shared" si="47"/>
        <v>0</v>
      </c>
      <c r="L62" s="7">
        <f t="shared" si="47"/>
        <v>0</v>
      </c>
      <c r="M62" s="7">
        <f t="shared" si="47"/>
        <v>0</v>
      </c>
      <c r="N62" s="7">
        <f t="shared" si="47"/>
        <v>0</v>
      </c>
      <c r="O62" s="7">
        <f t="shared" si="47"/>
        <v>0</v>
      </c>
      <c r="P62" s="7">
        <f t="shared" si="47"/>
        <v>0</v>
      </c>
      <c r="Q62" s="7">
        <f t="shared" si="47"/>
        <v>0</v>
      </c>
      <c r="R62" s="7">
        <f t="shared" si="47"/>
        <v>0</v>
      </c>
      <c r="S62" s="7">
        <f t="shared" si="47"/>
        <v>0</v>
      </c>
      <c r="T62" s="7">
        <f t="shared" si="47"/>
        <v>0</v>
      </c>
      <c r="U62" s="7">
        <f t="shared" si="47"/>
        <v>0</v>
      </c>
      <c r="V62" s="7">
        <f t="shared" si="47"/>
        <v>0</v>
      </c>
      <c r="W62" s="7">
        <f t="shared" si="47"/>
        <v>0</v>
      </c>
      <c r="X62" s="7">
        <f t="shared" si="47"/>
        <v>0</v>
      </c>
      <c r="Y62" s="7">
        <f t="shared" si="45"/>
        <v>0</v>
      </c>
      <c r="Z62" s="7">
        <f t="shared" si="45"/>
        <v>0</v>
      </c>
      <c r="AA62" s="7">
        <f t="shared" si="45"/>
        <v>0</v>
      </c>
      <c r="AB62" s="7">
        <f t="shared" si="45"/>
        <v>0</v>
      </c>
      <c r="AC62" s="7">
        <f t="shared" si="45"/>
        <v>0</v>
      </c>
      <c r="AD62" s="7">
        <f t="shared" si="45"/>
        <v>0</v>
      </c>
      <c r="AE62" s="7">
        <f t="shared" si="45"/>
        <v>0</v>
      </c>
      <c r="AF62" s="7">
        <f t="shared" si="45"/>
        <v>0</v>
      </c>
      <c r="AG62" s="7">
        <f t="shared" si="45"/>
        <v>0</v>
      </c>
      <c r="AH62" s="7">
        <f t="shared" si="45"/>
        <v>0</v>
      </c>
      <c r="AI62" s="7">
        <f t="shared" si="45"/>
        <v>0</v>
      </c>
      <c r="AJ62" s="7">
        <f t="shared" si="45"/>
        <v>0</v>
      </c>
      <c r="AK62" s="7">
        <f t="shared" si="45"/>
        <v>0</v>
      </c>
      <c r="AL62" s="7">
        <f t="shared" si="45"/>
        <v>0</v>
      </c>
      <c r="AM62" s="7">
        <f t="shared" si="45"/>
        <v>0</v>
      </c>
      <c r="AN62" s="7">
        <f t="shared" ref="AN62:AR62" si="56">IF(+$D62&gt;AN$1,0,IF(AN$1&lt;=$E62,$F62,0))</f>
        <v>0</v>
      </c>
      <c r="AO62" s="7">
        <f t="shared" si="56"/>
        <v>0</v>
      </c>
      <c r="AP62" s="7">
        <f t="shared" si="56"/>
        <v>40000</v>
      </c>
      <c r="AQ62" s="7">
        <f t="shared" si="56"/>
        <v>40000</v>
      </c>
      <c r="AR62" s="7">
        <f t="shared" si="56"/>
        <v>40000</v>
      </c>
    </row>
    <row r="63" spans="2:44" x14ac:dyDescent="0.3">
      <c r="B63" s="1" t="str">
        <f t="shared" si="52"/>
        <v>Staff Increase</v>
      </c>
      <c r="C63" s="9">
        <f t="shared" si="53"/>
        <v>8000</v>
      </c>
      <c r="D63" s="1">
        <f t="shared" si="54"/>
        <v>38</v>
      </c>
      <c r="E63" s="1">
        <f>+D63+Parameters!D56-1</f>
        <v>41</v>
      </c>
      <c r="F63" s="9">
        <f t="shared" si="55"/>
        <v>48000</v>
      </c>
      <c r="G63" s="9">
        <f t="shared" si="44"/>
        <v>0</v>
      </c>
      <c r="I63" s="7">
        <f t="shared" si="47"/>
        <v>0</v>
      </c>
      <c r="J63" s="7">
        <f t="shared" si="47"/>
        <v>0</v>
      </c>
      <c r="K63" s="7">
        <f t="shared" si="47"/>
        <v>0</v>
      </c>
      <c r="L63" s="7">
        <f t="shared" si="47"/>
        <v>0</v>
      </c>
      <c r="M63" s="7">
        <f t="shared" si="47"/>
        <v>0</v>
      </c>
      <c r="N63" s="7">
        <f t="shared" si="47"/>
        <v>0</v>
      </c>
      <c r="O63" s="7">
        <f t="shared" si="47"/>
        <v>0</v>
      </c>
      <c r="P63" s="7">
        <f t="shared" si="47"/>
        <v>0</v>
      </c>
      <c r="Q63" s="7">
        <f t="shared" si="47"/>
        <v>0</v>
      </c>
      <c r="R63" s="7">
        <f t="shared" si="47"/>
        <v>0</v>
      </c>
      <c r="S63" s="7">
        <f t="shared" si="47"/>
        <v>0</v>
      </c>
      <c r="T63" s="7">
        <f t="shared" si="47"/>
        <v>0</v>
      </c>
      <c r="U63" s="7">
        <f t="shared" si="47"/>
        <v>0</v>
      </c>
      <c r="V63" s="7">
        <f t="shared" si="47"/>
        <v>0</v>
      </c>
      <c r="W63" s="7">
        <f t="shared" si="47"/>
        <v>0</v>
      </c>
      <c r="X63" s="7">
        <f t="shared" si="47"/>
        <v>0</v>
      </c>
      <c r="Y63" s="7">
        <f t="shared" ref="Y63:AR67" si="57">IF(+$D63&gt;Y$1,0,IF(Y$1&lt;=$E63,$F63,0))</f>
        <v>0</v>
      </c>
      <c r="Z63" s="7">
        <f t="shared" si="57"/>
        <v>0</v>
      </c>
      <c r="AA63" s="7">
        <f t="shared" si="57"/>
        <v>0</v>
      </c>
      <c r="AB63" s="7">
        <f t="shared" si="57"/>
        <v>0</v>
      </c>
      <c r="AC63" s="7">
        <f t="shared" si="57"/>
        <v>0</v>
      </c>
      <c r="AD63" s="7">
        <f t="shared" si="57"/>
        <v>0</v>
      </c>
      <c r="AE63" s="7">
        <f t="shared" si="57"/>
        <v>0</v>
      </c>
      <c r="AF63" s="7">
        <f t="shared" si="57"/>
        <v>0</v>
      </c>
      <c r="AG63" s="7">
        <f t="shared" si="57"/>
        <v>0</v>
      </c>
      <c r="AH63" s="7">
        <f t="shared" si="57"/>
        <v>0</v>
      </c>
      <c r="AI63" s="7">
        <f t="shared" si="57"/>
        <v>0</v>
      </c>
      <c r="AJ63" s="7">
        <f t="shared" si="57"/>
        <v>0</v>
      </c>
      <c r="AK63" s="7">
        <f t="shared" si="57"/>
        <v>0</v>
      </c>
      <c r="AL63" s="7">
        <f t="shared" si="57"/>
        <v>0</v>
      </c>
      <c r="AM63" s="7">
        <f t="shared" si="57"/>
        <v>0</v>
      </c>
      <c r="AN63" s="7">
        <f t="shared" si="57"/>
        <v>0</v>
      </c>
      <c r="AO63" s="7">
        <f t="shared" si="57"/>
        <v>0</v>
      </c>
      <c r="AP63" s="7">
        <f t="shared" si="57"/>
        <v>0</v>
      </c>
      <c r="AQ63" s="7">
        <f t="shared" si="57"/>
        <v>0</v>
      </c>
      <c r="AR63" s="7">
        <f t="shared" si="57"/>
        <v>0</v>
      </c>
    </row>
    <row r="64" spans="2:44" x14ac:dyDescent="0.3">
      <c r="B64" s="1" t="str">
        <f t="shared" ref="B64:B67" si="58">+B63</f>
        <v>Staff Increase</v>
      </c>
      <c r="C64" s="9">
        <f t="shared" ref="C64:C67" si="59">+C63</f>
        <v>8000</v>
      </c>
      <c r="D64" s="1">
        <f t="shared" si="54"/>
        <v>42</v>
      </c>
      <c r="E64" s="1">
        <f>+D64+Parameters!D56-1</f>
        <v>45</v>
      </c>
      <c r="F64" s="9">
        <f t="shared" ref="F64:F67" si="60">+F63+C64</f>
        <v>56000</v>
      </c>
      <c r="G64" s="9">
        <f t="shared" si="44"/>
        <v>0</v>
      </c>
      <c r="I64" s="7">
        <f t="shared" si="47"/>
        <v>0</v>
      </c>
      <c r="J64" s="7">
        <f t="shared" si="47"/>
        <v>0</v>
      </c>
      <c r="K64" s="7">
        <f t="shared" si="47"/>
        <v>0</v>
      </c>
      <c r="L64" s="7">
        <f t="shared" si="47"/>
        <v>0</v>
      </c>
      <c r="M64" s="7">
        <f t="shared" si="47"/>
        <v>0</v>
      </c>
      <c r="N64" s="7">
        <f t="shared" si="47"/>
        <v>0</v>
      </c>
      <c r="O64" s="7">
        <f t="shared" si="47"/>
        <v>0</v>
      </c>
      <c r="P64" s="7">
        <f t="shared" si="47"/>
        <v>0</v>
      </c>
      <c r="Q64" s="7">
        <f t="shared" si="47"/>
        <v>0</v>
      </c>
      <c r="R64" s="7">
        <f t="shared" si="47"/>
        <v>0</v>
      </c>
      <c r="S64" s="7">
        <f t="shared" si="47"/>
        <v>0</v>
      </c>
      <c r="T64" s="7">
        <f t="shared" si="47"/>
        <v>0</v>
      </c>
      <c r="U64" s="7">
        <f t="shared" si="47"/>
        <v>0</v>
      </c>
      <c r="V64" s="7">
        <f t="shared" si="47"/>
        <v>0</v>
      </c>
      <c r="W64" s="7">
        <f t="shared" si="47"/>
        <v>0</v>
      </c>
      <c r="X64" s="7">
        <f t="shared" si="47"/>
        <v>0</v>
      </c>
      <c r="Y64" s="7">
        <f t="shared" si="57"/>
        <v>0</v>
      </c>
      <c r="Z64" s="7">
        <f t="shared" si="57"/>
        <v>0</v>
      </c>
      <c r="AA64" s="7">
        <f t="shared" si="57"/>
        <v>0</v>
      </c>
      <c r="AB64" s="7">
        <f t="shared" si="57"/>
        <v>0</v>
      </c>
      <c r="AC64" s="7">
        <f t="shared" si="57"/>
        <v>0</v>
      </c>
      <c r="AD64" s="7">
        <f t="shared" si="57"/>
        <v>0</v>
      </c>
      <c r="AE64" s="7">
        <f t="shared" si="57"/>
        <v>0</v>
      </c>
      <c r="AF64" s="7">
        <f t="shared" si="57"/>
        <v>0</v>
      </c>
      <c r="AG64" s="7">
        <f t="shared" si="57"/>
        <v>0</v>
      </c>
      <c r="AH64" s="7">
        <f t="shared" si="57"/>
        <v>0</v>
      </c>
      <c r="AI64" s="7">
        <f t="shared" si="57"/>
        <v>0</v>
      </c>
      <c r="AJ64" s="7">
        <f t="shared" si="57"/>
        <v>0</v>
      </c>
      <c r="AK64" s="7">
        <f t="shared" si="57"/>
        <v>0</v>
      </c>
      <c r="AL64" s="7">
        <f t="shared" si="57"/>
        <v>0</v>
      </c>
      <c r="AM64" s="7">
        <f t="shared" si="57"/>
        <v>0</v>
      </c>
      <c r="AN64" s="7">
        <f t="shared" si="57"/>
        <v>0</v>
      </c>
      <c r="AO64" s="7">
        <f t="shared" si="57"/>
        <v>0</v>
      </c>
      <c r="AP64" s="7">
        <f t="shared" si="57"/>
        <v>0</v>
      </c>
      <c r="AQ64" s="7">
        <f t="shared" si="57"/>
        <v>0</v>
      </c>
      <c r="AR64" s="7">
        <f t="shared" si="57"/>
        <v>0</v>
      </c>
    </row>
    <row r="65" spans="2:44" x14ac:dyDescent="0.3">
      <c r="B65" s="1" t="str">
        <f t="shared" si="58"/>
        <v>Staff Increase</v>
      </c>
      <c r="C65" s="9">
        <f t="shared" si="59"/>
        <v>8000</v>
      </c>
      <c r="D65" s="1">
        <f t="shared" si="54"/>
        <v>46</v>
      </c>
      <c r="E65" s="1">
        <f>+D65+Parameters!D56-1</f>
        <v>49</v>
      </c>
      <c r="F65" s="9">
        <f t="shared" si="60"/>
        <v>64000</v>
      </c>
      <c r="G65" s="9">
        <f t="shared" si="44"/>
        <v>0</v>
      </c>
      <c r="I65" s="7">
        <f t="shared" si="47"/>
        <v>0</v>
      </c>
      <c r="J65" s="7">
        <f t="shared" si="47"/>
        <v>0</v>
      </c>
      <c r="K65" s="7">
        <f t="shared" si="47"/>
        <v>0</v>
      </c>
      <c r="L65" s="7">
        <f t="shared" si="47"/>
        <v>0</v>
      </c>
      <c r="M65" s="7">
        <f t="shared" si="47"/>
        <v>0</v>
      </c>
      <c r="N65" s="7">
        <f t="shared" si="47"/>
        <v>0</v>
      </c>
      <c r="O65" s="7">
        <f t="shared" si="47"/>
        <v>0</v>
      </c>
      <c r="P65" s="7">
        <f t="shared" si="47"/>
        <v>0</v>
      </c>
      <c r="Q65" s="7">
        <f t="shared" si="47"/>
        <v>0</v>
      </c>
      <c r="R65" s="7">
        <f t="shared" si="47"/>
        <v>0</v>
      </c>
      <c r="S65" s="7">
        <f t="shared" si="47"/>
        <v>0</v>
      </c>
      <c r="T65" s="7">
        <f t="shared" si="47"/>
        <v>0</v>
      </c>
      <c r="U65" s="7">
        <f t="shared" si="47"/>
        <v>0</v>
      </c>
      <c r="V65" s="7">
        <f t="shared" si="47"/>
        <v>0</v>
      </c>
      <c r="W65" s="7">
        <f t="shared" si="47"/>
        <v>0</v>
      </c>
      <c r="X65" s="7">
        <f t="shared" si="47"/>
        <v>0</v>
      </c>
      <c r="Y65" s="7">
        <f t="shared" si="57"/>
        <v>0</v>
      </c>
      <c r="Z65" s="7">
        <f t="shared" si="57"/>
        <v>0</v>
      </c>
      <c r="AA65" s="7">
        <f t="shared" si="57"/>
        <v>0</v>
      </c>
      <c r="AB65" s="7">
        <f t="shared" si="57"/>
        <v>0</v>
      </c>
      <c r="AC65" s="7">
        <f t="shared" si="57"/>
        <v>0</v>
      </c>
      <c r="AD65" s="7">
        <f t="shared" si="57"/>
        <v>0</v>
      </c>
      <c r="AE65" s="7">
        <f t="shared" si="57"/>
        <v>0</v>
      </c>
      <c r="AF65" s="7">
        <f t="shared" si="57"/>
        <v>0</v>
      </c>
      <c r="AG65" s="7">
        <f t="shared" si="57"/>
        <v>0</v>
      </c>
      <c r="AH65" s="7">
        <f t="shared" si="57"/>
        <v>0</v>
      </c>
      <c r="AI65" s="7">
        <f t="shared" si="57"/>
        <v>0</v>
      </c>
      <c r="AJ65" s="7">
        <f t="shared" si="57"/>
        <v>0</v>
      </c>
      <c r="AK65" s="7">
        <f t="shared" si="57"/>
        <v>0</v>
      </c>
      <c r="AL65" s="7">
        <f t="shared" si="57"/>
        <v>0</v>
      </c>
      <c r="AM65" s="7">
        <f t="shared" si="57"/>
        <v>0</v>
      </c>
      <c r="AN65" s="7">
        <f t="shared" si="57"/>
        <v>0</v>
      </c>
      <c r="AO65" s="7">
        <f t="shared" si="57"/>
        <v>0</v>
      </c>
      <c r="AP65" s="7">
        <f t="shared" si="57"/>
        <v>0</v>
      </c>
      <c r="AQ65" s="7">
        <f t="shared" si="57"/>
        <v>0</v>
      </c>
      <c r="AR65" s="7">
        <f t="shared" si="57"/>
        <v>0</v>
      </c>
    </row>
    <row r="66" spans="2:44" x14ac:dyDescent="0.3">
      <c r="B66" s="1" t="str">
        <f t="shared" si="58"/>
        <v>Staff Increase</v>
      </c>
      <c r="C66" s="9">
        <f t="shared" si="59"/>
        <v>8000</v>
      </c>
      <c r="D66" s="1">
        <f t="shared" si="54"/>
        <v>50</v>
      </c>
      <c r="E66" s="1">
        <f>+D66+Parameters!D56-1</f>
        <v>53</v>
      </c>
      <c r="F66" s="9">
        <f t="shared" si="60"/>
        <v>72000</v>
      </c>
      <c r="G66" s="9">
        <f t="shared" si="44"/>
        <v>0</v>
      </c>
      <c r="I66" s="7">
        <f t="shared" si="47"/>
        <v>0</v>
      </c>
      <c r="J66" s="7">
        <f t="shared" si="47"/>
        <v>0</v>
      </c>
      <c r="K66" s="7">
        <f t="shared" si="47"/>
        <v>0</v>
      </c>
      <c r="L66" s="7">
        <f t="shared" si="47"/>
        <v>0</v>
      </c>
      <c r="M66" s="7">
        <f t="shared" si="47"/>
        <v>0</v>
      </c>
      <c r="N66" s="7">
        <f t="shared" si="47"/>
        <v>0</v>
      </c>
      <c r="O66" s="7">
        <f t="shared" si="47"/>
        <v>0</v>
      </c>
      <c r="P66" s="7">
        <f t="shared" si="47"/>
        <v>0</v>
      </c>
      <c r="Q66" s="7">
        <f t="shared" si="47"/>
        <v>0</v>
      </c>
      <c r="R66" s="7">
        <f t="shared" si="47"/>
        <v>0</v>
      </c>
      <c r="S66" s="7">
        <f t="shared" si="47"/>
        <v>0</v>
      </c>
      <c r="T66" s="7">
        <f t="shared" si="47"/>
        <v>0</v>
      </c>
      <c r="U66" s="7">
        <f t="shared" si="47"/>
        <v>0</v>
      </c>
      <c r="V66" s="7">
        <f t="shared" si="47"/>
        <v>0</v>
      </c>
      <c r="W66" s="7">
        <f t="shared" si="47"/>
        <v>0</v>
      </c>
      <c r="X66" s="7">
        <f t="shared" si="47"/>
        <v>0</v>
      </c>
      <c r="Y66" s="7">
        <f t="shared" si="57"/>
        <v>0</v>
      </c>
      <c r="Z66" s="7">
        <f t="shared" si="57"/>
        <v>0</v>
      </c>
      <c r="AA66" s="7">
        <f t="shared" si="57"/>
        <v>0</v>
      </c>
      <c r="AB66" s="7">
        <f t="shared" si="57"/>
        <v>0</v>
      </c>
      <c r="AC66" s="7">
        <f t="shared" si="57"/>
        <v>0</v>
      </c>
      <c r="AD66" s="7">
        <f t="shared" si="57"/>
        <v>0</v>
      </c>
      <c r="AE66" s="7">
        <f t="shared" si="57"/>
        <v>0</v>
      </c>
      <c r="AF66" s="7">
        <f t="shared" si="57"/>
        <v>0</v>
      </c>
      <c r="AG66" s="7">
        <f t="shared" si="57"/>
        <v>0</v>
      </c>
      <c r="AH66" s="7">
        <f t="shared" si="57"/>
        <v>0</v>
      </c>
      <c r="AI66" s="7">
        <f t="shared" si="57"/>
        <v>0</v>
      </c>
      <c r="AJ66" s="7">
        <f t="shared" si="57"/>
        <v>0</v>
      </c>
      <c r="AK66" s="7">
        <f t="shared" si="57"/>
        <v>0</v>
      </c>
      <c r="AL66" s="7">
        <f t="shared" si="57"/>
        <v>0</v>
      </c>
      <c r="AM66" s="7">
        <f t="shared" si="57"/>
        <v>0</v>
      </c>
      <c r="AN66" s="7">
        <f t="shared" si="57"/>
        <v>0</v>
      </c>
      <c r="AO66" s="7">
        <f t="shared" si="57"/>
        <v>0</v>
      </c>
      <c r="AP66" s="7">
        <f t="shared" si="57"/>
        <v>0</v>
      </c>
      <c r="AQ66" s="7">
        <f t="shared" si="57"/>
        <v>0</v>
      </c>
      <c r="AR66" s="7">
        <f t="shared" si="57"/>
        <v>0</v>
      </c>
    </row>
    <row r="67" spans="2:44" x14ac:dyDescent="0.3">
      <c r="B67" s="1" t="str">
        <f t="shared" si="58"/>
        <v>Staff Increase</v>
      </c>
      <c r="C67" s="9">
        <f t="shared" si="59"/>
        <v>8000</v>
      </c>
      <c r="D67" s="1">
        <f t="shared" si="54"/>
        <v>54</v>
      </c>
      <c r="E67" s="1">
        <f>+D67+Parameters!D56-1</f>
        <v>57</v>
      </c>
      <c r="F67" s="9">
        <f t="shared" si="60"/>
        <v>80000</v>
      </c>
      <c r="G67" s="9">
        <f t="shared" si="44"/>
        <v>0</v>
      </c>
      <c r="I67" s="7">
        <f t="shared" si="47"/>
        <v>0</v>
      </c>
      <c r="J67" s="7">
        <f t="shared" si="47"/>
        <v>0</v>
      </c>
      <c r="K67" s="7">
        <f t="shared" si="47"/>
        <v>0</v>
      </c>
      <c r="L67" s="7">
        <f t="shared" si="47"/>
        <v>0</v>
      </c>
      <c r="M67" s="7">
        <f t="shared" si="47"/>
        <v>0</v>
      </c>
      <c r="N67" s="7">
        <f t="shared" si="47"/>
        <v>0</v>
      </c>
      <c r="O67" s="7">
        <f t="shared" si="47"/>
        <v>0</v>
      </c>
      <c r="P67" s="7">
        <f t="shared" si="47"/>
        <v>0</v>
      </c>
      <c r="Q67" s="7">
        <f t="shared" si="47"/>
        <v>0</v>
      </c>
      <c r="R67" s="7">
        <f t="shared" si="47"/>
        <v>0</v>
      </c>
      <c r="S67" s="7">
        <f t="shared" si="47"/>
        <v>0</v>
      </c>
      <c r="T67" s="7">
        <f t="shared" si="47"/>
        <v>0</v>
      </c>
      <c r="U67" s="7">
        <f t="shared" si="47"/>
        <v>0</v>
      </c>
      <c r="V67" s="7">
        <f t="shared" si="47"/>
        <v>0</v>
      </c>
      <c r="W67" s="7">
        <f t="shared" si="47"/>
        <v>0</v>
      </c>
      <c r="X67" s="7">
        <f t="shared" si="47"/>
        <v>0</v>
      </c>
      <c r="Y67" s="7">
        <f t="shared" si="57"/>
        <v>0</v>
      </c>
      <c r="Z67" s="7">
        <f t="shared" si="57"/>
        <v>0</v>
      </c>
      <c r="AA67" s="7">
        <f t="shared" si="57"/>
        <v>0</v>
      </c>
      <c r="AB67" s="7">
        <f t="shared" si="57"/>
        <v>0</v>
      </c>
      <c r="AC67" s="7">
        <f t="shared" si="57"/>
        <v>0</v>
      </c>
      <c r="AD67" s="7">
        <f t="shared" si="57"/>
        <v>0</v>
      </c>
      <c r="AE67" s="7">
        <f t="shared" si="57"/>
        <v>0</v>
      </c>
      <c r="AF67" s="7">
        <f t="shared" si="57"/>
        <v>0</v>
      </c>
      <c r="AG67" s="7">
        <f t="shared" si="57"/>
        <v>0</v>
      </c>
      <c r="AH67" s="7">
        <f t="shared" si="57"/>
        <v>0</v>
      </c>
      <c r="AI67" s="7">
        <f t="shared" si="57"/>
        <v>0</v>
      </c>
      <c r="AJ67" s="7">
        <f t="shared" si="57"/>
        <v>0</v>
      </c>
      <c r="AK67" s="7">
        <f t="shared" si="57"/>
        <v>0</v>
      </c>
      <c r="AL67" s="7">
        <f t="shared" si="57"/>
        <v>0</v>
      </c>
      <c r="AM67" s="7">
        <f t="shared" si="57"/>
        <v>0</v>
      </c>
      <c r="AN67" s="7">
        <f t="shared" si="57"/>
        <v>0</v>
      </c>
      <c r="AO67" s="7">
        <f t="shared" si="57"/>
        <v>0</v>
      </c>
      <c r="AP67" s="7">
        <f t="shared" si="57"/>
        <v>0</v>
      </c>
      <c r="AQ67" s="7">
        <f t="shared" si="57"/>
        <v>0</v>
      </c>
      <c r="AR67" s="7">
        <f t="shared" si="57"/>
        <v>0</v>
      </c>
    </row>
    <row r="69" spans="2:44" x14ac:dyDescent="0.3">
      <c r="B69" s="2" t="str">
        <f>Parameters!A40</f>
        <v>Website Development</v>
      </c>
      <c r="C69" s="9"/>
      <c r="D69" s="1"/>
      <c r="E69" s="1"/>
      <c r="F69" s="9"/>
      <c r="G69" s="9"/>
      <c r="H69" s="9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2:44" x14ac:dyDescent="0.3">
      <c r="B70" s="1" t="str">
        <f>Parameters!A41</f>
        <v>Upfront Fee</v>
      </c>
      <c r="C70" s="7">
        <f>+Parameters!B41</f>
        <v>20000</v>
      </c>
      <c r="D70">
        <f>+Parameters!D41</f>
        <v>5</v>
      </c>
      <c r="E70">
        <f>+Parameters!F41</f>
        <v>7</v>
      </c>
      <c r="F70" s="9">
        <f>+C70/((E70-D70)+1)</f>
        <v>6666.666666666667</v>
      </c>
      <c r="G70" s="9">
        <f>SUM(I70:AR70)</f>
        <v>20000</v>
      </c>
      <c r="I70" s="7">
        <f>IF(+$D70&gt;I$1,0,IF(I$1&lt;=$E70,$F70,0))</f>
        <v>0</v>
      </c>
      <c r="J70" s="7">
        <f t="shared" ref="J70:AR71" si="61">IF(+$D70&gt;J$1,0,IF(J$1&lt;=$E70,$F70,0))</f>
        <v>0</v>
      </c>
      <c r="K70" s="7">
        <f t="shared" si="61"/>
        <v>0</v>
      </c>
      <c r="L70" s="7">
        <f t="shared" si="61"/>
        <v>0</v>
      </c>
      <c r="M70" s="7">
        <f t="shared" si="61"/>
        <v>6666.666666666667</v>
      </c>
      <c r="N70" s="7">
        <f t="shared" si="61"/>
        <v>6666.666666666667</v>
      </c>
      <c r="O70" s="7">
        <f t="shared" si="61"/>
        <v>6666.666666666667</v>
      </c>
      <c r="P70" s="7">
        <f t="shared" si="61"/>
        <v>0</v>
      </c>
      <c r="Q70" s="7">
        <f t="shared" si="61"/>
        <v>0</v>
      </c>
      <c r="R70" s="7">
        <f t="shared" si="61"/>
        <v>0</v>
      </c>
      <c r="S70" s="7">
        <f t="shared" si="61"/>
        <v>0</v>
      </c>
      <c r="T70" s="7">
        <f t="shared" si="61"/>
        <v>0</v>
      </c>
      <c r="U70" s="7">
        <f t="shared" si="61"/>
        <v>0</v>
      </c>
      <c r="V70" s="7">
        <f t="shared" si="61"/>
        <v>0</v>
      </c>
      <c r="W70" s="7">
        <f t="shared" si="61"/>
        <v>0</v>
      </c>
      <c r="X70" s="7">
        <f t="shared" si="61"/>
        <v>0</v>
      </c>
      <c r="Y70" s="7">
        <f t="shared" si="61"/>
        <v>0</v>
      </c>
      <c r="Z70" s="7">
        <f t="shared" si="61"/>
        <v>0</v>
      </c>
      <c r="AA70" s="7">
        <f t="shared" si="61"/>
        <v>0</v>
      </c>
      <c r="AB70" s="7">
        <f t="shared" si="61"/>
        <v>0</v>
      </c>
      <c r="AC70" s="7">
        <f t="shared" si="61"/>
        <v>0</v>
      </c>
      <c r="AD70" s="7">
        <f t="shared" si="61"/>
        <v>0</v>
      </c>
      <c r="AE70" s="7">
        <f t="shared" si="61"/>
        <v>0</v>
      </c>
      <c r="AF70" s="7">
        <f t="shared" si="61"/>
        <v>0</v>
      </c>
      <c r="AG70" s="7">
        <f t="shared" si="61"/>
        <v>0</v>
      </c>
      <c r="AH70" s="7">
        <f t="shared" si="61"/>
        <v>0</v>
      </c>
      <c r="AI70" s="7">
        <f t="shared" si="61"/>
        <v>0</v>
      </c>
      <c r="AJ70" s="7">
        <f t="shared" si="61"/>
        <v>0</v>
      </c>
      <c r="AK70" s="7">
        <f t="shared" si="61"/>
        <v>0</v>
      </c>
      <c r="AL70" s="7">
        <f t="shared" si="61"/>
        <v>0</v>
      </c>
      <c r="AM70" s="7">
        <f t="shared" si="61"/>
        <v>0</v>
      </c>
      <c r="AN70" s="7">
        <f t="shared" si="61"/>
        <v>0</v>
      </c>
      <c r="AO70" s="7">
        <f t="shared" si="61"/>
        <v>0</v>
      </c>
      <c r="AP70" s="7">
        <f t="shared" si="61"/>
        <v>0</v>
      </c>
      <c r="AQ70" s="7">
        <f t="shared" si="61"/>
        <v>0</v>
      </c>
      <c r="AR70" s="7">
        <f t="shared" si="61"/>
        <v>0</v>
      </c>
    </row>
    <row r="71" spans="2:44" x14ac:dyDescent="0.3">
      <c r="B71" s="1" t="str">
        <f>+Parameters!A42</f>
        <v>Ongoing</v>
      </c>
      <c r="C71" s="7">
        <f>+Parameters!B42</f>
        <v>3000</v>
      </c>
      <c r="D71">
        <f>+E70+1</f>
        <v>8</v>
      </c>
      <c r="E71">
        <v>36</v>
      </c>
      <c r="F71" s="7">
        <f>+C71</f>
        <v>3000</v>
      </c>
      <c r="G71" s="9">
        <f>SUM(I71:AR71)</f>
        <v>87000</v>
      </c>
      <c r="I71" s="7">
        <f>IF(+$D71&gt;I$1,0,IF(I$1&lt;=$E71,$F71,0))</f>
        <v>0</v>
      </c>
      <c r="J71" s="7">
        <f t="shared" si="61"/>
        <v>0</v>
      </c>
      <c r="K71" s="7">
        <f t="shared" si="61"/>
        <v>0</v>
      </c>
      <c r="L71" s="7">
        <f t="shared" si="61"/>
        <v>0</v>
      </c>
      <c r="M71" s="7">
        <f t="shared" si="61"/>
        <v>0</v>
      </c>
      <c r="N71" s="7">
        <f t="shared" si="61"/>
        <v>0</v>
      </c>
      <c r="O71" s="7">
        <f t="shared" si="61"/>
        <v>0</v>
      </c>
      <c r="P71" s="7">
        <f t="shared" si="61"/>
        <v>3000</v>
      </c>
      <c r="Q71" s="7">
        <f t="shared" si="61"/>
        <v>3000</v>
      </c>
      <c r="R71" s="7">
        <f t="shared" si="61"/>
        <v>3000</v>
      </c>
      <c r="S71" s="7">
        <f t="shared" si="61"/>
        <v>3000</v>
      </c>
      <c r="T71" s="7">
        <f t="shared" si="61"/>
        <v>3000</v>
      </c>
      <c r="U71" s="7">
        <f t="shared" si="61"/>
        <v>3000</v>
      </c>
      <c r="V71" s="7">
        <f t="shared" si="61"/>
        <v>3000</v>
      </c>
      <c r="W71" s="7">
        <f t="shared" si="61"/>
        <v>3000</v>
      </c>
      <c r="X71" s="7">
        <f t="shared" si="61"/>
        <v>3000</v>
      </c>
      <c r="Y71" s="7">
        <f t="shared" si="61"/>
        <v>3000</v>
      </c>
      <c r="Z71" s="7">
        <f t="shared" si="61"/>
        <v>3000</v>
      </c>
      <c r="AA71" s="7">
        <f t="shared" si="61"/>
        <v>3000</v>
      </c>
      <c r="AB71" s="7">
        <f t="shared" si="61"/>
        <v>3000</v>
      </c>
      <c r="AC71" s="7">
        <f t="shared" si="61"/>
        <v>3000</v>
      </c>
      <c r="AD71" s="7">
        <f t="shared" si="61"/>
        <v>3000</v>
      </c>
      <c r="AE71" s="7">
        <f t="shared" si="61"/>
        <v>3000</v>
      </c>
      <c r="AF71" s="7">
        <f t="shared" si="61"/>
        <v>3000</v>
      </c>
      <c r="AG71" s="7">
        <f t="shared" si="61"/>
        <v>3000</v>
      </c>
      <c r="AH71" s="7">
        <f t="shared" si="61"/>
        <v>3000</v>
      </c>
      <c r="AI71" s="7">
        <f t="shared" si="61"/>
        <v>3000</v>
      </c>
      <c r="AJ71" s="7">
        <f t="shared" si="61"/>
        <v>3000</v>
      </c>
      <c r="AK71" s="7">
        <f t="shared" si="61"/>
        <v>3000</v>
      </c>
      <c r="AL71" s="7">
        <f t="shared" si="61"/>
        <v>3000</v>
      </c>
      <c r="AM71" s="7">
        <f t="shared" si="61"/>
        <v>3000</v>
      </c>
      <c r="AN71" s="7">
        <f t="shared" si="61"/>
        <v>3000</v>
      </c>
      <c r="AO71" s="7">
        <f t="shared" si="61"/>
        <v>3000</v>
      </c>
      <c r="AP71" s="7">
        <f t="shared" si="61"/>
        <v>3000</v>
      </c>
      <c r="AQ71" s="7">
        <f t="shared" si="61"/>
        <v>3000</v>
      </c>
      <c r="AR71" s="7">
        <f t="shared" si="61"/>
        <v>3000</v>
      </c>
    </row>
    <row r="72" spans="2:44" x14ac:dyDescent="0.3">
      <c r="C72" s="7"/>
      <c r="F72" s="7"/>
    </row>
    <row r="73" spans="2:44" x14ac:dyDescent="0.3">
      <c r="B73" s="2" t="s">
        <v>56</v>
      </c>
      <c r="C73" s="7"/>
      <c r="F73" s="7"/>
    </row>
    <row r="74" spans="2:44" x14ac:dyDescent="0.3">
      <c r="B74" s="1" t="str">
        <f>+Parameters!A59</f>
        <v>Business &amp; Liability Insurance</v>
      </c>
      <c r="C74" s="19">
        <f>+Parameters!B59</f>
        <v>0.03</v>
      </c>
      <c r="F74" s="7"/>
      <c r="G74" s="9">
        <f t="shared" ref="G74:G75" si="62">SUM(I74:AR74)</f>
        <v>116035.13677091867</v>
      </c>
      <c r="I74" s="7">
        <f t="shared" ref="I74:AR74" si="63">+I33*$C$74</f>
        <v>0</v>
      </c>
      <c r="J74" s="7">
        <f t="shared" si="63"/>
        <v>0</v>
      </c>
      <c r="K74" s="7">
        <f t="shared" si="63"/>
        <v>0</v>
      </c>
      <c r="L74" s="7">
        <f t="shared" si="63"/>
        <v>0</v>
      </c>
      <c r="M74" s="7">
        <f t="shared" si="63"/>
        <v>0</v>
      </c>
      <c r="N74" s="7">
        <f t="shared" si="63"/>
        <v>0</v>
      </c>
      <c r="O74" s="7">
        <f t="shared" si="63"/>
        <v>0</v>
      </c>
      <c r="P74" s="7">
        <f t="shared" si="63"/>
        <v>0</v>
      </c>
      <c r="Q74" s="7">
        <f t="shared" si="63"/>
        <v>0</v>
      </c>
      <c r="R74" s="7">
        <f t="shared" si="63"/>
        <v>0</v>
      </c>
      <c r="S74" s="7">
        <f t="shared" si="63"/>
        <v>0</v>
      </c>
      <c r="T74" s="7">
        <f t="shared" si="63"/>
        <v>0</v>
      </c>
      <c r="U74" s="7">
        <f t="shared" si="63"/>
        <v>0</v>
      </c>
      <c r="V74" s="7">
        <f t="shared" si="63"/>
        <v>0</v>
      </c>
      <c r="W74" s="7">
        <f t="shared" si="63"/>
        <v>0</v>
      </c>
      <c r="X74" s="7">
        <f t="shared" si="63"/>
        <v>1800</v>
      </c>
      <c r="Y74" s="7">
        <f t="shared" si="63"/>
        <v>3150</v>
      </c>
      <c r="Z74" s="7">
        <f t="shared" si="63"/>
        <v>4050</v>
      </c>
      <c r="AA74" s="7">
        <f t="shared" si="63"/>
        <v>4222.125</v>
      </c>
      <c r="AB74" s="7">
        <f t="shared" si="63"/>
        <v>4401.5653124999999</v>
      </c>
      <c r="AC74" s="7">
        <f t="shared" si="63"/>
        <v>4588.6318382812506</v>
      </c>
      <c r="AD74" s="7">
        <f t="shared" si="63"/>
        <v>4693.6486914082034</v>
      </c>
      <c r="AE74" s="7">
        <f t="shared" si="63"/>
        <v>4829.4537607930524</v>
      </c>
      <c r="AF74" s="7">
        <f t="shared" si="63"/>
        <v>4996.3992956267566</v>
      </c>
      <c r="AG74" s="7">
        <f t="shared" si="63"/>
        <v>5208.7462656908938</v>
      </c>
      <c r="AH74" s="7">
        <f t="shared" si="63"/>
        <v>5430.1179819827566</v>
      </c>
      <c r="AI74" s="7">
        <f t="shared" si="63"/>
        <v>5660.8979962170242</v>
      </c>
      <c r="AJ74" s="7">
        <f t="shared" si="63"/>
        <v>5896.9861610562466</v>
      </c>
      <c r="AK74" s="7">
        <f t="shared" si="63"/>
        <v>6144.4243229011363</v>
      </c>
      <c r="AL74" s="7">
        <f t="shared" si="63"/>
        <v>6403.6470441244355</v>
      </c>
      <c r="AM74" s="7">
        <f t="shared" si="63"/>
        <v>6675.8020434997243</v>
      </c>
      <c r="AN74" s="7">
        <f t="shared" si="63"/>
        <v>6959.5236303484608</v>
      </c>
      <c r="AO74" s="7">
        <f t="shared" si="63"/>
        <v>7255.3033846382714</v>
      </c>
      <c r="AP74" s="7">
        <f t="shared" si="63"/>
        <v>7563.4287784853968</v>
      </c>
      <c r="AQ74" s="7">
        <f t="shared" si="63"/>
        <v>7884.715314071027</v>
      </c>
      <c r="AR74" s="7">
        <f t="shared" si="63"/>
        <v>8219.7199492940454</v>
      </c>
    </row>
    <row r="75" spans="2:44" x14ac:dyDescent="0.3">
      <c r="B75" s="1" t="str">
        <f>+Parameters!A60</f>
        <v>Theft &amp; non-Return</v>
      </c>
      <c r="C75" s="19">
        <f>+Parameters!B60</f>
        <v>0.03</v>
      </c>
      <c r="F75" s="7"/>
      <c r="G75" s="9">
        <f t="shared" si="62"/>
        <v>116035.13677091867</v>
      </c>
      <c r="I75" s="7">
        <f t="shared" ref="I75:AR75" si="64">+I33*$C$75</f>
        <v>0</v>
      </c>
      <c r="J75" s="7">
        <f t="shared" si="64"/>
        <v>0</v>
      </c>
      <c r="K75" s="7">
        <f t="shared" si="64"/>
        <v>0</v>
      </c>
      <c r="L75" s="7">
        <f t="shared" si="64"/>
        <v>0</v>
      </c>
      <c r="M75" s="7">
        <f t="shared" si="64"/>
        <v>0</v>
      </c>
      <c r="N75" s="7">
        <f t="shared" si="64"/>
        <v>0</v>
      </c>
      <c r="O75" s="7">
        <f t="shared" si="64"/>
        <v>0</v>
      </c>
      <c r="P75" s="7">
        <f t="shared" si="64"/>
        <v>0</v>
      </c>
      <c r="Q75" s="7">
        <f t="shared" si="64"/>
        <v>0</v>
      </c>
      <c r="R75" s="7">
        <f t="shared" si="64"/>
        <v>0</v>
      </c>
      <c r="S75" s="7">
        <f t="shared" si="64"/>
        <v>0</v>
      </c>
      <c r="T75" s="7">
        <f t="shared" si="64"/>
        <v>0</v>
      </c>
      <c r="U75" s="7">
        <f t="shared" si="64"/>
        <v>0</v>
      </c>
      <c r="V75" s="7">
        <f t="shared" si="64"/>
        <v>0</v>
      </c>
      <c r="W75" s="7">
        <f t="shared" si="64"/>
        <v>0</v>
      </c>
      <c r="X75" s="7">
        <f t="shared" si="64"/>
        <v>1800</v>
      </c>
      <c r="Y75" s="7">
        <f t="shared" si="64"/>
        <v>3150</v>
      </c>
      <c r="Z75" s="7">
        <f t="shared" si="64"/>
        <v>4050</v>
      </c>
      <c r="AA75" s="7">
        <f t="shared" si="64"/>
        <v>4222.125</v>
      </c>
      <c r="AB75" s="7">
        <f t="shared" si="64"/>
        <v>4401.5653124999999</v>
      </c>
      <c r="AC75" s="7">
        <f t="shared" si="64"/>
        <v>4588.6318382812506</v>
      </c>
      <c r="AD75" s="7">
        <f t="shared" si="64"/>
        <v>4693.6486914082034</v>
      </c>
      <c r="AE75" s="7">
        <f t="shared" si="64"/>
        <v>4829.4537607930524</v>
      </c>
      <c r="AF75" s="7">
        <f t="shared" si="64"/>
        <v>4996.3992956267566</v>
      </c>
      <c r="AG75" s="7">
        <f t="shared" si="64"/>
        <v>5208.7462656908938</v>
      </c>
      <c r="AH75" s="7">
        <f t="shared" si="64"/>
        <v>5430.1179819827566</v>
      </c>
      <c r="AI75" s="7">
        <f t="shared" si="64"/>
        <v>5660.8979962170242</v>
      </c>
      <c r="AJ75" s="7">
        <f t="shared" si="64"/>
        <v>5896.9861610562466</v>
      </c>
      <c r="AK75" s="7">
        <f t="shared" si="64"/>
        <v>6144.4243229011363</v>
      </c>
      <c r="AL75" s="7">
        <f t="shared" si="64"/>
        <v>6403.6470441244355</v>
      </c>
      <c r="AM75" s="7">
        <f t="shared" si="64"/>
        <v>6675.8020434997243</v>
      </c>
      <c r="AN75" s="7">
        <f t="shared" si="64"/>
        <v>6959.5236303484608</v>
      </c>
      <c r="AO75" s="7">
        <f t="shared" si="64"/>
        <v>7255.3033846382714</v>
      </c>
      <c r="AP75" s="7">
        <f t="shared" si="64"/>
        <v>7563.4287784853968</v>
      </c>
      <c r="AQ75" s="7">
        <f t="shared" si="64"/>
        <v>7884.715314071027</v>
      </c>
      <c r="AR75" s="7">
        <f t="shared" si="64"/>
        <v>8219.7199492940454</v>
      </c>
    </row>
    <row r="76" spans="2:44" x14ac:dyDescent="0.3">
      <c r="C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</row>
    <row r="77" spans="2:44" x14ac:dyDescent="0.3">
      <c r="B77" t="s">
        <v>162</v>
      </c>
      <c r="C77" s="7">
        <f>Parameters!B63</f>
        <v>20000</v>
      </c>
      <c r="D77">
        <f>Parameters!D63</f>
        <v>10</v>
      </c>
      <c r="E77">
        <f>D78-(D77+1)+D77</f>
        <v>19</v>
      </c>
      <c r="F77" s="7">
        <f>C77</f>
        <v>20000</v>
      </c>
      <c r="G77" s="9">
        <f t="shared" ref="G77:G78" si="65">SUM(I77:AR77)</f>
        <v>200000</v>
      </c>
      <c r="H77" s="7"/>
      <c r="I77" s="7">
        <f>IF(+$D77&gt;I$1,0,IF(I$1&lt;=$E77,$F77,0))</f>
        <v>0</v>
      </c>
      <c r="J77" s="7">
        <f t="shared" ref="J77:AR78" si="66">IF(+$D77&gt;J$1,0,IF(J$1&lt;=$E77,$F77,0))</f>
        <v>0</v>
      </c>
      <c r="K77" s="7">
        <f t="shared" si="66"/>
        <v>0</v>
      </c>
      <c r="L77" s="7">
        <f t="shared" si="66"/>
        <v>0</v>
      </c>
      <c r="M77" s="7">
        <f t="shared" si="66"/>
        <v>0</v>
      </c>
      <c r="N77" s="7">
        <f t="shared" si="66"/>
        <v>0</v>
      </c>
      <c r="O77" s="7">
        <f t="shared" si="66"/>
        <v>0</v>
      </c>
      <c r="P77" s="7">
        <f t="shared" si="66"/>
        <v>0</v>
      </c>
      <c r="Q77" s="7">
        <f t="shared" si="66"/>
        <v>0</v>
      </c>
      <c r="R77" s="7">
        <f t="shared" si="66"/>
        <v>20000</v>
      </c>
      <c r="S77" s="7">
        <f t="shared" si="66"/>
        <v>20000</v>
      </c>
      <c r="T77" s="7">
        <f t="shared" si="66"/>
        <v>20000</v>
      </c>
      <c r="U77" s="7">
        <f t="shared" si="66"/>
        <v>20000</v>
      </c>
      <c r="V77" s="7">
        <f t="shared" si="66"/>
        <v>20000</v>
      </c>
      <c r="W77" s="7">
        <f t="shared" si="66"/>
        <v>20000</v>
      </c>
      <c r="X77" s="7">
        <f t="shared" si="66"/>
        <v>20000</v>
      </c>
      <c r="Y77" s="7">
        <f t="shared" si="66"/>
        <v>20000</v>
      </c>
      <c r="Z77" s="7">
        <f t="shared" si="66"/>
        <v>20000</v>
      </c>
      <c r="AA77" s="7">
        <f t="shared" si="66"/>
        <v>20000</v>
      </c>
      <c r="AB77" s="7">
        <f t="shared" si="66"/>
        <v>0</v>
      </c>
      <c r="AC77" s="7">
        <f t="shared" si="66"/>
        <v>0</v>
      </c>
      <c r="AD77" s="7">
        <f t="shared" si="66"/>
        <v>0</v>
      </c>
      <c r="AE77" s="7">
        <f t="shared" si="66"/>
        <v>0</v>
      </c>
      <c r="AF77" s="7">
        <f t="shared" si="66"/>
        <v>0</v>
      </c>
      <c r="AG77" s="7">
        <f t="shared" si="66"/>
        <v>0</v>
      </c>
      <c r="AH77" s="7">
        <f t="shared" si="66"/>
        <v>0</v>
      </c>
      <c r="AI77" s="7">
        <f t="shared" si="66"/>
        <v>0</v>
      </c>
      <c r="AJ77" s="7">
        <f t="shared" si="66"/>
        <v>0</v>
      </c>
      <c r="AK77" s="7">
        <f t="shared" si="66"/>
        <v>0</v>
      </c>
      <c r="AL77" s="7">
        <f t="shared" si="66"/>
        <v>0</v>
      </c>
      <c r="AM77" s="7">
        <f t="shared" si="66"/>
        <v>0</v>
      </c>
      <c r="AN77" s="7">
        <f t="shared" si="66"/>
        <v>0</v>
      </c>
      <c r="AO77" s="7">
        <f t="shared" si="66"/>
        <v>0</v>
      </c>
      <c r="AP77" s="7">
        <f t="shared" si="66"/>
        <v>0</v>
      </c>
      <c r="AQ77" s="7">
        <f t="shared" si="66"/>
        <v>0</v>
      </c>
      <c r="AR77" s="7">
        <f t="shared" si="66"/>
        <v>0</v>
      </c>
    </row>
    <row r="78" spans="2:44" x14ac:dyDescent="0.3">
      <c r="B78" t="s">
        <v>162</v>
      </c>
      <c r="C78" s="7">
        <f>C77</f>
        <v>20000</v>
      </c>
      <c r="D78">
        <f>Parameters!G63</f>
        <v>20</v>
      </c>
      <c r="E78">
        <v>36</v>
      </c>
      <c r="F78" s="7">
        <f>+F77*(1+Parameters!F63)</f>
        <v>20600</v>
      </c>
      <c r="G78" s="9">
        <f t="shared" si="65"/>
        <v>350200</v>
      </c>
      <c r="H78" s="7"/>
      <c r="I78" s="7">
        <f t="shared" ref="I78" si="67">IF(+$D78&gt;I$1,0,IF(I$1&lt;=$E78,$F78,0))</f>
        <v>0</v>
      </c>
      <c r="J78" s="7">
        <f t="shared" si="66"/>
        <v>0</v>
      </c>
      <c r="K78" s="7">
        <f t="shared" si="66"/>
        <v>0</v>
      </c>
      <c r="L78" s="7">
        <f t="shared" si="66"/>
        <v>0</v>
      </c>
      <c r="M78" s="7">
        <f t="shared" si="66"/>
        <v>0</v>
      </c>
      <c r="N78" s="7">
        <f t="shared" si="66"/>
        <v>0</v>
      </c>
      <c r="O78" s="7">
        <f t="shared" si="66"/>
        <v>0</v>
      </c>
      <c r="P78" s="7">
        <f t="shared" si="66"/>
        <v>0</v>
      </c>
      <c r="Q78" s="7">
        <f t="shared" si="66"/>
        <v>0</v>
      </c>
      <c r="R78" s="7">
        <f t="shared" si="66"/>
        <v>0</v>
      </c>
      <c r="S78" s="7">
        <f t="shared" si="66"/>
        <v>0</v>
      </c>
      <c r="T78" s="7">
        <f t="shared" si="66"/>
        <v>0</v>
      </c>
      <c r="U78" s="7">
        <f t="shared" si="66"/>
        <v>0</v>
      </c>
      <c r="V78" s="7">
        <f t="shared" si="66"/>
        <v>0</v>
      </c>
      <c r="W78" s="7">
        <f t="shared" si="66"/>
        <v>0</v>
      </c>
      <c r="X78" s="7">
        <f t="shared" si="66"/>
        <v>0</v>
      </c>
      <c r="Y78" s="7">
        <f t="shared" si="66"/>
        <v>0</v>
      </c>
      <c r="Z78" s="7">
        <f t="shared" si="66"/>
        <v>0</v>
      </c>
      <c r="AA78" s="7">
        <f t="shared" si="66"/>
        <v>0</v>
      </c>
      <c r="AB78" s="7">
        <f t="shared" si="66"/>
        <v>20600</v>
      </c>
      <c r="AC78" s="7">
        <f t="shared" si="66"/>
        <v>20600</v>
      </c>
      <c r="AD78" s="7">
        <f t="shared" si="66"/>
        <v>20600</v>
      </c>
      <c r="AE78" s="7">
        <f t="shared" si="66"/>
        <v>20600</v>
      </c>
      <c r="AF78" s="7">
        <f t="shared" si="66"/>
        <v>20600</v>
      </c>
      <c r="AG78" s="7">
        <f t="shared" si="66"/>
        <v>20600</v>
      </c>
      <c r="AH78" s="7">
        <f t="shared" si="66"/>
        <v>20600</v>
      </c>
      <c r="AI78" s="7">
        <f t="shared" si="66"/>
        <v>20600</v>
      </c>
      <c r="AJ78" s="7">
        <f t="shared" si="66"/>
        <v>20600</v>
      </c>
      <c r="AK78" s="7">
        <f t="shared" si="66"/>
        <v>20600</v>
      </c>
      <c r="AL78" s="7">
        <f t="shared" si="66"/>
        <v>20600</v>
      </c>
      <c r="AM78" s="7">
        <f t="shared" si="66"/>
        <v>20600</v>
      </c>
      <c r="AN78" s="7">
        <f t="shared" si="66"/>
        <v>20600</v>
      </c>
      <c r="AO78" s="7">
        <f t="shared" si="66"/>
        <v>20600</v>
      </c>
      <c r="AP78" s="7">
        <f t="shared" si="66"/>
        <v>20600</v>
      </c>
      <c r="AQ78" s="7">
        <f t="shared" si="66"/>
        <v>20600</v>
      </c>
      <c r="AR78" s="7">
        <f t="shared" si="66"/>
        <v>20600</v>
      </c>
    </row>
    <row r="79" spans="2:44" x14ac:dyDescent="0.3">
      <c r="C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2:44" x14ac:dyDescent="0.3">
      <c r="B80" s="3" t="str">
        <f>+Parameters!A68</f>
        <v>Production Cost</v>
      </c>
      <c r="C80" s="9"/>
      <c r="D80" s="3"/>
      <c r="E80" s="3"/>
      <c r="F80" s="7"/>
      <c r="G80" s="10"/>
      <c r="H80" s="1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1:44" x14ac:dyDescent="0.3">
      <c r="B81" s="1" t="str">
        <f>+Parameters!A70</f>
        <v>Initial Units for testing</v>
      </c>
      <c r="C81" s="9">
        <f>+Parameters!B70</f>
        <v>0</v>
      </c>
      <c r="D81" s="1">
        <f>+Parameters!D70</f>
        <v>1</v>
      </c>
      <c r="E81" s="1">
        <f>+Parameters!F70</f>
        <v>1</v>
      </c>
      <c r="F81" s="9">
        <f>+C81/((E81-D81)+1)</f>
        <v>0</v>
      </c>
      <c r="G81" s="9">
        <f t="shared" ref="G81:G83" si="68">SUM(I81:AR81)</f>
        <v>0</v>
      </c>
      <c r="H81" s="9"/>
      <c r="I81" s="7">
        <f>IF(+$D81&gt;I$1,0,IF(I$1&lt;=$E81,$F81,0))</f>
        <v>0</v>
      </c>
      <c r="J81" s="7">
        <f t="shared" ref="J81:AR88" si="69">IF(+$D81&gt;J$1,0,IF(J$1&lt;=$E81,$F81,0))</f>
        <v>0</v>
      </c>
      <c r="K81" s="7">
        <f t="shared" si="69"/>
        <v>0</v>
      </c>
      <c r="L81" s="7">
        <f t="shared" si="69"/>
        <v>0</v>
      </c>
      <c r="M81" s="7">
        <f t="shared" si="69"/>
        <v>0</v>
      </c>
      <c r="N81" s="7">
        <f t="shared" si="69"/>
        <v>0</v>
      </c>
      <c r="O81" s="7">
        <f t="shared" si="69"/>
        <v>0</v>
      </c>
      <c r="P81" s="7">
        <f t="shared" si="69"/>
        <v>0</v>
      </c>
      <c r="Q81" s="7">
        <f t="shared" si="69"/>
        <v>0</v>
      </c>
      <c r="R81" s="7">
        <f t="shared" si="69"/>
        <v>0</v>
      </c>
      <c r="S81" s="7">
        <f t="shared" si="69"/>
        <v>0</v>
      </c>
      <c r="T81" s="7">
        <f t="shared" si="69"/>
        <v>0</v>
      </c>
      <c r="U81" s="7">
        <f t="shared" si="69"/>
        <v>0</v>
      </c>
      <c r="V81" s="7">
        <f t="shared" si="69"/>
        <v>0</v>
      </c>
      <c r="W81" s="7">
        <f t="shared" si="69"/>
        <v>0</v>
      </c>
      <c r="X81" s="7">
        <f t="shared" si="69"/>
        <v>0</v>
      </c>
      <c r="Y81" s="7">
        <f t="shared" si="69"/>
        <v>0</v>
      </c>
      <c r="Z81" s="7">
        <f t="shared" si="69"/>
        <v>0</v>
      </c>
      <c r="AA81" s="7">
        <f t="shared" si="69"/>
        <v>0</v>
      </c>
      <c r="AB81" s="7">
        <f t="shared" si="69"/>
        <v>0</v>
      </c>
      <c r="AC81" s="7">
        <f t="shared" si="69"/>
        <v>0</v>
      </c>
      <c r="AD81" s="7">
        <f t="shared" si="69"/>
        <v>0</v>
      </c>
      <c r="AE81" s="7">
        <f t="shared" si="69"/>
        <v>0</v>
      </c>
      <c r="AF81" s="7">
        <f t="shared" si="69"/>
        <v>0</v>
      </c>
      <c r="AG81" s="7">
        <f t="shared" si="69"/>
        <v>0</v>
      </c>
      <c r="AH81" s="7">
        <f t="shared" si="69"/>
        <v>0</v>
      </c>
      <c r="AI81" s="7">
        <f t="shared" si="69"/>
        <v>0</v>
      </c>
      <c r="AJ81" s="7">
        <f t="shared" si="69"/>
        <v>0</v>
      </c>
      <c r="AK81" s="7">
        <f t="shared" si="69"/>
        <v>0</v>
      </c>
      <c r="AL81" s="7">
        <f t="shared" si="69"/>
        <v>0</v>
      </c>
      <c r="AM81" s="7">
        <f t="shared" si="69"/>
        <v>0</v>
      </c>
      <c r="AN81" s="7">
        <f t="shared" si="69"/>
        <v>0</v>
      </c>
      <c r="AO81" s="7">
        <f t="shared" si="69"/>
        <v>0</v>
      </c>
      <c r="AP81" s="7">
        <f t="shared" si="69"/>
        <v>0</v>
      </c>
      <c r="AQ81" s="7">
        <f t="shared" si="69"/>
        <v>0</v>
      </c>
      <c r="AR81" s="7">
        <f t="shared" si="69"/>
        <v>0</v>
      </c>
    </row>
    <row r="82" spans="1:44" x14ac:dyDescent="0.3">
      <c r="A82" t="s">
        <v>69</v>
      </c>
      <c r="B82" s="1" t="str">
        <f>+Parameters!A73</f>
        <v>Intial production run</v>
      </c>
      <c r="C82" s="9">
        <f>Parameters!L67*Parameters!$B$71</f>
        <v>0</v>
      </c>
      <c r="D82" s="1">
        <f>+Parameters!N67</f>
        <v>2</v>
      </c>
      <c r="E82" s="1">
        <f>+Parameters!P67</f>
        <v>3</v>
      </c>
      <c r="F82" s="9">
        <f>+C82/((E82-D82)+1)</f>
        <v>0</v>
      </c>
      <c r="G82" s="9">
        <f t="shared" si="68"/>
        <v>0</v>
      </c>
      <c r="H82" s="9"/>
      <c r="I82" s="7">
        <f t="shared" ref="I82:X97" si="70">IF(+$D82&gt;I$1,0,IF(I$1&lt;=$E82,$F82,0))</f>
        <v>0</v>
      </c>
      <c r="J82" s="7">
        <f t="shared" si="69"/>
        <v>0</v>
      </c>
      <c r="K82" s="7">
        <f t="shared" si="69"/>
        <v>0</v>
      </c>
      <c r="L82" s="7">
        <f t="shared" si="69"/>
        <v>0</v>
      </c>
      <c r="M82" s="7">
        <f t="shared" si="69"/>
        <v>0</v>
      </c>
      <c r="N82" s="7">
        <f t="shared" si="69"/>
        <v>0</v>
      </c>
      <c r="O82" s="7">
        <f t="shared" si="69"/>
        <v>0</v>
      </c>
      <c r="P82" s="7">
        <f t="shared" si="69"/>
        <v>0</v>
      </c>
      <c r="Q82" s="7">
        <f t="shared" si="69"/>
        <v>0</v>
      </c>
      <c r="R82" s="7">
        <f t="shared" si="69"/>
        <v>0</v>
      </c>
      <c r="S82" s="7">
        <f t="shared" si="69"/>
        <v>0</v>
      </c>
      <c r="T82" s="7">
        <f t="shared" si="69"/>
        <v>0</v>
      </c>
      <c r="U82" s="7">
        <f t="shared" si="69"/>
        <v>0</v>
      </c>
      <c r="V82" s="7">
        <f t="shared" si="69"/>
        <v>0</v>
      </c>
      <c r="W82" s="7">
        <f t="shared" si="69"/>
        <v>0</v>
      </c>
      <c r="X82" s="7">
        <f t="shared" si="69"/>
        <v>0</v>
      </c>
      <c r="Y82" s="7">
        <f t="shared" si="69"/>
        <v>0</v>
      </c>
      <c r="Z82" s="7">
        <f t="shared" si="69"/>
        <v>0</v>
      </c>
      <c r="AA82" s="7">
        <f t="shared" si="69"/>
        <v>0</v>
      </c>
      <c r="AB82" s="7">
        <f t="shared" si="69"/>
        <v>0</v>
      </c>
      <c r="AC82" s="7">
        <f t="shared" si="69"/>
        <v>0</v>
      </c>
      <c r="AD82" s="7">
        <f t="shared" si="69"/>
        <v>0</v>
      </c>
      <c r="AE82" s="7">
        <f t="shared" si="69"/>
        <v>0</v>
      </c>
      <c r="AF82" s="7">
        <f t="shared" si="69"/>
        <v>0</v>
      </c>
      <c r="AG82" s="7">
        <f t="shared" si="69"/>
        <v>0</v>
      </c>
      <c r="AH82" s="7">
        <f t="shared" si="69"/>
        <v>0</v>
      </c>
      <c r="AI82" s="7">
        <f t="shared" si="69"/>
        <v>0</v>
      </c>
      <c r="AJ82" s="7">
        <f t="shared" si="69"/>
        <v>0</v>
      </c>
      <c r="AK82" s="7">
        <f t="shared" si="69"/>
        <v>0</v>
      </c>
      <c r="AL82" s="7">
        <f t="shared" si="69"/>
        <v>0</v>
      </c>
      <c r="AM82" s="7">
        <f t="shared" si="69"/>
        <v>0</v>
      </c>
      <c r="AN82" s="7">
        <f t="shared" si="69"/>
        <v>0</v>
      </c>
      <c r="AO82" s="7">
        <f t="shared" si="69"/>
        <v>0</v>
      </c>
      <c r="AP82" s="7">
        <f t="shared" si="69"/>
        <v>0</v>
      </c>
      <c r="AQ82" s="7">
        <f t="shared" si="69"/>
        <v>0</v>
      </c>
      <c r="AR82" s="7">
        <f t="shared" si="69"/>
        <v>0</v>
      </c>
    </row>
    <row r="83" spans="1:44" x14ac:dyDescent="0.3">
      <c r="A83" t="s">
        <v>72</v>
      </c>
      <c r="B83" s="1" t="str">
        <f>Parameters!A72</f>
        <v>Tablet cost</v>
      </c>
      <c r="C83" s="9">
        <f>(+C82/Parameters!$B$71)*Parameters!$B$72</f>
        <v>0</v>
      </c>
      <c r="D83" s="1">
        <f>+D82</f>
        <v>2</v>
      </c>
      <c r="E83" s="1">
        <f>+E82</f>
        <v>3</v>
      </c>
      <c r="F83" s="9">
        <f>+C83/((E83-D83)+1)</f>
        <v>0</v>
      </c>
      <c r="G83" s="9">
        <f t="shared" si="68"/>
        <v>0</v>
      </c>
      <c r="H83" s="9"/>
      <c r="I83" s="7">
        <f t="shared" si="70"/>
        <v>0</v>
      </c>
      <c r="J83" s="7">
        <f t="shared" si="69"/>
        <v>0</v>
      </c>
      <c r="K83" s="7">
        <f t="shared" si="69"/>
        <v>0</v>
      </c>
      <c r="L83" s="7">
        <f t="shared" si="69"/>
        <v>0</v>
      </c>
      <c r="M83" s="7">
        <f t="shared" si="69"/>
        <v>0</v>
      </c>
      <c r="N83" s="7">
        <f t="shared" si="69"/>
        <v>0</v>
      </c>
      <c r="O83" s="7">
        <f t="shared" si="69"/>
        <v>0</v>
      </c>
      <c r="P83" s="7">
        <f t="shared" si="69"/>
        <v>0</v>
      </c>
      <c r="Q83" s="7">
        <f t="shared" si="69"/>
        <v>0</v>
      </c>
      <c r="R83" s="7">
        <f t="shared" si="69"/>
        <v>0</v>
      </c>
      <c r="S83" s="7">
        <f t="shared" si="69"/>
        <v>0</v>
      </c>
      <c r="T83" s="7">
        <f t="shared" si="69"/>
        <v>0</v>
      </c>
      <c r="U83" s="7">
        <f t="shared" si="69"/>
        <v>0</v>
      </c>
      <c r="V83" s="7">
        <f t="shared" si="69"/>
        <v>0</v>
      </c>
      <c r="W83" s="7">
        <f t="shared" si="69"/>
        <v>0</v>
      </c>
      <c r="X83" s="7">
        <f t="shared" si="69"/>
        <v>0</v>
      </c>
      <c r="Y83" s="7">
        <f t="shared" si="69"/>
        <v>0</v>
      </c>
      <c r="Z83" s="7">
        <f t="shared" si="69"/>
        <v>0</v>
      </c>
      <c r="AA83" s="7">
        <f t="shared" si="69"/>
        <v>0</v>
      </c>
      <c r="AB83" s="7">
        <f t="shared" si="69"/>
        <v>0</v>
      </c>
      <c r="AC83" s="7">
        <f t="shared" si="69"/>
        <v>0</v>
      </c>
      <c r="AD83" s="7">
        <f t="shared" si="69"/>
        <v>0</v>
      </c>
      <c r="AE83" s="7">
        <f t="shared" si="69"/>
        <v>0</v>
      </c>
      <c r="AF83" s="7">
        <f t="shared" si="69"/>
        <v>0</v>
      </c>
      <c r="AG83" s="7">
        <f t="shared" si="69"/>
        <v>0</v>
      </c>
      <c r="AH83" s="7">
        <f t="shared" si="69"/>
        <v>0</v>
      </c>
      <c r="AI83" s="7">
        <f t="shared" si="69"/>
        <v>0</v>
      </c>
      <c r="AJ83" s="7">
        <f t="shared" si="69"/>
        <v>0</v>
      </c>
      <c r="AK83" s="7">
        <f t="shared" si="69"/>
        <v>0</v>
      </c>
      <c r="AL83" s="7">
        <f t="shared" si="69"/>
        <v>0</v>
      </c>
      <c r="AM83" s="7">
        <f t="shared" si="69"/>
        <v>0</v>
      </c>
      <c r="AN83" s="7">
        <f t="shared" si="69"/>
        <v>0</v>
      </c>
      <c r="AO83" s="7">
        <f t="shared" si="69"/>
        <v>0</v>
      </c>
      <c r="AP83" s="7">
        <f t="shared" si="69"/>
        <v>0</v>
      </c>
      <c r="AQ83" s="7">
        <f t="shared" si="69"/>
        <v>0</v>
      </c>
      <c r="AR83" s="7">
        <f t="shared" si="69"/>
        <v>0</v>
      </c>
    </row>
    <row r="84" spans="1:44" x14ac:dyDescent="0.3">
      <c r="A84" t="s">
        <v>69</v>
      </c>
      <c r="B84" s="1" t="str">
        <f>+Parameters!A74</f>
        <v>Second production run</v>
      </c>
      <c r="C84" s="9">
        <f>Parameters!L68*Parameters!$B$71</f>
        <v>0</v>
      </c>
      <c r="D84" s="1">
        <f>+Parameters!N68</f>
        <v>4</v>
      </c>
      <c r="E84" s="1">
        <f>+Parameters!P68</f>
        <v>5</v>
      </c>
      <c r="F84" s="9">
        <f t="shared" ref="F84:F85" si="71">+C84/((E84-D84)+1)</f>
        <v>0</v>
      </c>
      <c r="G84" s="9">
        <f t="shared" ref="G84:G85" si="72">SUM(I84:AR84)</f>
        <v>0</v>
      </c>
      <c r="H84" s="9"/>
      <c r="I84" s="7">
        <f t="shared" si="70"/>
        <v>0</v>
      </c>
      <c r="J84" s="7">
        <f t="shared" si="69"/>
        <v>0</v>
      </c>
      <c r="K84" s="7">
        <f t="shared" si="69"/>
        <v>0</v>
      </c>
      <c r="L84" s="7">
        <f t="shared" si="69"/>
        <v>0</v>
      </c>
      <c r="M84" s="7">
        <f t="shared" si="69"/>
        <v>0</v>
      </c>
      <c r="N84" s="7">
        <f t="shared" si="69"/>
        <v>0</v>
      </c>
      <c r="O84" s="7">
        <f t="shared" si="69"/>
        <v>0</v>
      </c>
      <c r="P84" s="7">
        <f t="shared" si="69"/>
        <v>0</v>
      </c>
      <c r="Q84" s="7">
        <f t="shared" si="69"/>
        <v>0</v>
      </c>
      <c r="R84" s="7">
        <f t="shared" si="69"/>
        <v>0</v>
      </c>
      <c r="S84" s="7">
        <f t="shared" si="69"/>
        <v>0</v>
      </c>
      <c r="T84" s="7">
        <f t="shared" si="69"/>
        <v>0</v>
      </c>
      <c r="U84" s="7">
        <f t="shared" si="69"/>
        <v>0</v>
      </c>
      <c r="V84" s="7">
        <f t="shared" si="69"/>
        <v>0</v>
      </c>
      <c r="W84" s="7">
        <f t="shared" si="69"/>
        <v>0</v>
      </c>
      <c r="X84" s="7">
        <f t="shared" si="69"/>
        <v>0</v>
      </c>
      <c r="Y84" s="7">
        <f t="shared" si="69"/>
        <v>0</v>
      </c>
      <c r="Z84" s="7">
        <f t="shared" si="69"/>
        <v>0</v>
      </c>
      <c r="AA84" s="7">
        <f t="shared" si="69"/>
        <v>0</v>
      </c>
      <c r="AB84" s="7">
        <f t="shared" si="69"/>
        <v>0</v>
      </c>
      <c r="AC84" s="7">
        <f t="shared" si="69"/>
        <v>0</v>
      </c>
      <c r="AD84" s="7">
        <f t="shared" si="69"/>
        <v>0</v>
      </c>
      <c r="AE84" s="7">
        <f t="shared" si="69"/>
        <v>0</v>
      </c>
      <c r="AF84" s="7">
        <f t="shared" si="69"/>
        <v>0</v>
      </c>
      <c r="AG84" s="7">
        <f t="shared" si="69"/>
        <v>0</v>
      </c>
      <c r="AH84" s="7">
        <f t="shared" si="69"/>
        <v>0</v>
      </c>
      <c r="AI84" s="7">
        <f t="shared" si="69"/>
        <v>0</v>
      </c>
      <c r="AJ84" s="7">
        <f t="shared" si="69"/>
        <v>0</v>
      </c>
      <c r="AK84" s="7">
        <f t="shared" si="69"/>
        <v>0</v>
      </c>
      <c r="AL84" s="7">
        <f t="shared" si="69"/>
        <v>0</v>
      </c>
      <c r="AM84" s="7">
        <f t="shared" si="69"/>
        <v>0</v>
      </c>
      <c r="AN84" s="7">
        <f t="shared" si="69"/>
        <v>0</v>
      </c>
      <c r="AO84" s="7">
        <f t="shared" si="69"/>
        <v>0</v>
      </c>
      <c r="AP84" s="7">
        <f t="shared" si="69"/>
        <v>0</v>
      </c>
      <c r="AQ84" s="7">
        <f t="shared" si="69"/>
        <v>0</v>
      </c>
      <c r="AR84" s="7">
        <f t="shared" si="69"/>
        <v>0</v>
      </c>
    </row>
    <row r="85" spans="1:44" x14ac:dyDescent="0.3">
      <c r="A85" t="s">
        <v>72</v>
      </c>
      <c r="B85" s="1" t="str">
        <f>+B83</f>
        <v>Tablet cost</v>
      </c>
      <c r="C85" s="9">
        <f>(+C84/Parameters!$B$71)*Parameters!$B$72</f>
        <v>0</v>
      </c>
      <c r="D85" s="1">
        <f>+D84</f>
        <v>4</v>
      </c>
      <c r="E85" s="1">
        <f>+E84</f>
        <v>5</v>
      </c>
      <c r="F85" s="9">
        <f t="shared" si="71"/>
        <v>0</v>
      </c>
      <c r="G85" s="9">
        <f t="shared" si="72"/>
        <v>0</v>
      </c>
      <c r="H85" s="9"/>
      <c r="I85" s="7">
        <f t="shared" si="70"/>
        <v>0</v>
      </c>
      <c r="J85" s="7">
        <f t="shared" si="69"/>
        <v>0</v>
      </c>
      <c r="K85" s="7">
        <f t="shared" si="69"/>
        <v>0</v>
      </c>
      <c r="L85" s="7">
        <f t="shared" si="69"/>
        <v>0</v>
      </c>
      <c r="M85" s="7">
        <f t="shared" si="69"/>
        <v>0</v>
      </c>
      <c r="N85" s="7">
        <f t="shared" si="69"/>
        <v>0</v>
      </c>
      <c r="O85" s="7">
        <f t="shared" si="69"/>
        <v>0</v>
      </c>
      <c r="P85" s="7">
        <f t="shared" si="69"/>
        <v>0</v>
      </c>
      <c r="Q85" s="7">
        <f t="shared" si="69"/>
        <v>0</v>
      </c>
      <c r="R85" s="7">
        <f t="shared" si="69"/>
        <v>0</v>
      </c>
      <c r="S85" s="7">
        <f t="shared" si="69"/>
        <v>0</v>
      </c>
      <c r="T85" s="7">
        <f t="shared" si="69"/>
        <v>0</v>
      </c>
      <c r="U85" s="7">
        <f t="shared" si="69"/>
        <v>0</v>
      </c>
      <c r="V85" s="7">
        <f t="shared" si="69"/>
        <v>0</v>
      </c>
      <c r="W85" s="7">
        <f t="shared" si="69"/>
        <v>0</v>
      </c>
      <c r="X85" s="7">
        <f t="shared" si="69"/>
        <v>0</v>
      </c>
      <c r="Y85" s="7">
        <f t="shared" si="69"/>
        <v>0</v>
      </c>
      <c r="Z85" s="7">
        <f t="shared" si="69"/>
        <v>0</v>
      </c>
      <c r="AA85" s="7">
        <f t="shared" si="69"/>
        <v>0</v>
      </c>
      <c r="AB85" s="7">
        <f t="shared" si="69"/>
        <v>0</v>
      </c>
      <c r="AC85" s="7">
        <f t="shared" si="69"/>
        <v>0</v>
      </c>
      <c r="AD85" s="7">
        <f t="shared" si="69"/>
        <v>0</v>
      </c>
      <c r="AE85" s="7">
        <f t="shared" si="69"/>
        <v>0</v>
      </c>
      <c r="AF85" s="7">
        <f t="shared" si="69"/>
        <v>0</v>
      </c>
      <c r="AG85" s="7">
        <f t="shared" si="69"/>
        <v>0</v>
      </c>
      <c r="AH85" s="7">
        <f t="shared" si="69"/>
        <v>0</v>
      </c>
      <c r="AI85" s="7">
        <f t="shared" si="69"/>
        <v>0</v>
      </c>
      <c r="AJ85" s="7">
        <f t="shared" si="69"/>
        <v>0</v>
      </c>
      <c r="AK85" s="7">
        <f t="shared" si="69"/>
        <v>0</v>
      </c>
      <c r="AL85" s="7">
        <f t="shared" si="69"/>
        <v>0</v>
      </c>
      <c r="AM85" s="7">
        <f t="shared" si="69"/>
        <v>0</v>
      </c>
      <c r="AN85" s="7">
        <f t="shared" si="69"/>
        <v>0</v>
      </c>
      <c r="AO85" s="7">
        <f t="shared" si="69"/>
        <v>0</v>
      </c>
      <c r="AP85" s="7">
        <f t="shared" si="69"/>
        <v>0</v>
      </c>
      <c r="AQ85" s="7">
        <f t="shared" si="69"/>
        <v>0</v>
      </c>
      <c r="AR85" s="7">
        <f t="shared" si="69"/>
        <v>0</v>
      </c>
    </row>
    <row r="86" spans="1:44" x14ac:dyDescent="0.3">
      <c r="A86" t="s">
        <v>69</v>
      </c>
      <c r="B86" s="1" t="str">
        <f>+Parameters!A75</f>
        <v>Regular Production run</v>
      </c>
      <c r="C86" s="9">
        <f>Parameters!L69*Parameters!$B$71</f>
        <v>0</v>
      </c>
      <c r="D86" s="1">
        <f>+Parameters!N69</f>
        <v>6</v>
      </c>
      <c r="E86" s="1">
        <f>+Parameters!P69</f>
        <v>7</v>
      </c>
      <c r="F86" s="9">
        <f t="shared" ref="F86:F103" si="73">+C86/((E86-D86)+1)</f>
        <v>0</v>
      </c>
      <c r="G86" s="9">
        <f t="shared" ref="G86:G103" si="74">SUM(I86:AR86)</f>
        <v>0</v>
      </c>
      <c r="H86" s="9"/>
      <c r="I86" s="7">
        <f t="shared" si="70"/>
        <v>0</v>
      </c>
      <c r="J86" s="7">
        <f t="shared" si="69"/>
        <v>0</v>
      </c>
      <c r="K86" s="7">
        <f t="shared" si="69"/>
        <v>0</v>
      </c>
      <c r="L86" s="7">
        <f t="shared" si="69"/>
        <v>0</v>
      </c>
      <c r="M86" s="7">
        <f t="shared" si="69"/>
        <v>0</v>
      </c>
      <c r="N86" s="7">
        <f t="shared" si="69"/>
        <v>0</v>
      </c>
      <c r="O86" s="7">
        <f t="shared" si="69"/>
        <v>0</v>
      </c>
      <c r="P86" s="7">
        <f t="shared" si="69"/>
        <v>0</v>
      </c>
      <c r="Q86" s="7">
        <f t="shared" si="69"/>
        <v>0</v>
      </c>
      <c r="R86" s="7">
        <f t="shared" si="69"/>
        <v>0</v>
      </c>
      <c r="S86" s="7">
        <f t="shared" si="69"/>
        <v>0</v>
      </c>
      <c r="T86" s="7">
        <f t="shared" si="69"/>
        <v>0</v>
      </c>
      <c r="U86" s="7">
        <f t="shared" si="69"/>
        <v>0</v>
      </c>
      <c r="V86" s="7">
        <f t="shared" si="69"/>
        <v>0</v>
      </c>
      <c r="W86" s="7">
        <f t="shared" si="69"/>
        <v>0</v>
      </c>
      <c r="X86" s="7">
        <f t="shared" si="69"/>
        <v>0</v>
      </c>
      <c r="Y86" s="7">
        <f t="shared" si="69"/>
        <v>0</v>
      </c>
      <c r="Z86" s="7">
        <f t="shared" si="69"/>
        <v>0</v>
      </c>
      <c r="AA86" s="7">
        <f t="shared" si="69"/>
        <v>0</v>
      </c>
      <c r="AB86" s="7">
        <f t="shared" si="69"/>
        <v>0</v>
      </c>
      <c r="AC86" s="7">
        <f t="shared" si="69"/>
        <v>0</v>
      </c>
      <c r="AD86" s="7">
        <f t="shared" si="69"/>
        <v>0</v>
      </c>
      <c r="AE86" s="7">
        <f t="shared" si="69"/>
        <v>0</v>
      </c>
      <c r="AF86" s="7">
        <f t="shared" si="69"/>
        <v>0</v>
      </c>
      <c r="AG86" s="7">
        <f t="shared" si="69"/>
        <v>0</v>
      </c>
      <c r="AH86" s="7">
        <f t="shared" si="69"/>
        <v>0</v>
      </c>
      <c r="AI86" s="7">
        <f t="shared" si="69"/>
        <v>0</v>
      </c>
      <c r="AJ86" s="7">
        <f t="shared" si="69"/>
        <v>0</v>
      </c>
      <c r="AK86" s="7">
        <f t="shared" si="69"/>
        <v>0</v>
      </c>
      <c r="AL86" s="7">
        <f t="shared" si="69"/>
        <v>0</v>
      </c>
      <c r="AM86" s="7">
        <f t="shared" si="69"/>
        <v>0</v>
      </c>
      <c r="AN86" s="7">
        <f t="shared" si="69"/>
        <v>0</v>
      </c>
      <c r="AO86" s="7">
        <f t="shared" si="69"/>
        <v>0</v>
      </c>
      <c r="AP86" s="7">
        <f t="shared" si="69"/>
        <v>0</v>
      </c>
      <c r="AQ86" s="7">
        <f t="shared" si="69"/>
        <v>0</v>
      </c>
      <c r="AR86" s="7">
        <f t="shared" si="69"/>
        <v>0</v>
      </c>
    </row>
    <row r="87" spans="1:44" x14ac:dyDescent="0.3">
      <c r="A87" t="s">
        <v>72</v>
      </c>
      <c r="B87" s="1" t="str">
        <f t="shared" ref="B87:B117" si="75">+B85</f>
        <v>Tablet cost</v>
      </c>
      <c r="C87" s="9">
        <f>(+C86/Parameters!$B$71)*Parameters!$B$72</f>
        <v>0</v>
      </c>
      <c r="D87" s="1">
        <f>+D86</f>
        <v>6</v>
      </c>
      <c r="E87" s="1">
        <f>+E86</f>
        <v>7</v>
      </c>
      <c r="F87" s="9">
        <f t="shared" si="73"/>
        <v>0</v>
      </c>
      <c r="G87" s="9">
        <f t="shared" si="74"/>
        <v>0</v>
      </c>
      <c r="H87" s="9"/>
      <c r="I87" s="7">
        <f t="shared" si="70"/>
        <v>0</v>
      </c>
      <c r="J87" s="7">
        <f t="shared" si="69"/>
        <v>0</v>
      </c>
      <c r="K87" s="7">
        <f t="shared" si="69"/>
        <v>0</v>
      </c>
      <c r="L87" s="7">
        <f t="shared" si="69"/>
        <v>0</v>
      </c>
      <c r="M87" s="7">
        <f t="shared" si="69"/>
        <v>0</v>
      </c>
      <c r="N87" s="7">
        <f t="shared" si="69"/>
        <v>0</v>
      </c>
      <c r="O87" s="7">
        <f t="shared" si="69"/>
        <v>0</v>
      </c>
      <c r="P87" s="7">
        <f t="shared" si="69"/>
        <v>0</v>
      </c>
      <c r="Q87" s="7">
        <f t="shared" si="69"/>
        <v>0</v>
      </c>
      <c r="R87" s="7">
        <f t="shared" si="69"/>
        <v>0</v>
      </c>
      <c r="S87" s="7">
        <f t="shared" si="69"/>
        <v>0</v>
      </c>
      <c r="T87" s="7">
        <f t="shared" si="69"/>
        <v>0</v>
      </c>
      <c r="U87" s="7">
        <f t="shared" si="69"/>
        <v>0</v>
      </c>
      <c r="V87" s="7">
        <f t="shared" si="69"/>
        <v>0</v>
      </c>
      <c r="W87" s="7">
        <f t="shared" si="69"/>
        <v>0</v>
      </c>
      <c r="X87" s="7">
        <f t="shared" si="69"/>
        <v>0</v>
      </c>
      <c r="Y87" s="7">
        <f t="shared" si="69"/>
        <v>0</v>
      </c>
      <c r="Z87" s="7">
        <f t="shared" si="69"/>
        <v>0</v>
      </c>
      <c r="AA87" s="7">
        <f t="shared" si="69"/>
        <v>0</v>
      </c>
      <c r="AB87" s="7">
        <f t="shared" si="69"/>
        <v>0</v>
      </c>
      <c r="AC87" s="7">
        <f t="shared" si="69"/>
        <v>0</v>
      </c>
      <c r="AD87" s="7">
        <f t="shared" si="69"/>
        <v>0</v>
      </c>
      <c r="AE87" s="7">
        <f t="shared" si="69"/>
        <v>0</v>
      </c>
      <c r="AF87" s="7">
        <f t="shared" si="69"/>
        <v>0</v>
      </c>
      <c r="AG87" s="7">
        <f t="shared" si="69"/>
        <v>0</v>
      </c>
      <c r="AH87" s="7">
        <f t="shared" si="69"/>
        <v>0</v>
      </c>
      <c r="AI87" s="7">
        <f t="shared" si="69"/>
        <v>0</v>
      </c>
      <c r="AJ87" s="7">
        <f t="shared" si="69"/>
        <v>0</v>
      </c>
      <c r="AK87" s="7">
        <f t="shared" si="69"/>
        <v>0</v>
      </c>
      <c r="AL87" s="7">
        <f t="shared" si="69"/>
        <v>0</v>
      </c>
      <c r="AM87" s="7">
        <f t="shared" si="69"/>
        <v>0</v>
      </c>
      <c r="AN87" s="7">
        <f t="shared" si="69"/>
        <v>0</v>
      </c>
      <c r="AO87" s="7">
        <f t="shared" si="69"/>
        <v>0</v>
      </c>
      <c r="AP87" s="7">
        <f t="shared" si="69"/>
        <v>0</v>
      </c>
      <c r="AQ87" s="7">
        <f t="shared" si="69"/>
        <v>0</v>
      </c>
      <c r="AR87" s="7">
        <f t="shared" si="69"/>
        <v>0</v>
      </c>
    </row>
    <row r="88" spans="1:44" x14ac:dyDescent="0.3">
      <c r="A88" t="s">
        <v>69</v>
      </c>
      <c r="B88" s="1" t="str">
        <f t="shared" si="75"/>
        <v>Regular Production run</v>
      </c>
      <c r="C88" s="9">
        <f>Parameters!L70*Parameters!$B$71</f>
        <v>0</v>
      </c>
      <c r="D88" s="1">
        <f>+Parameters!N70</f>
        <v>8</v>
      </c>
      <c r="E88" s="1">
        <f>+Parameters!P70</f>
        <v>9</v>
      </c>
      <c r="F88" s="9">
        <f t="shared" si="73"/>
        <v>0</v>
      </c>
      <c r="G88" s="9">
        <f t="shared" si="74"/>
        <v>0</v>
      </c>
      <c r="H88" s="9"/>
      <c r="I88" s="7">
        <f t="shared" si="70"/>
        <v>0</v>
      </c>
      <c r="J88" s="7">
        <f t="shared" si="69"/>
        <v>0</v>
      </c>
      <c r="K88" s="7">
        <f t="shared" si="69"/>
        <v>0</v>
      </c>
      <c r="L88" s="7">
        <f t="shared" si="69"/>
        <v>0</v>
      </c>
      <c r="M88" s="7">
        <f t="shared" si="69"/>
        <v>0</v>
      </c>
      <c r="N88" s="7">
        <f t="shared" si="69"/>
        <v>0</v>
      </c>
      <c r="O88" s="7">
        <f t="shared" si="69"/>
        <v>0</v>
      </c>
      <c r="P88" s="7">
        <f t="shared" si="69"/>
        <v>0</v>
      </c>
      <c r="Q88" s="7">
        <f t="shared" si="69"/>
        <v>0</v>
      </c>
      <c r="R88" s="7">
        <f t="shared" si="69"/>
        <v>0</v>
      </c>
      <c r="S88" s="7">
        <f t="shared" si="69"/>
        <v>0</v>
      </c>
      <c r="T88" s="7">
        <f t="shared" ref="T88:AI116" si="76">IF(+$D88&gt;T$1,0,IF(T$1&lt;=$E88,$F88,0))</f>
        <v>0</v>
      </c>
      <c r="U88" s="7">
        <f t="shared" si="76"/>
        <v>0</v>
      </c>
      <c r="V88" s="7">
        <f t="shared" si="76"/>
        <v>0</v>
      </c>
      <c r="W88" s="7">
        <f t="shared" si="76"/>
        <v>0</v>
      </c>
      <c r="X88" s="7">
        <f t="shared" si="76"/>
        <v>0</v>
      </c>
      <c r="Y88" s="7">
        <f t="shared" si="76"/>
        <v>0</v>
      </c>
      <c r="Z88" s="7">
        <f t="shared" si="76"/>
        <v>0</v>
      </c>
      <c r="AA88" s="7">
        <f t="shared" si="76"/>
        <v>0</v>
      </c>
      <c r="AB88" s="7">
        <f t="shared" si="76"/>
        <v>0</v>
      </c>
      <c r="AC88" s="7">
        <f t="shared" si="76"/>
        <v>0</v>
      </c>
      <c r="AD88" s="7">
        <f t="shared" si="76"/>
        <v>0</v>
      </c>
      <c r="AE88" s="7">
        <f t="shared" si="76"/>
        <v>0</v>
      </c>
      <c r="AF88" s="7">
        <f t="shared" si="76"/>
        <v>0</v>
      </c>
      <c r="AG88" s="7">
        <f t="shared" si="76"/>
        <v>0</v>
      </c>
      <c r="AH88" s="7">
        <f t="shared" si="76"/>
        <v>0</v>
      </c>
      <c r="AI88" s="7">
        <f t="shared" si="76"/>
        <v>0</v>
      </c>
      <c r="AJ88" s="7">
        <f t="shared" ref="AJ88:AR116" si="77">IF(+$D88&gt;AJ$1,0,IF(AJ$1&lt;=$E88,$F88,0))</f>
        <v>0</v>
      </c>
      <c r="AK88" s="7">
        <f t="shared" si="77"/>
        <v>0</v>
      </c>
      <c r="AL88" s="7">
        <f t="shared" si="77"/>
        <v>0</v>
      </c>
      <c r="AM88" s="7">
        <f t="shared" si="77"/>
        <v>0</v>
      </c>
      <c r="AN88" s="7">
        <f t="shared" si="77"/>
        <v>0</v>
      </c>
      <c r="AO88" s="7">
        <f t="shared" si="77"/>
        <v>0</v>
      </c>
      <c r="AP88" s="7">
        <f t="shared" si="77"/>
        <v>0</v>
      </c>
      <c r="AQ88" s="7">
        <f t="shared" si="77"/>
        <v>0</v>
      </c>
      <c r="AR88" s="7">
        <f t="shared" si="77"/>
        <v>0</v>
      </c>
    </row>
    <row r="89" spans="1:44" x14ac:dyDescent="0.3">
      <c r="A89" t="s">
        <v>72</v>
      </c>
      <c r="B89" s="1" t="str">
        <f t="shared" si="75"/>
        <v>Tablet cost</v>
      </c>
      <c r="C89" s="9">
        <f>(+C88/Parameters!$B$71)*Parameters!$B$72</f>
        <v>0</v>
      </c>
      <c r="D89" s="1">
        <f>+D88</f>
        <v>8</v>
      </c>
      <c r="E89" s="1">
        <f>+E88</f>
        <v>9</v>
      </c>
      <c r="F89" s="9">
        <f t="shared" si="73"/>
        <v>0</v>
      </c>
      <c r="G89" s="9">
        <f t="shared" si="74"/>
        <v>0</v>
      </c>
      <c r="H89" s="9"/>
      <c r="I89" s="7">
        <f t="shared" si="70"/>
        <v>0</v>
      </c>
      <c r="J89" s="7">
        <f t="shared" si="70"/>
        <v>0</v>
      </c>
      <c r="K89" s="7">
        <f t="shared" si="70"/>
        <v>0</v>
      </c>
      <c r="L89" s="7">
        <f t="shared" si="70"/>
        <v>0</v>
      </c>
      <c r="M89" s="7">
        <f t="shared" si="70"/>
        <v>0</v>
      </c>
      <c r="N89" s="7">
        <f t="shared" si="70"/>
        <v>0</v>
      </c>
      <c r="O89" s="7">
        <f t="shared" si="70"/>
        <v>0</v>
      </c>
      <c r="P89" s="7">
        <f t="shared" si="70"/>
        <v>0</v>
      </c>
      <c r="Q89" s="7">
        <f t="shared" si="70"/>
        <v>0</v>
      </c>
      <c r="R89" s="7">
        <f t="shared" si="70"/>
        <v>0</v>
      </c>
      <c r="S89" s="7">
        <f t="shared" si="70"/>
        <v>0</v>
      </c>
      <c r="T89" s="7">
        <f t="shared" si="70"/>
        <v>0</v>
      </c>
      <c r="U89" s="7">
        <f t="shared" si="70"/>
        <v>0</v>
      </c>
      <c r="V89" s="7">
        <f t="shared" si="70"/>
        <v>0</v>
      </c>
      <c r="W89" s="7">
        <f t="shared" si="70"/>
        <v>0</v>
      </c>
      <c r="X89" s="7">
        <f t="shared" si="70"/>
        <v>0</v>
      </c>
      <c r="Y89" s="7">
        <f t="shared" si="76"/>
        <v>0</v>
      </c>
      <c r="Z89" s="7">
        <f t="shared" si="76"/>
        <v>0</v>
      </c>
      <c r="AA89" s="7">
        <f t="shared" si="76"/>
        <v>0</v>
      </c>
      <c r="AB89" s="7">
        <f t="shared" si="76"/>
        <v>0</v>
      </c>
      <c r="AC89" s="7">
        <f t="shared" si="76"/>
        <v>0</v>
      </c>
      <c r="AD89" s="7">
        <f t="shared" si="76"/>
        <v>0</v>
      </c>
      <c r="AE89" s="7">
        <f t="shared" si="76"/>
        <v>0</v>
      </c>
      <c r="AF89" s="7">
        <f t="shared" si="76"/>
        <v>0</v>
      </c>
      <c r="AG89" s="7">
        <f t="shared" si="76"/>
        <v>0</v>
      </c>
      <c r="AH89" s="7">
        <f t="shared" si="76"/>
        <v>0</v>
      </c>
      <c r="AI89" s="7">
        <f t="shared" si="76"/>
        <v>0</v>
      </c>
      <c r="AJ89" s="7">
        <f t="shared" si="77"/>
        <v>0</v>
      </c>
      <c r="AK89" s="7">
        <f t="shared" si="77"/>
        <v>0</v>
      </c>
      <c r="AL89" s="7">
        <f t="shared" si="77"/>
        <v>0</v>
      </c>
      <c r="AM89" s="7">
        <f t="shared" si="77"/>
        <v>0</v>
      </c>
      <c r="AN89" s="7">
        <f t="shared" si="77"/>
        <v>0</v>
      </c>
      <c r="AO89" s="7">
        <f t="shared" si="77"/>
        <v>0</v>
      </c>
      <c r="AP89" s="7">
        <f t="shared" si="77"/>
        <v>0</v>
      </c>
      <c r="AQ89" s="7">
        <f t="shared" si="77"/>
        <v>0</v>
      </c>
      <c r="AR89" s="7">
        <f t="shared" si="77"/>
        <v>0</v>
      </c>
    </row>
    <row r="90" spans="1:44" x14ac:dyDescent="0.3">
      <c r="A90" t="s">
        <v>69</v>
      </c>
      <c r="B90" s="1" t="str">
        <f t="shared" si="75"/>
        <v>Regular Production run</v>
      </c>
      <c r="C90" s="9">
        <f>Parameters!L71*Parameters!$B$71</f>
        <v>0</v>
      </c>
      <c r="D90" s="1">
        <f>+Parameters!N71</f>
        <v>10</v>
      </c>
      <c r="E90" s="1">
        <f>+Parameters!P71</f>
        <v>11</v>
      </c>
      <c r="F90" s="9">
        <f t="shared" si="73"/>
        <v>0</v>
      </c>
      <c r="G90" s="9">
        <f t="shared" si="74"/>
        <v>0</v>
      </c>
      <c r="H90" s="9"/>
      <c r="I90" s="7">
        <f t="shared" si="70"/>
        <v>0</v>
      </c>
      <c r="J90" s="7">
        <f t="shared" si="70"/>
        <v>0</v>
      </c>
      <c r="K90" s="7">
        <f t="shared" si="70"/>
        <v>0</v>
      </c>
      <c r="L90" s="7">
        <f t="shared" si="70"/>
        <v>0</v>
      </c>
      <c r="M90" s="7">
        <f t="shared" si="70"/>
        <v>0</v>
      </c>
      <c r="N90" s="7">
        <f t="shared" si="70"/>
        <v>0</v>
      </c>
      <c r="O90" s="7">
        <f t="shared" si="70"/>
        <v>0</v>
      </c>
      <c r="P90" s="7">
        <f t="shared" si="70"/>
        <v>0</v>
      </c>
      <c r="Q90" s="7">
        <f t="shared" si="70"/>
        <v>0</v>
      </c>
      <c r="R90" s="7">
        <f t="shared" si="70"/>
        <v>0</v>
      </c>
      <c r="S90" s="7">
        <f t="shared" si="70"/>
        <v>0</v>
      </c>
      <c r="T90" s="7">
        <f t="shared" si="70"/>
        <v>0</v>
      </c>
      <c r="U90" s="7">
        <f t="shared" si="70"/>
        <v>0</v>
      </c>
      <c r="V90" s="7">
        <f t="shared" si="70"/>
        <v>0</v>
      </c>
      <c r="W90" s="7">
        <f t="shared" si="70"/>
        <v>0</v>
      </c>
      <c r="X90" s="7">
        <f t="shared" si="70"/>
        <v>0</v>
      </c>
      <c r="Y90" s="7">
        <f t="shared" si="76"/>
        <v>0</v>
      </c>
      <c r="Z90" s="7">
        <f t="shared" si="76"/>
        <v>0</v>
      </c>
      <c r="AA90" s="7">
        <f t="shared" si="76"/>
        <v>0</v>
      </c>
      <c r="AB90" s="7">
        <f t="shared" si="76"/>
        <v>0</v>
      </c>
      <c r="AC90" s="7">
        <f t="shared" si="76"/>
        <v>0</v>
      </c>
      <c r="AD90" s="7">
        <f t="shared" si="76"/>
        <v>0</v>
      </c>
      <c r="AE90" s="7">
        <f t="shared" si="76"/>
        <v>0</v>
      </c>
      <c r="AF90" s="7">
        <f t="shared" si="76"/>
        <v>0</v>
      </c>
      <c r="AG90" s="7">
        <f t="shared" si="76"/>
        <v>0</v>
      </c>
      <c r="AH90" s="7">
        <f t="shared" si="76"/>
        <v>0</v>
      </c>
      <c r="AI90" s="7">
        <f t="shared" si="76"/>
        <v>0</v>
      </c>
      <c r="AJ90" s="7">
        <f t="shared" si="77"/>
        <v>0</v>
      </c>
      <c r="AK90" s="7">
        <f t="shared" si="77"/>
        <v>0</v>
      </c>
      <c r="AL90" s="7">
        <f t="shared" si="77"/>
        <v>0</v>
      </c>
      <c r="AM90" s="7">
        <f t="shared" si="77"/>
        <v>0</v>
      </c>
      <c r="AN90" s="7">
        <f t="shared" si="77"/>
        <v>0</v>
      </c>
      <c r="AO90" s="7">
        <f t="shared" si="77"/>
        <v>0</v>
      </c>
      <c r="AP90" s="7">
        <f t="shared" si="77"/>
        <v>0</v>
      </c>
      <c r="AQ90" s="7">
        <f t="shared" si="77"/>
        <v>0</v>
      </c>
      <c r="AR90" s="7">
        <f t="shared" si="77"/>
        <v>0</v>
      </c>
    </row>
    <row r="91" spans="1:44" x14ac:dyDescent="0.3">
      <c r="A91" t="s">
        <v>72</v>
      </c>
      <c r="B91" s="1" t="str">
        <f t="shared" si="75"/>
        <v>Tablet cost</v>
      </c>
      <c r="C91" s="9">
        <f>(+C90/Parameters!$B$71)*Parameters!$B$72</f>
        <v>0</v>
      </c>
      <c r="D91" s="1">
        <f>+D90</f>
        <v>10</v>
      </c>
      <c r="E91" s="1">
        <f>+E90</f>
        <v>11</v>
      </c>
      <c r="F91" s="9">
        <f t="shared" si="73"/>
        <v>0</v>
      </c>
      <c r="G91" s="9">
        <f t="shared" si="74"/>
        <v>0</v>
      </c>
      <c r="H91" s="9"/>
      <c r="I91" s="7">
        <f t="shared" si="70"/>
        <v>0</v>
      </c>
      <c r="J91" s="7">
        <f t="shared" si="70"/>
        <v>0</v>
      </c>
      <c r="K91" s="7">
        <f t="shared" si="70"/>
        <v>0</v>
      </c>
      <c r="L91" s="7">
        <f t="shared" si="70"/>
        <v>0</v>
      </c>
      <c r="M91" s="7">
        <f t="shared" si="70"/>
        <v>0</v>
      </c>
      <c r="N91" s="7">
        <f t="shared" si="70"/>
        <v>0</v>
      </c>
      <c r="O91" s="7">
        <f t="shared" si="70"/>
        <v>0</v>
      </c>
      <c r="P91" s="7">
        <f t="shared" si="70"/>
        <v>0</v>
      </c>
      <c r="Q91" s="7">
        <f t="shared" si="70"/>
        <v>0</v>
      </c>
      <c r="R91" s="7">
        <f t="shared" si="70"/>
        <v>0</v>
      </c>
      <c r="S91" s="7">
        <f t="shared" si="70"/>
        <v>0</v>
      </c>
      <c r="T91" s="7">
        <f t="shared" si="70"/>
        <v>0</v>
      </c>
      <c r="U91" s="7">
        <f t="shared" si="70"/>
        <v>0</v>
      </c>
      <c r="V91" s="7">
        <f t="shared" si="70"/>
        <v>0</v>
      </c>
      <c r="W91" s="7">
        <f t="shared" si="70"/>
        <v>0</v>
      </c>
      <c r="X91" s="7">
        <f t="shared" si="70"/>
        <v>0</v>
      </c>
      <c r="Y91" s="7">
        <f t="shared" si="76"/>
        <v>0</v>
      </c>
      <c r="Z91" s="7">
        <f t="shared" si="76"/>
        <v>0</v>
      </c>
      <c r="AA91" s="7">
        <f t="shared" si="76"/>
        <v>0</v>
      </c>
      <c r="AB91" s="7">
        <f t="shared" si="76"/>
        <v>0</v>
      </c>
      <c r="AC91" s="7">
        <f t="shared" si="76"/>
        <v>0</v>
      </c>
      <c r="AD91" s="7">
        <f t="shared" si="76"/>
        <v>0</v>
      </c>
      <c r="AE91" s="7">
        <f t="shared" si="76"/>
        <v>0</v>
      </c>
      <c r="AF91" s="7">
        <f t="shared" si="76"/>
        <v>0</v>
      </c>
      <c r="AG91" s="7">
        <f t="shared" si="76"/>
        <v>0</v>
      </c>
      <c r="AH91" s="7">
        <f t="shared" si="76"/>
        <v>0</v>
      </c>
      <c r="AI91" s="7">
        <f t="shared" si="76"/>
        <v>0</v>
      </c>
      <c r="AJ91" s="7">
        <f t="shared" si="77"/>
        <v>0</v>
      </c>
      <c r="AK91" s="7">
        <f t="shared" si="77"/>
        <v>0</v>
      </c>
      <c r="AL91" s="7">
        <f t="shared" si="77"/>
        <v>0</v>
      </c>
      <c r="AM91" s="7">
        <f t="shared" si="77"/>
        <v>0</v>
      </c>
      <c r="AN91" s="7">
        <f t="shared" si="77"/>
        <v>0</v>
      </c>
      <c r="AO91" s="7">
        <f t="shared" si="77"/>
        <v>0</v>
      </c>
      <c r="AP91" s="7">
        <f t="shared" si="77"/>
        <v>0</v>
      </c>
      <c r="AQ91" s="7">
        <f t="shared" si="77"/>
        <v>0</v>
      </c>
      <c r="AR91" s="7">
        <f t="shared" si="77"/>
        <v>0</v>
      </c>
    </row>
    <row r="92" spans="1:44" x14ac:dyDescent="0.3">
      <c r="A92" t="s">
        <v>69</v>
      </c>
      <c r="B92" s="1" t="str">
        <f t="shared" si="75"/>
        <v>Regular Production run</v>
      </c>
      <c r="C92" s="9">
        <f>Parameters!L72*Parameters!$B$71</f>
        <v>0</v>
      </c>
      <c r="D92" s="1">
        <f>+Parameters!N72</f>
        <v>12</v>
      </c>
      <c r="E92" s="1">
        <f>+Parameters!P72</f>
        <v>13</v>
      </c>
      <c r="F92" s="9">
        <f t="shared" si="73"/>
        <v>0</v>
      </c>
      <c r="G92" s="9">
        <f t="shared" si="74"/>
        <v>0</v>
      </c>
      <c r="H92" s="9"/>
      <c r="I92" s="7">
        <f t="shared" si="70"/>
        <v>0</v>
      </c>
      <c r="J92" s="7">
        <f t="shared" si="70"/>
        <v>0</v>
      </c>
      <c r="K92" s="7">
        <f t="shared" si="70"/>
        <v>0</v>
      </c>
      <c r="L92" s="7">
        <f t="shared" si="70"/>
        <v>0</v>
      </c>
      <c r="M92" s="7">
        <f t="shared" si="70"/>
        <v>0</v>
      </c>
      <c r="N92" s="7">
        <f t="shared" si="70"/>
        <v>0</v>
      </c>
      <c r="O92" s="7">
        <f t="shared" si="70"/>
        <v>0</v>
      </c>
      <c r="P92" s="7">
        <f t="shared" si="70"/>
        <v>0</v>
      </c>
      <c r="Q92" s="7">
        <f t="shared" si="70"/>
        <v>0</v>
      </c>
      <c r="R92" s="7">
        <f t="shared" si="70"/>
        <v>0</v>
      </c>
      <c r="S92" s="7">
        <f t="shared" si="70"/>
        <v>0</v>
      </c>
      <c r="T92" s="7">
        <f t="shared" si="70"/>
        <v>0</v>
      </c>
      <c r="U92" s="7">
        <f t="shared" si="70"/>
        <v>0</v>
      </c>
      <c r="V92" s="7">
        <f t="shared" si="70"/>
        <v>0</v>
      </c>
      <c r="W92" s="7">
        <f t="shared" si="70"/>
        <v>0</v>
      </c>
      <c r="X92" s="7">
        <f t="shared" si="70"/>
        <v>0</v>
      </c>
      <c r="Y92" s="7">
        <f t="shared" si="76"/>
        <v>0</v>
      </c>
      <c r="Z92" s="7">
        <f t="shared" si="76"/>
        <v>0</v>
      </c>
      <c r="AA92" s="7">
        <f t="shared" si="76"/>
        <v>0</v>
      </c>
      <c r="AB92" s="7">
        <f t="shared" si="76"/>
        <v>0</v>
      </c>
      <c r="AC92" s="7">
        <f t="shared" si="76"/>
        <v>0</v>
      </c>
      <c r="AD92" s="7">
        <f t="shared" si="76"/>
        <v>0</v>
      </c>
      <c r="AE92" s="7">
        <f t="shared" si="76"/>
        <v>0</v>
      </c>
      <c r="AF92" s="7">
        <f t="shared" si="76"/>
        <v>0</v>
      </c>
      <c r="AG92" s="7">
        <f t="shared" si="76"/>
        <v>0</v>
      </c>
      <c r="AH92" s="7">
        <f t="shared" si="76"/>
        <v>0</v>
      </c>
      <c r="AI92" s="7">
        <f t="shared" si="76"/>
        <v>0</v>
      </c>
      <c r="AJ92" s="7">
        <f t="shared" si="77"/>
        <v>0</v>
      </c>
      <c r="AK92" s="7">
        <f t="shared" si="77"/>
        <v>0</v>
      </c>
      <c r="AL92" s="7">
        <f t="shared" si="77"/>
        <v>0</v>
      </c>
      <c r="AM92" s="7">
        <f t="shared" si="77"/>
        <v>0</v>
      </c>
      <c r="AN92" s="7">
        <f t="shared" si="77"/>
        <v>0</v>
      </c>
      <c r="AO92" s="7">
        <f t="shared" si="77"/>
        <v>0</v>
      </c>
      <c r="AP92" s="7">
        <f t="shared" si="77"/>
        <v>0</v>
      </c>
      <c r="AQ92" s="7">
        <f t="shared" si="77"/>
        <v>0</v>
      </c>
      <c r="AR92" s="7">
        <f t="shared" si="77"/>
        <v>0</v>
      </c>
    </row>
    <row r="93" spans="1:44" x14ac:dyDescent="0.3">
      <c r="A93" t="s">
        <v>72</v>
      </c>
      <c r="B93" s="1" t="str">
        <f t="shared" si="75"/>
        <v>Tablet cost</v>
      </c>
      <c r="C93" s="9">
        <f>(+C92/Parameters!$B$71)*Parameters!$B$72</f>
        <v>0</v>
      </c>
      <c r="D93" s="1">
        <f>+D92</f>
        <v>12</v>
      </c>
      <c r="E93" s="1">
        <f>+E92</f>
        <v>13</v>
      </c>
      <c r="F93" s="9">
        <f t="shared" si="73"/>
        <v>0</v>
      </c>
      <c r="G93" s="9">
        <f t="shared" si="74"/>
        <v>0</v>
      </c>
      <c r="H93" s="9"/>
      <c r="I93" s="7">
        <f t="shared" si="70"/>
        <v>0</v>
      </c>
      <c r="J93" s="7">
        <f t="shared" si="70"/>
        <v>0</v>
      </c>
      <c r="K93" s="7">
        <f t="shared" si="70"/>
        <v>0</v>
      </c>
      <c r="L93" s="7">
        <f t="shared" si="70"/>
        <v>0</v>
      </c>
      <c r="M93" s="7">
        <f t="shared" si="70"/>
        <v>0</v>
      </c>
      <c r="N93" s="7">
        <f t="shared" si="70"/>
        <v>0</v>
      </c>
      <c r="O93" s="7">
        <f t="shared" si="70"/>
        <v>0</v>
      </c>
      <c r="P93" s="7">
        <f t="shared" si="70"/>
        <v>0</v>
      </c>
      <c r="Q93" s="7">
        <f t="shared" si="70"/>
        <v>0</v>
      </c>
      <c r="R93" s="7">
        <f t="shared" si="70"/>
        <v>0</v>
      </c>
      <c r="S93" s="7">
        <f t="shared" si="70"/>
        <v>0</v>
      </c>
      <c r="T93" s="7">
        <f t="shared" si="70"/>
        <v>0</v>
      </c>
      <c r="U93" s="7">
        <f t="shared" si="70"/>
        <v>0</v>
      </c>
      <c r="V93" s="7">
        <f t="shared" si="70"/>
        <v>0</v>
      </c>
      <c r="W93" s="7">
        <f t="shared" si="70"/>
        <v>0</v>
      </c>
      <c r="X93" s="7">
        <f t="shared" si="70"/>
        <v>0</v>
      </c>
      <c r="Y93" s="7">
        <f t="shared" si="76"/>
        <v>0</v>
      </c>
      <c r="Z93" s="7">
        <f t="shared" si="76"/>
        <v>0</v>
      </c>
      <c r="AA93" s="7">
        <f t="shared" si="76"/>
        <v>0</v>
      </c>
      <c r="AB93" s="7">
        <f t="shared" si="76"/>
        <v>0</v>
      </c>
      <c r="AC93" s="7">
        <f t="shared" si="76"/>
        <v>0</v>
      </c>
      <c r="AD93" s="7">
        <f t="shared" si="76"/>
        <v>0</v>
      </c>
      <c r="AE93" s="7">
        <f t="shared" si="76"/>
        <v>0</v>
      </c>
      <c r="AF93" s="7">
        <f t="shared" si="76"/>
        <v>0</v>
      </c>
      <c r="AG93" s="7">
        <f t="shared" si="76"/>
        <v>0</v>
      </c>
      <c r="AH93" s="7">
        <f t="shared" si="76"/>
        <v>0</v>
      </c>
      <c r="AI93" s="7">
        <f t="shared" si="76"/>
        <v>0</v>
      </c>
      <c r="AJ93" s="7">
        <f t="shared" si="77"/>
        <v>0</v>
      </c>
      <c r="AK93" s="7">
        <f t="shared" si="77"/>
        <v>0</v>
      </c>
      <c r="AL93" s="7">
        <f t="shared" si="77"/>
        <v>0</v>
      </c>
      <c r="AM93" s="7">
        <f t="shared" si="77"/>
        <v>0</v>
      </c>
      <c r="AN93" s="7">
        <f t="shared" si="77"/>
        <v>0</v>
      </c>
      <c r="AO93" s="7">
        <f t="shared" si="77"/>
        <v>0</v>
      </c>
      <c r="AP93" s="7">
        <f t="shared" si="77"/>
        <v>0</v>
      </c>
      <c r="AQ93" s="7">
        <f t="shared" si="77"/>
        <v>0</v>
      </c>
      <c r="AR93" s="7">
        <f t="shared" si="77"/>
        <v>0</v>
      </c>
    </row>
    <row r="94" spans="1:44" x14ac:dyDescent="0.3">
      <c r="A94" t="s">
        <v>69</v>
      </c>
      <c r="B94" s="1" t="str">
        <f t="shared" si="75"/>
        <v>Regular Production run</v>
      </c>
      <c r="C94" s="9">
        <f>Parameters!L73*Parameters!$B$71</f>
        <v>0</v>
      </c>
      <c r="D94" s="1">
        <f>+Parameters!N73</f>
        <v>14</v>
      </c>
      <c r="E94" s="1">
        <f>+Parameters!P73</f>
        <v>15</v>
      </c>
      <c r="F94" s="9">
        <f t="shared" si="73"/>
        <v>0</v>
      </c>
      <c r="G94" s="9">
        <f t="shared" si="74"/>
        <v>0</v>
      </c>
      <c r="H94" s="9"/>
      <c r="I94" s="7">
        <f t="shared" si="70"/>
        <v>0</v>
      </c>
      <c r="J94" s="7">
        <f t="shared" si="70"/>
        <v>0</v>
      </c>
      <c r="K94" s="7">
        <f t="shared" si="70"/>
        <v>0</v>
      </c>
      <c r="L94" s="7">
        <f t="shared" si="70"/>
        <v>0</v>
      </c>
      <c r="M94" s="7">
        <f t="shared" si="70"/>
        <v>0</v>
      </c>
      <c r="N94" s="7">
        <f t="shared" si="70"/>
        <v>0</v>
      </c>
      <c r="O94" s="7">
        <f t="shared" si="70"/>
        <v>0</v>
      </c>
      <c r="P94" s="7">
        <f t="shared" si="70"/>
        <v>0</v>
      </c>
      <c r="Q94" s="7">
        <f t="shared" si="70"/>
        <v>0</v>
      </c>
      <c r="R94" s="7">
        <f t="shared" si="70"/>
        <v>0</v>
      </c>
      <c r="S94" s="7">
        <f t="shared" si="70"/>
        <v>0</v>
      </c>
      <c r="T94" s="7">
        <f t="shared" si="70"/>
        <v>0</v>
      </c>
      <c r="U94" s="7">
        <f t="shared" si="70"/>
        <v>0</v>
      </c>
      <c r="V94" s="7">
        <f t="shared" si="70"/>
        <v>0</v>
      </c>
      <c r="W94" s="7">
        <f t="shared" si="70"/>
        <v>0</v>
      </c>
      <c r="X94" s="7">
        <f t="shared" si="70"/>
        <v>0</v>
      </c>
      <c r="Y94" s="7">
        <f t="shared" si="76"/>
        <v>0</v>
      </c>
      <c r="Z94" s="7">
        <f t="shared" si="76"/>
        <v>0</v>
      </c>
      <c r="AA94" s="7">
        <f t="shared" si="76"/>
        <v>0</v>
      </c>
      <c r="AB94" s="7">
        <f t="shared" si="76"/>
        <v>0</v>
      </c>
      <c r="AC94" s="7">
        <f t="shared" si="76"/>
        <v>0</v>
      </c>
      <c r="AD94" s="7">
        <f t="shared" si="76"/>
        <v>0</v>
      </c>
      <c r="AE94" s="7">
        <f t="shared" si="76"/>
        <v>0</v>
      </c>
      <c r="AF94" s="7">
        <f t="shared" si="76"/>
        <v>0</v>
      </c>
      <c r="AG94" s="7">
        <f t="shared" si="76"/>
        <v>0</v>
      </c>
      <c r="AH94" s="7">
        <f t="shared" si="76"/>
        <v>0</v>
      </c>
      <c r="AI94" s="7">
        <f t="shared" si="76"/>
        <v>0</v>
      </c>
      <c r="AJ94" s="7">
        <f t="shared" si="77"/>
        <v>0</v>
      </c>
      <c r="AK94" s="7">
        <f t="shared" si="77"/>
        <v>0</v>
      </c>
      <c r="AL94" s="7">
        <f t="shared" si="77"/>
        <v>0</v>
      </c>
      <c r="AM94" s="7">
        <f t="shared" si="77"/>
        <v>0</v>
      </c>
      <c r="AN94" s="7">
        <f t="shared" si="77"/>
        <v>0</v>
      </c>
      <c r="AO94" s="7">
        <f t="shared" si="77"/>
        <v>0</v>
      </c>
      <c r="AP94" s="7">
        <f t="shared" si="77"/>
        <v>0</v>
      </c>
      <c r="AQ94" s="7">
        <f t="shared" si="77"/>
        <v>0</v>
      </c>
      <c r="AR94" s="7">
        <f t="shared" si="77"/>
        <v>0</v>
      </c>
    </row>
    <row r="95" spans="1:44" x14ac:dyDescent="0.3">
      <c r="A95" t="s">
        <v>72</v>
      </c>
      <c r="B95" s="1" t="str">
        <f t="shared" si="75"/>
        <v>Tablet cost</v>
      </c>
      <c r="C95" s="9">
        <f>(+C94/Parameters!$B$71)*Parameters!$B$72</f>
        <v>0</v>
      </c>
      <c r="D95" s="1">
        <f>+D94</f>
        <v>14</v>
      </c>
      <c r="E95" s="1">
        <f>+E94</f>
        <v>15</v>
      </c>
      <c r="F95" s="9">
        <f t="shared" si="73"/>
        <v>0</v>
      </c>
      <c r="G95" s="9">
        <f t="shared" si="74"/>
        <v>0</v>
      </c>
      <c r="H95" s="9"/>
      <c r="I95" s="7">
        <f t="shared" si="70"/>
        <v>0</v>
      </c>
      <c r="J95" s="7">
        <f t="shared" si="70"/>
        <v>0</v>
      </c>
      <c r="K95" s="7">
        <f t="shared" si="70"/>
        <v>0</v>
      </c>
      <c r="L95" s="7">
        <f t="shared" si="70"/>
        <v>0</v>
      </c>
      <c r="M95" s="7">
        <f t="shared" si="70"/>
        <v>0</v>
      </c>
      <c r="N95" s="7">
        <f t="shared" si="70"/>
        <v>0</v>
      </c>
      <c r="O95" s="7">
        <f t="shared" si="70"/>
        <v>0</v>
      </c>
      <c r="P95" s="7">
        <f t="shared" si="70"/>
        <v>0</v>
      </c>
      <c r="Q95" s="7">
        <f t="shared" si="70"/>
        <v>0</v>
      </c>
      <c r="R95" s="7">
        <f t="shared" si="70"/>
        <v>0</v>
      </c>
      <c r="S95" s="7">
        <f t="shared" si="70"/>
        <v>0</v>
      </c>
      <c r="T95" s="7">
        <f t="shared" si="70"/>
        <v>0</v>
      </c>
      <c r="U95" s="7">
        <f t="shared" si="70"/>
        <v>0</v>
      </c>
      <c r="V95" s="7">
        <f t="shared" si="70"/>
        <v>0</v>
      </c>
      <c r="W95" s="7">
        <f t="shared" si="70"/>
        <v>0</v>
      </c>
      <c r="X95" s="7">
        <f t="shared" si="70"/>
        <v>0</v>
      </c>
      <c r="Y95" s="7">
        <f t="shared" si="76"/>
        <v>0</v>
      </c>
      <c r="Z95" s="7">
        <f t="shared" si="76"/>
        <v>0</v>
      </c>
      <c r="AA95" s="7">
        <f t="shared" si="76"/>
        <v>0</v>
      </c>
      <c r="AB95" s="7">
        <f t="shared" si="76"/>
        <v>0</v>
      </c>
      <c r="AC95" s="7">
        <f t="shared" si="76"/>
        <v>0</v>
      </c>
      <c r="AD95" s="7">
        <f t="shared" si="76"/>
        <v>0</v>
      </c>
      <c r="AE95" s="7">
        <f t="shared" si="76"/>
        <v>0</v>
      </c>
      <c r="AF95" s="7">
        <f t="shared" si="76"/>
        <v>0</v>
      </c>
      <c r="AG95" s="7">
        <f t="shared" si="76"/>
        <v>0</v>
      </c>
      <c r="AH95" s="7">
        <f t="shared" si="76"/>
        <v>0</v>
      </c>
      <c r="AI95" s="7">
        <f t="shared" si="76"/>
        <v>0</v>
      </c>
      <c r="AJ95" s="7">
        <f t="shared" si="77"/>
        <v>0</v>
      </c>
      <c r="AK95" s="7">
        <f t="shared" si="77"/>
        <v>0</v>
      </c>
      <c r="AL95" s="7">
        <f t="shared" si="77"/>
        <v>0</v>
      </c>
      <c r="AM95" s="7">
        <f t="shared" si="77"/>
        <v>0</v>
      </c>
      <c r="AN95" s="7">
        <f t="shared" si="77"/>
        <v>0</v>
      </c>
      <c r="AO95" s="7">
        <f t="shared" si="77"/>
        <v>0</v>
      </c>
      <c r="AP95" s="7">
        <f t="shared" si="77"/>
        <v>0</v>
      </c>
      <c r="AQ95" s="7">
        <f t="shared" si="77"/>
        <v>0</v>
      </c>
      <c r="AR95" s="7">
        <f t="shared" si="77"/>
        <v>0</v>
      </c>
    </row>
    <row r="96" spans="1:44" x14ac:dyDescent="0.3">
      <c r="A96" t="s">
        <v>69</v>
      </c>
      <c r="B96" s="1" t="str">
        <f t="shared" si="75"/>
        <v>Regular Production run</v>
      </c>
      <c r="C96" s="9">
        <f>Parameters!L74*Parameters!$B$71</f>
        <v>0</v>
      </c>
      <c r="D96" s="1">
        <f>+Parameters!N74</f>
        <v>16</v>
      </c>
      <c r="E96" s="1">
        <f>+Parameters!P74</f>
        <v>17</v>
      </c>
      <c r="F96" s="9">
        <f t="shared" si="73"/>
        <v>0</v>
      </c>
      <c r="G96" s="9">
        <f t="shared" si="74"/>
        <v>0</v>
      </c>
      <c r="H96" s="9"/>
      <c r="I96" s="7">
        <f t="shared" si="70"/>
        <v>0</v>
      </c>
      <c r="J96" s="7">
        <f t="shared" si="70"/>
        <v>0</v>
      </c>
      <c r="K96" s="7">
        <f t="shared" si="70"/>
        <v>0</v>
      </c>
      <c r="L96" s="7">
        <f t="shared" si="70"/>
        <v>0</v>
      </c>
      <c r="M96" s="7">
        <f t="shared" si="70"/>
        <v>0</v>
      </c>
      <c r="N96" s="7">
        <f t="shared" si="70"/>
        <v>0</v>
      </c>
      <c r="O96" s="7">
        <f t="shared" si="70"/>
        <v>0</v>
      </c>
      <c r="P96" s="7">
        <f t="shared" si="70"/>
        <v>0</v>
      </c>
      <c r="Q96" s="7">
        <f t="shared" si="70"/>
        <v>0</v>
      </c>
      <c r="R96" s="7">
        <f t="shared" si="70"/>
        <v>0</v>
      </c>
      <c r="S96" s="7">
        <f t="shared" si="70"/>
        <v>0</v>
      </c>
      <c r="T96" s="7">
        <f t="shared" si="70"/>
        <v>0</v>
      </c>
      <c r="U96" s="7">
        <f t="shared" si="70"/>
        <v>0</v>
      </c>
      <c r="V96" s="7">
        <f t="shared" si="70"/>
        <v>0</v>
      </c>
      <c r="W96" s="7">
        <f t="shared" si="70"/>
        <v>0</v>
      </c>
      <c r="X96" s="7">
        <f t="shared" si="70"/>
        <v>0</v>
      </c>
      <c r="Y96" s="7">
        <f t="shared" si="76"/>
        <v>0</v>
      </c>
      <c r="Z96" s="7">
        <f t="shared" si="76"/>
        <v>0</v>
      </c>
      <c r="AA96" s="7">
        <f t="shared" si="76"/>
        <v>0</v>
      </c>
      <c r="AB96" s="7">
        <f t="shared" si="76"/>
        <v>0</v>
      </c>
      <c r="AC96" s="7">
        <f t="shared" si="76"/>
        <v>0</v>
      </c>
      <c r="AD96" s="7">
        <f t="shared" si="76"/>
        <v>0</v>
      </c>
      <c r="AE96" s="7">
        <f t="shared" si="76"/>
        <v>0</v>
      </c>
      <c r="AF96" s="7">
        <f t="shared" si="76"/>
        <v>0</v>
      </c>
      <c r="AG96" s="7">
        <f t="shared" si="76"/>
        <v>0</v>
      </c>
      <c r="AH96" s="7">
        <f t="shared" si="76"/>
        <v>0</v>
      </c>
      <c r="AI96" s="7">
        <f t="shared" si="76"/>
        <v>0</v>
      </c>
      <c r="AJ96" s="7">
        <f t="shared" si="77"/>
        <v>0</v>
      </c>
      <c r="AK96" s="7">
        <f t="shared" si="77"/>
        <v>0</v>
      </c>
      <c r="AL96" s="7">
        <f t="shared" si="77"/>
        <v>0</v>
      </c>
      <c r="AM96" s="7">
        <f t="shared" si="77"/>
        <v>0</v>
      </c>
      <c r="AN96" s="7">
        <f t="shared" si="77"/>
        <v>0</v>
      </c>
      <c r="AO96" s="7">
        <f t="shared" si="77"/>
        <v>0</v>
      </c>
      <c r="AP96" s="7">
        <f t="shared" si="77"/>
        <v>0</v>
      </c>
      <c r="AQ96" s="7">
        <f t="shared" si="77"/>
        <v>0</v>
      </c>
      <c r="AR96" s="7">
        <f t="shared" si="77"/>
        <v>0</v>
      </c>
    </row>
    <row r="97" spans="1:44" x14ac:dyDescent="0.3">
      <c r="A97" t="s">
        <v>72</v>
      </c>
      <c r="B97" s="1" t="str">
        <f t="shared" si="75"/>
        <v>Tablet cost</v>
      </c>
      <c r="C97" s="9">
        <f>(+C96/Parameters!$B$71)*Parameters!$B$72</f>
        <v>0</v>
      </c>
      <c r="D97" s="1">
        <f>+D96</f>
        <v>16</v>
      </c>
      <c r="E97" s="1">
        <f>+E96</f>
        <v>17</v>
      </c>
      <c r="F97" s="9">
        <f t="shared" si="73"/>
        <v>0</v>
      </c>
      <c r="G97" s="9">
        <f t="shared" si="74"/>
        <v>0</v>
      </c>
      <c r="H97" s="9"/>
      <c r="I97" s="7">
        <f t="shared" si="70"/>
        <v>0</v>
      </c>
      <c r="J97" s="7">
        <f t="shared" si="70"/>
        <v>0</v>
      </c>
      <c r="K97" s="7">
        <f t="shared" si="70"/>
        <v>0</v>
      </c>
      <c r="L97" s="7">
        <f t="shared" si="70"/>
        <v>0</v>
      </c>
      <c r="M97" s="7">
        <f t="shared" si="70"/>
        <v>0</v>
      </c>
      <c r="N97" s="7">
        <f t="shared" si="70"/>
        <v>0</v>
      </c>
      <c r="O97" s="7">
        <f t="shared" si="70"/>
        <v>0</v>
      </c>
      <c r="P97" s="7">
        <f t="shared" si="70"/>
        <v>0</v>
      </c>
      <c r="Q97" s="7">
        <f t="shared" si="70"/>
        <v>0</v>
      </c>
      <c r="R97" s="7">
        <f t="shared" si="70"/>
        <v>0</v>
      </c>
      <c r="S97" s="7">
        <f t="shared" si="70"/>
        <v>0</v>
      </c>
      <c r="T97" s="7">
        <f t="shared" si="70"/>
        <v>0</v>
      </c>
      <c r="U97" s="7">
        <f t="shared" si="70"/>
        <v>0</v>
      </c>
      <c r="V97" s="7">
        <f t="shared" si="70"/>
        <v>0</v>
      </c>
      <c r="W97" s="7">
        <f t="shared" si="70"/>
        <v>0</v>
      </c>
      <c r="X97" s="7">
        <f t="shared" si="70"/>
        <v>0</v>
      </c>
      <c r="Y97" s="7">
        <f t="shared" si="76"/>
        <v>0</v>
      </c>
      <c r="Z97" s="7">
        <f t="shared" si="76"/>
        <v>0</v>
      </c>
      <c r="AA97" s="7">
        <f t="shared" si="76"/>
        <v>0</v>
      </c>
      <c r="AB97" s="7">
        <f t="shared" si="76"/>
        <v>0</v>
      </c>
      <c r="AC97" s="7">
        <f t="shared" si="76"/>
        <v>0</v>
      </c>
      <c r="AD97" s="7">
        <f t="shared" si="76"/>
        <v>0</v>
      </c>
      <c r="AE97" s="7">
        <f t="shared" si="76"/>
        <v>0</v>
      </c>
      <c r="AF97" s="7">
        <f t="shared" si="76"/>
        <v>0</v>
      </c>
      <c r="AG97" s="7">
        <f t="shared" si="76"/>
        <v>0</v>
      </c>
      <c r="AH97" s="7">
        <f t="shared" si="76"/>
        <v>0</v>
      </c>
      <c r="AI97" s="7">
        <f t="shared" si="76"/>
        <v>0</v>
      </c>
      <c r="AJ97" s="7">
        <f t="shared" si="77"/>
        <v>0</v>
      </c>
      <c r="AK97" s="7">
        <f t="shared" si="77"/>
        <v>0</v>
      </c>
      <c r="AL97" s="7">
        <f t="shared" si="77"/>
        <v>0</v>
      </c>
      <c r="AM97" s="7">
        <f t="shared" si="77"/>
        <v>0</v>
      </c>
      <c r="AN97" s="7">
        <f t="shared" si="77"/>
        <v>0</v>
      </c>
      <c r="AO97" s="7">
        <f t="shared" si="77"/>
        <v>0</v>
      </c>
      <c r="AP97" s="7">
        <f t="shared" si="77"/>
        <v>0</v>
      </c>
      <c r="AQ97" s="7">
        <f t="shared" si="77"/>
        <v>0</v>
      </c>
      <c r="AR97" s="7">
        <f t="shared" si="77"/>
        <v>0</v>
      </c>
    </row>
    <row r="98" spans="1:44" x14ac:dyDescent="0.3">
      <c r="A98" t="s">
        <v>69</v>
      </c>
      <c r="B98" s="1" t="str">
        <f t="shared" si="75"/>
        <v>Regular Production run</v>
      </c>
      <c r="C98" s="9">
        <f>Parameters!L75*Parameters!$B$71</f>
        <v>0</v>
      </c>
      <c r="D98" s="1">
        <f>+Parameters!N75</f>
        <v>18</v>
      </c>
      <c r="E98" s="1">
        <f>+Parameters!P75</f>
        <v>19</v>
      </c>
      <c r="F98" s="9">
        <f t="shared" si="73"/>
        <v>0</v>
      </c>
      <c r="G98" s="9">
        <f t="shared" si="74"/>
        <v>0</v>
      </c>
      <c r="H98" s="9"/>
      <c r="I98" s="7">
        <f t="shared" ref="I98:X113" si="78">IF(+$D98&gt;I$1,0,IF(I$1&lt;=$E98,$F98,0))</f>
        <v>0</v>
      </c>
      <c r="J98" s="7">
        <f t="shared" si="78"/>
        <v>0</v>
      </c>
      <c r="K98" s="7">
        <f t="shared" si="78"/>
        <v>0</v>
      </c>
      <c r="L98" s="7">
        <f t="shared" si="78"/>
        <v>0</v>
      </c>
      <c r="M98" s="7">
        <f t="shared" si="78"/>
        <v>0</v>
      </c>
      <c r="N98" s="7">
        <f t="shared" si="78"/>
        <v>0</v>
      </c>
      <c r="O98" s="7">
        <f t="shared" si="78"/>
        <v>0</v>
      </c>
      <c r="P98" s="7">
        <f t="shared" si="78"/>
        <v>0</v>
      </c>
      <c r="Q98" s="7">
        <f t="shared" si="78"/>
        <v>0</v>
      </c>
      <c r="R98" s="7">
        <f t="shared" si="78"/>
        <v>0</v>
      </c>
      <c r="S98" s="7">
        <f t="shared" si="78"/>
        <v>0</v>
      </c>
      <c r="T98" s="7">
        <f t="shared" si="78"/>
        <v>0</v>
      </c>
      <c r="U98" s="7">
        <f t="shared" si="78"/>
        <v>0</v>
      </c>
      <c r="V98" s="7">
        <f t="shared" si="78"/>
        <v>0</v>
      </c>
      <c r="W98" s="7">
        <f t="shared" si="78"/>
        <v>0</v>
      </c>
      <c r="X98" s="7">
        <f t="shared" si="78"/>
        <v>0</v>
      </c>
      <c r="Y98" s="7">
        <f t="shared" si="76"/>
        <v>0</v>
      </c>
      <c r="Z98" s="7">
        <f t="shared" si="76"/>
        <v>0</v>
      </c>
      <c r="AA98" s="7">
        <f t="shared" si="76"/>
        <v>0</v>
      </c>
      <c r="AB98" s="7">
        <f t="shared" si="76"/>
        <v>0</v>
      </c>
      <c r="AC98" s="7">
        <f t="shared" si="76"/>
        <v>0</v>
      </c>
      <c r="AD98" s="7">
        <f t="shared" si="76"/>
        <v>0</v>
      </c>
      <c r="AE98" s="7">
        <f t="shared" si="76"/>
        <v>0</v>
      </c>
      <c r="AF98" s="7">
        <f t="shared" si="76"/>
        <v>0</v>
      </c>
      <c r="AG98" s="7">
        <f t="shared" si="76"/>
        <v>0</v>
      </c>
      <c r="AH98" s="7">
        <f t="shared" si="76"/>
        <v>0</v>
      </c>
      <c r="AI98" s="7">
        <f t="shared" si="76"/>
        <v>0</v>
      </c>
      <c r="AJ98" s="7">
        <f t="shared" si="77"/>
        <v>0</v>
      </c>
      <c r="AK98" s="7">
        <f t="shared" si="77"/>
        <v>0</v>
      </c>
      <c r="AL98" s="7">
        <f t="shared" si="77"/>
        <v>0</v>
      </c>
      <c r="AM98" s="7">
        <f t="shared" si="77"/>
        <v>0</v>
      </c>
      <c r="AN98" s="7">
        <f t="shared" si="77"/>
        <v>0</v>
      </c>
      <c r="AO98" s="7">
        <f t="shared" si="77"/>
        <v>0</v>
      </c>
      <c r="AP98" s="7">
        <f t="shared" si="77"/>
        <v>0</v>
      </c>
      <c r="AQ98" s="7">
        <f t="shared" si="77"/>
        <v>0</v>
      </c>
      <c r="AR98" s="7">
        <f t="shared" si="77"/>
        <v>0</v>
      </c>
    </row>
    <row r="99" spans="1:44" x14ac:dyDescent="0.3">
      <c r="A99" t="s">
        <v>72</v>
      </c>
      <c r="B99" s="1" t="str">
        <f t="shared" si="75"/>
        <v>Tablet cost</v>
      </c>
      <c r="C99" s="9">
        <f>(+C98/Parameters!$B$71)*Parameters!$B$72</f>
        <v>0</v>
      </c>
      <c r="D99" s="1">
        <f>+D98</f>
        <v>18</v>
      </c>
      <c r="E99" s="1">
        <f>+E98</f>
        <v>19</v>
      </c>
      <c r="F99" s="9">
        <f t="shared" si="73"/>
        <v>0</v>
      </c>
      <c r="G99" s="9">
        <f t="shared" si="74"/>
        <v>0</v>
      </c>
      <c r="H99" s="9"/>
      <c r="I99" s="7">
        <f t="shared" si="78"/>
        <v>0</v>
      </c>
      <c r="J99" s="7">
        <f t="shared" si="78"/>
        <v>0</v>
      </c>
      <c r="K99" s="7">
        <f t="shared" si="78"/>
        <v>0</v>
      </c>
      <c r="L99" s="7">
        <f t="shared" si="78"/>
        <v>0</v>
      </c>
      <c r="M99" s="7">
        <f t="shared" si="78"/>
        <v>0</v>
      </c>
      <c r="N99" s="7">
        <f t="shared" si="78"/>
        <v>0</v>
      </c>
      <c r="O99" s="7">
        <f t="shared" si="78"/>
        <v>0</v>
      </c>
      <c r="P99" s="7">
        <f t="shared" si="78"/>
        <v>0</v>
      </c>
      <c r="Q99" s="7">
        <f t="shared" si="78"/>
        <v>0</v>
      </c>
      <c r="R99" s="7">
        <f t="shared" si="78"/>
        <v>0</v>
      </c>
      <c r="S99" s="7">
        <f t="shared" si="78"/>
        <v>0</v>
      </c>
      <c r="T99" s="7">
        <f t="shared" si="78"/>
        <v>0</v>
      </c>
      <c r="U99" s="7">
        <f t="shared" si="78"/>
        <v>0</v>
      </c>
      <c r="V99" s="7">
        <f t="shared" si="78"/>
        <v>0</v>
      </c>
      <c r="W99" s="7">
        <f t="shared" si="78"/>
        <v>0</v>
      </c>
      <c r="X99" s="7">
        <f t="shared" si="78"/>
        <v>0</v>
      </c>
      <c r="Y99" s="7">
        <f t="shared" si="76"/>
        <v>0</v>
      </c>
      <c r="Z99" s="7">
        <f t="shared" si="76"/>
        <v>0</v>
      </c>
      <c r="AA99" s="7">
        <f t="shared" si="76"/>
        <v>0</v>
      </c>
      <c r="AB99" s="7">
        <f t="shared" si="76"/>
        <v>0</v>
      </c>
      <c r="AC99" s="7">
        <f t="shared" si="76"/>
        <v>0</v>
      </c>
      <c r="AD99" s="7">
        <f t="shared" si="76"/>
        <v>0</v>
      </c>
      <c r="AE99" s="7">
        <f t="shared" si="76"/>
        <v>0</v>
      </c>
      <c r="AF99" s="7">
        <f t="shared" si="76"/>
        <v>0</v>
      </c>
      <c r="AG99" s="7">
        <f t="shared" si="76"/>
        <v>0</v>
      </c>
      <c r="AH99" s="7">
        <f t="shared" si="76"/>
        <v>0</v>
      </c>
      <c r="AI99" s="7">
        <f t="shared" si="76"/>
        <v>0</v>
      </c>
      <c r="AJ99" s="7">
        <f t="shared" si="77"/>
        <v>0</v>
      </c>
      <c r="AK99" s="7">
        <f t="shared" si="77"/>
        <v>0</v>
      </c>
      <c r="AL99" s="7">
        <f t="shared" si="77"/>
        <v>0</v>
      </c>
      <c r="AM99" s="7">
        <f t="shared" si="77"/>
        <v>0</v>
      </c>
      <c r="AN99" s="7">
        <f t="shared" si="77"/>
        <v>0</v>
      </c>
      <c r="AO99" s="7">
        <f t="shared" si="77"/>
        <v>0</v>
      </c>
      <c r="AP99" s="7">
        <f t="shared" si="77"/>
        <v>0</v>
      </c>
      <c r="AQ99" s="7">
        <f t="shared" si="77"/>
        <v>0</v>
      </c>
      <c r="AR99" s="7">
        <f t="shared" si="77"/>
        <v>0</v>
      </c>
    </row>
    <row r="100" spans="1:44" x14ac:dyDescent="0.3">
      <c r="A100" t="s">
        <v>69</v>
      </c>
      <c r="B100" s="1" t="str">
        <f t="shared" si="75"/>
        <v>Regular Production run</v>
      </c>
      <c r="C100" s="9">
        <f>Parameters!L76*Parameters!$B$71</f>
        <v>0</v>
      </c>
      <c r="D100" s="1">
        <f>+Parameters!N76</f>
        <v>20</v>
      </c>
      <c r="E100" s="1">
        <f>+Parameters!P76</f>
        <v>21</v>
      </c>
      <c r="F100" s="9">
        <f t="shared" si="73"/>
        <v>0</v>
      </c>
      <c r="G100" s="9">
        <f t="shared" si="74"/>
        <v>0</v>
      </c>
      <c r="H100" s="9"/>
      <c r="I100" s="7">
        <f t="shared" si="78"/>
        <v>0</v>
      </c>
      <c r="J100" s="7">
        <f t="shared" si="78"/>
        <v>0</v>
      </c>
      <c r="K100" s="7">
        <f t="shared" si="78"/>
        <v>0</v>
      </c>
      <c r="L100" s="7">
        <f t="shared" si="78"/>
        <v>0</v>
      </c>
      <c r="M100" s="7">
        <f t="shared" si="78"/>
        <v>0</v>
      </c>
      <c r="N100" s="7">
        <f t="shared" si="78"/>
        <v>0</v>
      </c>
      <c r="O100" s="7">
        <f t="shared" si="78"/>
        <v>0</v>
      </c>
      <c r="P100" s="7">
        <f t="shared" si="78"/>
        <v>0</v>
      </c>
      <c r="Q100" s="7">
        <f t="shared" si="78"/>
        <v>0</v>
      </c>
      <c r="R100" s="7">
        <f t="shared" si="78"/>
        <v>0</v>
      </c>
      <c r="S100" s="7">
        <f t="shared" si="78"/>
        <v>0</v>
      </c>
      <c r="T100" s="7">
        <f t="shared" si="78"/>
        <v>0</v>
      </c>
      <c r="U100" s="7">
        <f t="shared" si="78"/>
        <v>0</v>
      </c>
      <c r="V100" s="7">
        <f t="shared" si="78"/>
        <v>0</v>
      </c>
      <c r="W100" s="7">
        <f t="shared" si="78"/>
        <v>0</v>
      </c>
      <c r="X100" s="7">
        <f t="shared" si="78"/>
        <v>0</v>
      </c>
      <c r="Y100" s="7">
        <f t="shared" si="76"/>
        <v>0</v>
      </c>
      <c r="Z100" s="7">
        <f t="shared" si="76"/>
        <v>0</v>
      </c>
      <c r="AA100" s="7">
        <f t="shared" si="76"/>
        <v>0</v>
      </c>
      <c r="AB100" s="7">
        <f t="shared" si="76"/>
        <v>0</v>
      </c>
      <c r="AC100" s="7">
        <f t="shared" si="76"/>
        <v>0</v>
      </c>
      <c r="AD100" s="7">
        <f t="shared" si="76"/>
        <v>0</v>
      </c>
      <c r="AE100" s="7">
        <f t="shared" si="76"/>
        <v>0</v>
      </c>
      <c r="AF100" s="7">
        <f t="shared" si="76"/>
        <v>0</v>
      </c>
      <c r="AG100" s="7">
        <f t="shared" si="76"/>
        <v>0</v>
      </c>
      <c r="AH100" s="7">
        <f t="shared" si="76"/>
        <v>0</v>
      </c>
      <c r="AI100" s="7">
        <f t="shared" si="76"/>
        <v>0</v>
      </c>
      <c r="AJ100" s="7">
        <f t="shared" si="77"/>
        <v>0</v>
      </c>
      <c r="AK100" s="7">
        <f t="shared" si="77"/>
        <v>0</v>
      </c>
      <c r="AL100" s="7">
        <f t="shared" si="77"/>
        <v>0</v>
      </c>
      <c r="AM100" s="7">
        <f t="shared" si="77"/>
        <v>0</v>
      </c>
      <c r="AN100" s="7">
        <f t="shared" si="77"/>
        <v>0</v>
      </c>
      <c r="AO100" s="7">
        <f t="shared" si="77"/>
        <v>0</v>
      </c>
      <c r="AP100" s="7">
        <f t="shared" si="77"/>
        <v>0</v>
      </c>
      <c r="AQ100" s="7">
        <f t="shared" si="77"/>
        <v>0</v>
      </c>
      <c r="AR100" s="7">
        <f t="shared" si="77"/>
        <v>0</v>
      </c>
    </row>
    <row r="101" spans="1:44" x14ac:dyDescent="0.3">
      <c r="A101" t="s">
        <v>72</v>
      </c>
      <c r="B101" s="1" t="str">
        <f t="shared" si="75"/>
        <v>Tablet cost</v>
      </c>
      <c r="C101" s="9">
        <f>(+C100/Parameters!$B$71)*Parameters!$B$72</f>
        <v>0</v>
      </c>
      <c r="D101" s="1">
        <f>+D100</f>
        <v>20</v>
      </c>
      <c r="E101" s="1">
        <f>+E100</f>
        <v>21</v>
      </c>
      <c r="F101" s="9">
        <f t="shared" si="73"/>
        <v>0</v>
      </c>
      <c r="G101" s="9">
        <f t="shared" si="74"/>
        <v>0</v>
      </c>
      <c r="H101" s="9"/>
      <c r="I101" s="7">
        <f t="shared" si="78"/>
        <v>0</v>
      </c>
      <c r="J101" s="7">
        <f t="shared" si="78"/>
        <v>0</v>
      </c>
      <c r="K101" s="7">
        <f t="shared" si="78"/>
        <v>0</v>
      </c>
      <c r="L101" s="7">
        <f t="shared" si="78"/>
        <v>0</v>
      </c>
      <c r="M101" s="7">
        <f t="shared" si="78"/>
        <v>0</v>
      </c>
      <c r="N101" s="7">
        <f t="shared" si="78"/>
        <v>0</v>
      </c>
      <c r="O101" s="7">
        <f t="shared" si="78"/>
        <v>0</v>
      </c>
      <c r="P101" s="7">
        <f t="shared" si="78"/>
        <v>0</v>
      </c>
      <c r="Q101" s="7">
        <f t="shared" si="78"/>
        <v>0</v>
      </c>
      <c r="R101" s="7">
        <f t="shared" si="78"/>
        <v>0</v>
      </c>
      <c r="S101" s="7">
        <f t="shared" si="78"/>
        <v>0</v>
      </c>
      <c r="T101" s="7">
        <f t="shared" si="78"/>
        <v>0</v>
      </c>
      <c r="U101" s="7">
        <f t="shared" si="78"/>
        <v>0</v>
      </c>
      <c r="V101" s="7">
        <f t="shared" si="78"/>
        <v>0</v>
      </c>
      <c r="W101" s="7">
        <f t="shared" si="78"/>
        <v>0</v>
      </c>
      <c r="X101" s="7">
        <f t="shared" si="78"/>
        <v>0</v>
      </c>
      <c r="Y101" s="7">
        <f t="shared" si="76"/>
        <v>0</v>
      </c>
      <c r="Z101" s="7">
        <f t="shared" si="76"/>
        <v>0</v>
      </c>
      <c r="AA101" s="7">
        <f t="shared" si="76"/>
        <v>0</v>
      </c>
      <c r="AB101" s="7">
        <f t="shared" si="76"/>
        <v>0</v>
      </c>
      <c r="AC101" s="7">
        <f t="shared" si="76"/>
        <v>0</v>
      </c>
      <c r="AD101" s="7">
        <f t="shared" si="76"/>
        <v>0</v>
      </c>
      <c r="AE101" s="7">
        <f t="shared" si="76"/>
        <v>0</v>
      </c>
      <c r="AF101" s="7">
        <f t="shared" si="76"/>
        <v>0</v>
      </c>
      <c r="AG101" s="7">
        <f t="shared" si="76"/>
        <v>0</v>
      </c>
      <c r="AH101" s="7">
        <f t="shared" si="76"/>
        <v>0</v>
      </c>
      <c r="AI101" s="7">
        <f t="shared" si="76"/>
        <v>0</v>
      </c>
      <c r="AJ101" s="7">
        <f t="shared" si="77"/>
        <v>0</v>
      </c>
      <c r="AK101" s="7">
        <f t="shared" si="77"/>
        <v>0</v>
      </c>
      <c r="AL101" s="7">
        <f t="shared" si="77"/>
        <v>0</v>
      </c>
      <c r="AM101" s="7">
        <f t="shared" si="77"/>
        <v>0</v>
      </c>
      <c r="AN101" s="7">
        <f t="shared" si="77"/>
        <v>0</v>
      </c>
      <c r="AO101" s="7">
        <f t="shared" si="77"/>
        <v>0</v>
      </c>
      <c r="AP101" s="7">
        <f t="shared" si="77"/>
        <v>0</v>
      </c>
      <c r="AQ101" s="7">
        <f t="shared" si="77"/>
        <v>0</v>
      </c>
      <c r="AR101" s="7">
        <f t="shared" si="77"/>
        <v>0</v>
      </c>
    </row>
    <row r="102" spans="1:44" x14ac:dyDescent="0.3">
      <c r="A102" t="s">
        <v>69</v>
      </c>
      <c r="B102" s="1" t="str">
        <f t="shared" si="75"/>
        <v>Regular Production run</v>
      </c>
      <c r="C102" s="9">
        <f>Parameters!L77*Parameters!$B$71</f>
        <v>0</v>
      </c>
      <c r="D102" s="1">
        <f>+Parameters!N77</f>
        <v>22</v>
      </c>
      <c r="E102" s="1">
        <f>+Parameters!P77</f>
        <v>23</v>
      </c>
      <c r="F102" s="9">
        <f t="shared" si="73"/>
        <v>0</v>
      </c>
      <c r="G102" s="9">
        <f t="shared" si="74"/>
        <v>0</v>
      </c>
      <c r="H102" s="9"/>
      <c r="I102" s="7">
        <f t="shared" si="78"/>
        <v>0</v>
      </c>
      <c r="J102" s="7">
        <f t="shared" si="78"/>
        <v>0</v>
      </c>
      <c r="K102" s="7">
        <f t="shared" si="78"/>
        <v>0</v>
      </c>
      <c r="L102" s="7">
        <f t="shared" si="78"/>
        <v>0</v>
      </c>
      <c r="M102" s="7">
        <f t="shared" si="78"/>
        <v>0</v>
      </c>
      <c r="N102" s="7">
        <f t="shared" si="78"/>
        <v>0</v>
      </c>
      <c r="O102" s="7">
        <f t="shared" si="78"/>
        <v>0</v>
      </c>
      <c r="P102" s="7">
        <f t="shared" si="78"/>
        <v>0</v>
      </c>
      <c r="Q102" s="7">
        <f t="shared" si="78"/>
        <v>0</v>
      </c>
      <c r="R102" s="7">
        <f t="shared" si="78"/>
        <v>0</v>
      </c>
      <c r="S102" s="7">
        <f t="shared" si="78"/>
        <v>0</v>
      </c>
      <c r="T102" s="7">
        <f t="shared" si="78"/>
        <v>0</v>
      </c>
      <c r="U102" s="7">
        <f t="shared" si="78"/>
        <v>0</v>
      </c>
      <c r="V102" s="7">
        <f t="shared" si="78"/>
        <v>0</v>
      </c>
      <c r="W102" s="7">
        <f t="shared" si="78"/>
        <v>0</v>
      </c>
      <c r="X102" s="7">
        <f t="shared" si="78"/>
        <v>0</v>
      </c>
      <c r="Y102" s="7">
        <f t="shared" si="76"/>
        <v>0</v>
      </c>
      <c r="Z102" s="7">
        <f t="shared" si="76"/>
        <v>0</v>
      </c>
      <c r="AA102" s="7">
        <f t="shared" si="76"/>
        <v>0</v>
      </c>
      <c r="AB102" s="7">
        <f t="shared" si="76"/>
        <v>0</v>
      </c>
      <c r="AC102" s="7">
        <f t="shared" si="76"/>
        <v>0</v>
      </c>
      <c r="AD102" s="7">
        <f t="shared" si="76"/>
        <v>0</v>
      </c>
      <c r="AE102" s="7">
        <f t="shared" si="76"/>
        <v>0</v>
      </c>
      <c r="AF102" s="7">
        <f t="shared" si="76"/>
        <v>0</v>
      </c>
      <c r="AG102" s="7">
        <f t="shared" si="76"/>
        <v>0</v>
      </c>
      <c r="AH102" s="7">
        <f t="shared" si="76"/>
        <v>0</v>
      </c>
      <c r="AI102" s="7">
        <f t="shared" si="76"/>
        <v>0</v>
      </c>
      <c r="AJ102" s="7">
        <f t="shared" si="77"/>
        <v>0</v>
      </c>
      <c r="AK102" s="7">
        <f t="shared" si="77"/>
        <v>0</v>
      </c>
      <c r="AL102" s="7">
        <f t="shared" si="77"/>
        <v>0</v>
      </c>
      <c r="AM102" s="7">
        <f t="shared" si="77"/>
        <v>0</v>
      </c>
      <c r="AN102" s="7">
        <f t="shared" si="77"/>
        <v>0</v>
      </c>
      <c r="AO102" s="7">
        <f t="shared" si="77"/>
        <v>0</v>
      </c>
      <c r="AP102" s="7">
        <f t="shared" si="77"/>
        <v>0</v>
      </c>
      <c r="AQ102" s="7">
        <f t="shared" si="77"/>
        <v>0</v>
      </c>
      <c r="AR102" s="7">
        <f t="shared" si="77"/>
        <v>0</v>
      </c>
    </row>
    <row r="103" spans="1:44" x14ac:dyDescent="0.3">
      <c r="A103" t="s">
        <v>72</v>
      </c>
      <c r="B103" s="1" t="str">
        <f t="shared" si="75"/>
        <v>Tablet cost</v>
      </c>
      <c r="C103" s="9">
        <f>(+C102/Parameters!$B$71)*Parameters!$B$72</f>
        <v>0</v>
      </c>
      <c r="D103" s="1">
        <f>+D102</f>
        <v>22</v>
      </c>
      <c r="E103" s="1">
        <f>+E102</f>
        <v>23</v>
      </c>
      <c r="F103" s="9">
        <f t="shared" si="73"/>
        <v>0</v>
      </c>
      <c r="G103" s="9">
        <f t="shared" si="74"/>
        <v>0</v>
      </c>
      <c r="H103" s="9"/>
      <c r="I103" s="7">
        <f t="shared" si="78"/>
        <v>0</v>
      </c>
      <c r="J103" s="7">
        <f t="shared" si="78"/>
        <v>0</v>
      </c>
      <c r="K103" s="7">
        <f t="shared" si="78"/>
        <v>0</v>
      </c>
      <c r="L103" s="7">
        <f t="shared" si="78"/>
        <v>0</v>
      </c>
      <c r="M103" s="7">
        <f t="shared" si="78"/>
        <v>0</v>
      </c>
      <c r="N103" s="7">
        <f t="shared" si="78"/>
        <v>0</v>
      </c>
      <c r="O103" s="7">
        <f t="shared" si="78"/>
        <v>0</v>
      </c>
      <c r="P103" s="7">
        <f t="shared" si="78"/>
        <v>0</v>
      </c>
      <c r="Q103" s="7">
        <f t="shared" si="78"/>
        <v>0</v>
      </c>
      <c r="R103" s="7">
        <f t="shared" si="78"/>
        <v>0</v>
      </c>
      <c r="S103" s="7">
        <f t="shared" si="78"/>
        <v>0</v>
      </c>
      <c r="T103" s="7">
        <f t="shared" si="78"/>
        <v>0</v>
      </c>
      <c r="U103" s="7">
        <f t="shared" si="78"/>
        <v>0</v>
      </c>
      <c r="V103" s="7">
        <f t="shared" si="78"/>
        <v>0</v>
      </c>
      <c r="W103" s="7">
        <f t="shared" si="78"/>
        <v>0</v>
      </c>
      <c r="X103" s="7">
        <f t="shared" si="78"/>
        <v>0</v>
      </c>
      <c r="Y103" s="7">
        <f t="shared" si="76"/>
        <v>0</v>
      </c>
      <c r="Z103" s="7">
        <f t="shared" si="76"/>
        <v>0</v>
      </c>
      <c r="AA103" s="7">
        <f t="shared" si="76"/>
        <v>0</v>
      </c>
      <c r="AB103" s="7">
        <f t="shared" si="76"/>
        <v>0</v>
      </c>
      <c r="AC103" s="7">
        <f t="shared" si="76"/>
        <v>0</v>
      </c>
      <c r="AD103" s="7">
        <f t="shared" si="76"/>
        <v>0</v>
      </c>
      <c r="AE103" s="7">
        <f t="shared" si="76"/>
        <v>0</v>
      </c>
      <c r="AF103" s="7">
        <f t="shared" si="76"/>
        <v>0</v>
      </c>
      <c r="AG103" s="7">
        <f t="shared" si="76"/>
        <v>0</v>
      </c>
      <c r="AH103" s="7">
        <f t="shared" si="76"/>
        <v>0</v>
      </c>
      <c r="AI103" s="7">
        <f t="shared" si="76"/>
        <v>0</v>
      </c>
      <c r="AJ103" s="7">
        <f t="shared" si="77"/>
        <v>0</v>
      </c>
      <c r="AK103" s="7">
        <f t="shared" si="77"/>
        <v>0</v>
      </c>
      <c r="AL103" s="7">
        <f t="shared" si="77"/>
        <v>0</v>
      </c>
      <c r="AM103" s="7">
        <f t="shared" si="77"/>
        <v>0</v>
      </c>
      <c r="AN103" s="7">
        <f t="shared" si="77"/>
        <v>0</v>
      </c>
      <c r="AO103" s="7">
        <f t="shared" si="77"/>
        <v>0</v>
      </c>
      <c r="AP103" s="7">
        <f t="shared" si="77"/>
        <v>0</v>
      </c>
      <c r="AQ103" s="7">
        <f t="shared" si="77"/>
        <v>0</v>
      </c>
      <c r="AR103" s="7">
        <f t="shared" si="77"/>
        <v>0</v>
      </c>
    </row>
    <row r="104" spans="1:44" x14ac:dyDescent="0.3">
      <c r="A104" t="s">
        <v>69</v>
      </c>
      <c r="B104" s="1" t="str">
        <f t="shared" si="75"/>
        <v>Regular Production run</v>
      </c>
      <c r="C104" s="9">
        <f>Parameters!L78*Parameters!$B$71</f>
        <v>0</v>
      </c>
      <c r="D104" s="1">
        <f>+Parameters!N78</f>
        <v>24</v>
      </c>
      <c r="E104" s="1">
        <f>+Parameters!P78</f>
        <v>25</v>
      </c>
      <c r="F104" s="9">
        <f t="shared" ref="F104:F117" si="79">+C104/((E104-D104)+1)</f>
        <v>0</v>
      </c>
      <c r="G104" s="9">
        <f t="shared" ref="G104:G117" si="80">SUM(I104:AR104)</f>
        <v>0</v>
      </c>
      <c r="H104" s="9"/>
      <c r="I104" s="7">
        <f t="shared" si="78"/>
        <v>0</v>
      </c>
      <c r="J104" s="7">
        <f t="shared" si="78"/>
        <v>0</v>
      </c>
      <c r="K104" s="7">
        <f t="shared" si="78"/>
        <v>0</v>
      </c>
      <c r="L104" s="7">
        <f t="shared" si="78"/>
        <v>0</v>
      </c>
      <c r="M104" s="7">
        <f t="shared" si="78"/>
        <v>0</v>
      </c>
      <c r="N104" s="7">
        <f t="shared" si="78"/>
        <v>0</v>
      </c>
      <c r="O104" s="7">
        <f t="shared" si="78"/>
        <v>0</v>
      </c>
      <c r="P104" s="7">
        <f t="shared" si="78"/>
        <v>0</v>
      </c>
      <c r="Q104" s="7">
        <f t="shared" si="78"/>
        <v>0</v>
      </c>
      <c r="R104" s="7">
        <f t="shared" si="78"/>
        <v>0</v>
      </c>
      <c r="S104" s="7">
        <f t="shared" si="78"/>
        <v>0</v>
      </c>
      <c r="T104" s="7">
        <f t="shared" si="78"/>
        <v>0</v>
      </c>
      <c r="U104" s="7">
        <f t="shared" si="78"/>
        <v>0</v>
      </c>
      <c r="V104" s="7">
        <f t="shared" si="78"/>
        <v>0</v>
      </c>
      <c r="W104" s="7">
        <f t="shared" si="78"/>
        <v>0</v>
      </c>
      <c r="X104" s="7">
        <f t="shared" si="78"/>
        <v>0</v>
      </c>
      <c r="Y104" s="7">
        <f t="shared" si="76"/>
        <v>0</v>
      </c>
      <c r="Z104" s="7">
        <f t="shared" si="76"/>
        <v>0</v>
      </c>
      <c r="AA104" s="7">
        <f t="shared" si="76"/>
        <v>0</v>
      </c>
      <c r="AB104" s="7">
        <f t="shared" si="76"/>
        <v>0</v>
      </c>
      <c r="AC104" s="7">
        <f t="shared" si="76"/>
        <v>0</v>
      </c>
      <c r="AD104" s="7">
        <f t="shared" si="76"/>
        <v>0</v>
      </c>
      <c r="AE104" s="7">
        <f t="shared" si="76"/>
        <v>0</v>
      </c>
      <c r="AF104" s="7">
        <f t="shared" si="76"/>
        <v>0</v>
      </c>
      <c r="AG104" s="7">
        <f t="shared" si="76"/>
        <v>0</v>
      </c>
      <c r="AH104" s="7">
        <f t="shared" si="76"/>
        <v>0</v>
      </c>
      <c r="AI104" s="7">
        <f t="shared" si="76"/>
        <v>0</v>
      </c>
      <c r="AJ104" s="7">
        <f t="shared" si="77"/>
        <v>0</v>
      </c>
      <c r="AK104" s="7">
        <f t="shared" si="77"/>
        <v>0</v>
      </c>
      <c r="AL104" s="7">
        <f t="shared" si="77"/>
        <v>0</v>
      </c>
      <c r="AM104" s="7">
        <f t="shared" si="77"/>
        <v>0</v>
      </c>
      <c r="AN104" s="7">
        <f t="shared" si="77"/>
        <v>0</v>
      </c>
      <c r="AO104" s="7">
        <f t="shared" si="77"/>
        <v>0</v>
      </c>
      <c r="AP104" s="7">
        <f t="shared" si="77"/>
        <v>0</v>
      </c>
      <c r="AQ104" s="7">
        <f t="shared" si="77"/>
        <v>0</v>
      </c>
      <c r="AR104" s="7">
        <f t="shared" si="77"/>
        <v>0</v>
      </c>
    </row>
    <row r="105" spans="1:44" x14ac:dyDescent="0.3">
      <c r="A105" t="s">
        <v>72</v>
      </c>
      <c r="B105" s="1" t="str">
        <f t="shared" si="75"/>
        <v>Tablet cost</v>
      </c>
      <c r="C105" s="9">
        <f>(+C104/Parameters!$B$71)*Parameters!$B$72</f>
        <v>0</v>
      </c>
      <c r="D105" s="1">
        <f>+D104</f>
        <v>24</v>
      </c>
      <c r="E105" s="1">
        <f>+E104</f>
        <v>25</v>
      </c>
      <c r="F105" s="9">
        <f t="shared" si="79"/>
        <v>0</v>
      </c>
      <c r="G105" s="9">
        <f t="shared" si="80"/>
        <v>0</v>
      </c>
      <c r="H105" s="9"/>
      <c r="I105" s="7">
        <f t="shared" si="78"/>
        <v>0</v>
      </c>
      <c r="J105" s="7">
        <f t="shared" si="78"/>
        <v>0</v>
      </c>
      <c r="K105" s="7">
        <f t="shared" si="78"/>
        <v>0</v>
      </c>
      <c r="L105" s="7">
        <f t="shared" si="78"/>
        <v>0</v>
      </c>
      <c r="M105" s="7">
        <f t="shared" si="78"/>
        <v>0</v>
      </c>
      <c r="N105" s="7">
        <f t="shared" si="78"/>
        <v>0</v>
      </c>
      <c r="O105" s="7">
        <f t="shared" si="78"/>
        <v>0</v>
      </c>
      <c r="P105" s="7">
        <f t="shared" si="78"/>
        <v>0</v>
      </c>
      <c r="Q105" s="7">
        <f t="shared" si="78"/>
        <v>0</v>
      </c>
      <c r="R105" s="7">
        <f t="shared" si="78"/>
        <v>0</v>
      </c>
      <c r="S105" s="7">
        <f t="shared" si="78"/>
        <v>0</v>
      </c>
      <c r="T105" s="7">
        <f t="shared" si="78"/>
        <v>0</v>
      </c>
      <c r="U105" s="7">
        <f t="shared" si="78"/>
        <v>0</v>
      </c>
      <c r="V105" s="7">
        <f t="shared" si="78"/>
        <v>0</v>
      </c>
      <c r="W105" s="7">
        <f t="shared" si="78"/>
        <v>0</v>
      </c>
      <c r="X105" s="7">
        <f t="shared" si="78"/>
        <v>0</v>
      </c>
      <c r="Y105" s="7">
        <f t="shared" ref="Y105:AR105" si="81">IF(+$D105&gt;Y$1,0,IF(Y$1&lt;=$E105,$F105,0))</f>
        <v>0</v>
      </c>
      <c r="Z105" s="7">
        <f t="shared" si="81"/>
        <v>0</v>
      </c>
      <c r="AA105" s="7">
        <f t="shared" si="81"/>
        <v>0</v>
      </c>
      <c r="AB105" s="7">
        <f t="shared" si="81"/>
        <v>0</v>
      </c>
      <c r="AC105" s="7">
        <f t="shared" si="81"/>
        <v>0</v>
      </c>
      <c r="AD105" s="7">
        <f t="shared" si="81"/>
        <v>0</v>
      </c>
      <c r="AE105" s="7">
        <f t="shared" si="81"/>
        <v>0</v>
      </c>
      <c r="AF105" s="7">
        <f t="shared" si="81"/>
        <v>0</v>
      </c>
      <c r="AG105" s="7">
        <f t="shared" si="81"/>
        <v>0</v>
      </c>
      <c r="AH105" s="7">
        <f t="shared" si="81"/>
        <v>0</v>
      </c>
      <c r="AI105" s="7">
        <f t="shared" si="81"/>
        <v>0</v>
      </c>
      <c r="AJ105" s="7">
        <f t="shared" si="81"/>
        <v>0</v>
      </c>
      <c r="AK105" s="7">
        <f t="shared" si="81"/>
        <v>0</v>
      </c>
      <c r="AL105" s="7">
        <f t="shared" si="81"/>
        <v>0</v>
      </c>
      <c r="AM105" s="7">
        <f t="shared" si="81"/>
        <v>0</v>
      </c>
      <c r="AN105" s="7">
        <f t="shared" si="81"/>
        <v>0</v>
      </c>
      <c r="AO105" s="7">
        <f t="shared" si="81"/>
        <v>0</v>
      </c>
      <c r="AP105" s="7">
        <f t="shared" si="81"/>
        <v>0</v>
      </c>
      <c r="AQ105" s="7">
        <f t="shared" si="81"/>
        <v>0</v>
      </c>
      <c r="AR105" s="7">
        <f t="shared" si="81"/>
        <v>0</v>
      </c>
    </row>
    <row r="106" spans="1:44" x14ac:dyDescent="0.3">
      <c r="A106" t="s">
        <v>69</v>
      </c>
      <c r="B106" s="1" t="str">
        <f t="shared" si="75"/>
        <v>Regular Production run</v>
      </c>
      <c r="C106" s="9">
        <f>Parameters!L79*Parameters!$B$71</f>
        <v>0</v>
      </c>
      <c r="D106" s="1">
        <f>+Parameters!N79</f>
        <v>26</v>
      </c>
      <c r="E106" s="1">
        <f>+Parameters!P79</f>
        <v>27</v>
      </c>
      <c r="F106" s="9">
        <f t="shared" si="79"/>
        <v>0</v>
      </c>
      <c r="G106" s="9">
        <f t="shared" si="80"/>
        <v>0</v>
      </c>
      <c r="H106" s="9"/>
      <c r="I106" s="7">
        <f t="shared" si="78"/>
        <v>0</v>
      </c>
      <c r="J106" s="7">
        <f t="shared" si="78"/>
        <v>0</v>
      </c>
      <c r="K106" s="7">
        <f t="shared" si="78"/>
        <v>0</v>
      </c>
      <c r="L106" s="7">
        <f t="shared" si="78"/>
        <v>0</v>
      </c>
      <c r="M106" s="7">
        <f t="shared" si="78"/>
        <v>0</v>
      </c>
      <c r="N106" s="7">
        <f t="shared" si="78"/>
        <v>0</v>
      </c>
      <c r="O106" s="7">
        <f t="shared" si="78"/>
        <v>0</v>
      </c>
      <c r="P106" s="7">
        <f t="shared" si="78"/>
        <v>0</v>
      </c>
      <c r="Q106" s="7">
        <f t="shared" si="78"/>
        <v>0</v>
      </c>
      <c r="R106" s="7">
        <f t="shared" si="78"/>
        <v>0</v>
      </c>
      <c r="S106" s="7">
        <f t="shared" si="78"/>
        <v>0</v>
      </c>
      <c r="T106" s="7">
        <f t="shared" si="78"/>
        <v>0</v>
      </c>
      <c r="U106" s="7">
        <f t="shared" si="78"/>
        <v>0</v>
      </c>
      <c r="V106" s="7">
        <f t="shared" si="78"/>
        <v>0</v>
      </c>
      <c r="W106" s="7">
        <f t="shared" si="78"/>
        <v>0</v>
      </c>
      <c r="X106" s="7">
        <f t="shared" si="78"/>
        <v>0</v>
      </c>
      <c r="Y106" s="7">
        <f t="shared" si="76"/>
        <v>0</v>
      </c>
      <c r="Z106" s="7">
        <f t="shared" si="76"/>
        <v>0</v>
      </c>
      <c r="AA106" s="7">
        <f t="shared" si="76"/>
        <v>0</v>
      </c>
      <c r="AB106" s="7">
        <f t="shared" si="76"/>
        <v>0</v>
      </c>
      <c r="AC106" s="7">
        <f t="shared" si="76"/>
        <v>0</v>
      </c>
      <c r="AD106" s="7">
        <f t="shared" si="76"/>
        <v>0</v>
      </c>
      <c r="AE106" s="7">
        <f t="shared" si="76"/>
        <v>0</v>
      </c>
      <c r="AF106" s="7">
        <f t="shared" si="76"/>
        <v>0</v>
      </c>
      <c r="AG106" s="7">
        <f t="shared" si="76"/>
        <v>0</v>
      </c>
      <c r="AH106" s="7">
        <f t="shared" si="76"/>
        <v>0</v>
      </c>
      <c r="AI106" s="7">
        <f t="shared" si="76"/>
        <v>0</v>
      </c>
      <c r="AJ106" s="7">
        <f t="shared" si="77"/>
        <v>0</v>
      </c>
      <c r="AK106" s="7">
        <f t="shared" si="77"/>
        <v>0</v>
      </c>
      <c r="AL106" s="7">
        <f t="shared" si="77"/>
        <v>0</v>
      </c>
      <c r="AM106" s="7">
        <f t="shared" si="77"/>
        <v>0</v>
      </c>
      <c r="AN106" s="7">
        <f t="shared" si="77"/>
        <v>0</v>
      </c>
      <c r="AO106" s="7">
        <f t="shared" si="77"/>
        <v>0</v>
      </c>
      <c r="AP106" s="7">
        <f t="shared" si="77"/>
        <v>0</v>
      </c>
      <c r="AQ106" s="7">
        <f t="shared" si="77"/>
        <v>0</v>
      </c>
      <c r="AR106" s="7">
        <f t="shared" si="77"/>
        <v>0</v>
      </c>
    </row>
    <row r="107" spans="1:44" x14ac:dyDescent="0.3">
      <c r="A107" t="s">
        <v>72</v>
      </c>
      <c r="B107" s="1" t="str">
        <f t="shared" si="75"/>
        <v>Tablet cost</v>
      </c>
      <c r="C107" s="9">
        <f>(+C106/Parameters!$B$71)*Parameters!$B$72</f>
        <v>0</v>
      </c>
      <c r="D107" s="1">
        <f>+D106</f>
        <v>26</v>
      </c>
      <c r="E107" s="1">
        <f>+E106</f>
        <v>27</v>
      </c>
      <c r="F107" s="9">
        <f t="shared" si="79"/>
        <v>0</v>
      </c>
      <c r="G107" s="9">
        <f t="shared" si="80"/>
        <v>0</v>
      </c>
      <c r="H107" s="9"/>
      <c r="I107" s="7">
        <f t="shared" si="78"/>
        <v>0</v>
      </c>
      <c r="J107" s="7">
        <f t="shared" si="78"/>
        <v>0</v>
      </c>
      <c r="K107" s="7">
        <f t="shared" si="78"/>
        <v>0</v>
      </c>
      <c r="L107" s="7">
        <f t="shared" si="78"/>
        <v>0</v>
      </c>
      <c r="M107" s="7">
        <f t="shared" si="78"/>
        <v>0</v>
      </c>
      <c r="N107" s="7">
        <f t="shared" si="78"/>
        <v>0</v>
      </c>
      <c r="O107" s="7">
        <f t="shared" si="78"/>
        <v>0</v>
      </c>
      <c r="P107" s="7">
        <f t="shared" si="78"/>
        <v>0</v>
      </c>
      <c r="Q107" s="7">
        <f t="shared" si="78"/>
        <v>0</v>
      </c>
      <c r="R107" s="7">
        <f t="shared" si="78"/>
        <v>0</v>
      </c>
      <c r="S107" s="7">
        <f t="shared" si="78"/>
        <v>0</v>
      </c>
      <c r="T107" s="7">
        <f t="shared" si="78"/>
        <v>0</v>
      </c>
      <c r="U107" s="7">
        <f t="shared" si="78"/>
        <v>0</v>
      </c>
      <c r="V107" s="7">
        <f t="shared" si="78"/>
        <v>0</v>
      </c>
      <c r="W107" s="7">
        <f t="shared" si="78"/>
        <v>0</v>
      </c>
      <c r="X107" s="7">
        <f t="shared" si="78"/>
        <v>0</v>
      </c>
      <c r="Y107" s="7">
        <f t="shared" ref="Y107:AR107" si="82">IF(+$D107&gt;Y$1,0,IF(Y$1&lt;=$E107,$F107,0))</f>
        <v>0</v>
      </c>
      <c r="Z107" s="7">
        <f t="shared" si="82"/>
        <v>0</v>
      </c>
      <c r="AA107" s="7">
        <f t="shared" si="82"/>
        <v>0</v>
      </c>
      <c r="AB107" s="7">
        <f t="shared" si="82"/>
        <v>0</v>
      </c>
      <c r="AC107" s="7">
        <f t="shared" si="82"/>
        <v>0</v>
      </c>
      <c r="AD107" s="7">
        <f t="shared" si="82"/>
        <v>0</v>
      </c>
      <c r="AE107" s="7">
        <f t="shared" si="82"/>
        <v>0</v>
      </c>
      <c r="AF107" s="7">
        <f t="shared" si="82"/>
        <v>0</v>
      </c>
      <c r="AG107" s="7">
        <f t="shared" si="82"/>
        <v>0</v>
      </c>
      <c r="AH107" s="7">
        <f t="shared" si="82"/>
        <v>0</v>
      </c>
      <c r="AI107" s="7">
        <f t="shared" si="82"/>
        <v>0</v>
      </c>
      <c r="AJ107" s="7">
        <f t="shared" si="82"/>
        <v>0</v>
      </c>
      <c r="AK107" s="7">
        <f t="shared" si="82"/>
        <v>0</v>
      </c>
      <c r="AL107" s="7">
        <f t="shared" si="82"/>
        <v>0</v>
      </c>
      <c r="AM107" s="7">
        <f t="shared" si="82"/>
        <v>0</v>
      </c>
      <c r="AN107" s="7">
        <f t="shared" si="82"/>
        <v>0</v>
      </c>
      <c r="AO107" s="7">
        <f t="shared" si="82"/>
        <v>0</v>
      </c>
      <c r="AP107" s="7">
        <f t="shared" si="82"/>
        <v>0</v>
      </c>
      <c r="AQ107" s="7">
        <f t="shared" si="82"/>
        <v>0</v>
      </c>
      <c r="AR107" s="7">
        <f t="shared" si="82"/>
        <v>0</v>
      </c>
    </row>
    <row r="108" spans="1:44" x14ac:dyDescent="0.3">
      <c r="A108" t="s">
        <v>69</v>
      </c>
      <c r="B108" s="1" t="str">
        <f t="shared" si="75"/>
        <v>Regular Production run</v>
      </c>
      <c r="C108" s="9">
        <f>Parameters!L80*Parameters!$B$71</f>
        <v>0</v>
      </c>
      <c r="D108" s="1">
        <f>+Parameters!N80</f>
        <v>28</v>
      </c>
      <c r="E108" s="1">
        <f>+Parameters!P80</f>
        <v>29</v>
      </c>
      <c r="F108" s="9">
        <f t="shared" si="79"/>
        <v>0</v>
      </c>
      <c r="G108" s="9">
        <f t="shared" si="80"/>
        <v>0</v>
      </c>
      <c r="H108" s="9"/>
      <c r="I108" s="7">
        <f t="shared" si="78"/>
        <v>0</v>
      </c>
      <c r="J108" s="7">
        <f t="shared" si="78"/>
        <v>0</v>
      </c>
      <c r="K108" s="7">
        <f t="shared" si="78"/>
        <v>0</v>
      </c>
      <c r="L108" s="7">
        <f t="shared" si="78"/>
        <v>0</v>
      </c>
      <c r="M108" s="7">
        <f t="shared" si="78"/>
        <v>0</v>
      </c>
      <c r="N108" s="7">
        <f t="shared" si="78"/>
        <v>0</v>
      </c>
      <c r="O108" s="7">
        <f t="shared" si="78"/>
        <v>0</v>
      </c>
      <c r="P108" s="7">
        <f t="shared" si="78"/>
        <v>0</v>
      </c>
      <c r="Q108" s="7">
        <f t="shared" si="78"/>
        <v>0</v>
      </c>
      <c r="R108" s="7">
        <f t="shared" si="78"/>
        <v>0</v>
      </c>
      <c r="S108" s="7">
        <f t="shared" si="78"/>
        <v>0</v>
      </c>
      <c r="T108" s="7">
        <f t="shared" si="78"/>
        <v>0</v>
      </c>
      <c r="U108" s="7">
        <f t="shared" si="78"/>
        <v>0</v>
      </c>
      <c r="V108" s="7">
        <f t="shared" si="78"/>
        <v>0</v>
      </c>
      <c r="W108" s="7">
        <f t="shared" si="78"/>
        <v>0</v>
      </c>
      <c r="X108" s="7">
        <f t="shared" si="78"/>
        <v>0</v>
      </c>
      <c r="Y108" s="7">
        <f t="shared" si="76"/>
        <v>0</v>
      </c>
      <c r="Z108" s="7">
        <f t="shared" si="76"/>
        <v>0</v>
      </c>
      <c r="AA108" s="7">
        <f t="shared" si="76"/>
        <v>0</v>
      </c>
      <c r="AB108" s="7">
        <f t="shared" si="76"/>
        <v>0</v>
      </c>
      <c r="AC108" s="7">
        <f t="shared" si="76"/>
        <v>0</v>
      </c>
      <c r="AD108" s="7">
        <f t="shared" si="76"/>
        <v>0</v>
      </c>
      <c r="AE108" s="7">
        <f t="shared" si="76"/>
        <v>0</v>
      </c>
      <c r="AF108" s="7">
        <f t="shared" si="76"/>
        <v>0</v>
      </c>
      <c r="AG108" s="7">
        <f t="shared" si="76"/>
        <v>0</v>
      </c>
      <c r="AH108" s="7">
        <f t="shared" si="76"/>
        <v>0</v>
      </c>
      <c r="AI108" s="7">
        <f t="shared" si="76"/>
        <v>0</v>
      </c>
      <c r="AJ108" s="7">
        <f t="shared" si="77"/>
        <v>0</v>
      </c>
      <c r="AK108" s="7">
        <f t="shared" si="77"/>
        <v>0</v>
      </c>
      <c r="AL108" s="7">
        <f t="shared" si="77"/>
        <v>0</v>
      </c>
      <c r="AM108" s="7">
        <f t="shared" si="77"/>
        <v>0</v>
      </c>
      <c r="AN108" s="7">
        <f t="shared" si="77"/>
        <v>0</v>
      </c>
      <c r="AO108" s="7">
        <f t="shared" si="77"/>
        <v>0</v>
      </c>
      <c r="AP108" s="7">
        <f t="shared" si="77"/>
        <v>0</v>
      </c>
      <c r="AQ108" s="7">
        <f t="shared" si="77"/>
        <v>0</v>
      </c>
      <c r="AR108" s="7">
        <f t="shared" si="77"/>
        <v>0</v>
      </c>
    </row>
    <row r="109" spans="1:44" x14ac:dyDescent="0.3">
      <c r="A109" t="s">
        <v>72</v>
      </c>
      <c r="B109" s="1" t="str">
        <f t="shared" si="75"/>
        <v>Tablet cost</v>
      </c>
      <c r="C109" s="9">
        <f>(+C108/Parameters!$B$71)*Parameters!$B$72</f>
        <v>0</v>
      </c>
      <c r="D109" s="1">
        <f>+D108</f>
        <v>28</v>
      </c>
      <c r="E109" s="1">
        <f>+E108</f>
        <v>29</v>
      </c>
      <c r="F109" s="9">
        <f t="shared" si="79"/>
        <v>0</v>
      </c>
      <c r="G109" s="9">
        <f t="shared" si="80"/>
        <v>0</v>
      </c>
      <c r="H109" s="9"/>
      <c r="I109" s="7">
        <f t="shared" si="78"/>
        <v>0</v>
      </c>
      <c r="J109" s="7">
        <f t="shared" si="78"/>
        <v>0</v>
      </c>
      <c r="K109" s="7">
        <f t="shared" si="78"/>
        <v>0</v>
      </c>
      <c r="L109" s="7">
        <f t="shared" si="78"/>
        <v>0</v>
      </c>
      <c r="M109" s="7">
        <f t="shared" si="78"/>
        <v>0</v>
      </c>
      <c r="N109" s="7">
        <f t="shared" si="78"/>
        <v>0</v>
      </c>
      <c r="O109" s="7">
        <f t="shared" si="78"/>
        <v>0</v>
      </c>
      <c r="P109" s="7">
        <f t="shared" si="78"/>
        <v>0</v>
      </c>
      <c r="Q109" s="7">
        <f t="shared" si="78"/>
        <v>0</v>
      </c>
      <c r="R109" s="7">
        <f t="shared" si="78"/>
        <v>0</v>
      </c>
      <c r="S109" s="7">
        <f t="shared" si="78"/>
        <v>0</v>
      </c>
      <c r="T109" s="7">
        <f t="shared" si="78"/>
        <v>0</v>
      </c>
      <c r="U109" s="7">
        <f t="shared" si="78"/>
        <v>0</v>
      </c>
      <c r="V109" s="7">
        <f t="shared" si="78"/>
        <v>0</v>
      </c>
      <c r="W109" s="7">
        <f t="shared" si="78"/>
        <v>0</v>
      </c>
      <c r="X109" s="7">
        <f t="shared" si="78"/>
        <v>0</v>
      </c>
      <c r="Y109" s="7">
        <f t="shared" ref="Y109:AR109" si="83">IF(+$D109&gt;Y$1,0,IF(Y$1&lt;=$E109,$F109,0))</f>
        <v>0</v>
      </c>
      <c r="Z109" s="7">
        <f t="shared" si="83"/>
        <v>0</v>
      </c>
      <c r="AA109" s="7">
        <f t="shared" si="83"/>
        <v>0</v>
      </c>
      <c r="AB109" s="7">
        <f t="shared" si="83"/>
        <v>0</v>
      </c>
      <c r="AC109" s="7">
        <f t="shared" si="83"/>
        <v>0</v>
      </c>
      <c r="AD109" s="7">
        <f t="shared" si="83"/>
        <v>0</v>
      </c>
      <c r="AE109" s="7">
        <f t="shared" si="83"/>
        <v>0</v>
      </c>
      <c r="AF109" s="7">
        <f t="shared" si="83"/>
        <v>0</v>
      </c>
      <c r="AG109" s="7">
        <f t="shared" si="83"/>
        <v>0</v>
      </c>
      <c r="AH109" s="7">
        <f t="shared" si="83"/>
        <v>0</v>
      </c>
      <c r="AI109" s="7">
        <f t="shared" si="83"/>
        <v>0</v>
      </c>
      <c r="AJ109" s="7">
        <f t="shared" si="83"/>
        <v>0</v>
      </c>
      <c r="AK109" s="7">
        <f t="shared" si="83"/>
        <v>0</v>
      </c>
      <c r="AL109" s="7">
        <f t="shared" si="83"/>
        <v>0</v>
      </c>
      <c r="AM109" s="7">
        <f t="shared" si="83"/>
        <v>0</v>
      </c>
      <c r="AN109" s="7">
        <f t="shared" si="83"/>
        <v>0</v>
      </c>
      <c r="AO109" s="7">
        <f t="shared" si="83"/>
        <v>0</v>
      </c>
      <c r="AP109" s="7">
        <f t="shared" si="83"/>
        <v>0</v>
      </c>
      <c r="AQ109" s="7">
        <f t="shared" si="83"/>
        <v>0</v>
      </c>
      <c r="AR109" s="7">
        <f t="shared" si="83"/>
        <v>0</v>
      </c>
    </row>
    <row r="110" spans="1:44" x14ac:dyDescent="0.3">
      <c r="A110" t="s">
        <v>69</v>
      </c>
      <c r="B110" s="1" t="str">
        <f t="shared" si="75"/>
        <v>Regular Production run</v>
      </c>
      <c r="C110" s="9">
        <f>Parameters!L81*Parameters!$B$71</f>
        <v>0</v>
      </c>
      <c r="D110" s="1">
        <f>+Parameters!N81</f>
        <v>30</v>
      </c>
      <c r="E110" s="1">
        <f>+Parameters!P81</f>
        <v>31</v>
      </c>
      <c r="F110" s="9">
        <f t="shared" si="79"/>
        <v>0</v>
      </c>
      <c r="G110" s="9">
        <f t="shared" si="80"/>
        <v>0</v>
      </c>
      <c r="H110" s="9"/>
      <c r="I110" s="7">
        <f t="shared" si="78"/>
        <v>0</v>
      </c>
      <c r="J110" s="7">
        <f t="shared" si="78"/>
        <v>0</v>
      </c>
      <c r="K110" s="7">
        <f t="shared" si="78"/>
        <v>0</v>
      </c>
      <c r="L110" s="7">
        <f t="shared" si="78"/>
        <v>0</v>
      </c>
      <c r="M110" s="7">
        <f t="shared" si="78"/>
        <v>0</v>
      </c>
      <c r="N110" s="7">
        <f t="shared" si="78"/>
        <v>0</v>
      </c>
      <c r="O110" s="7">
        <f t="shared" si="78"/>
        <v>0</v>
      </c>
      <c r="P110" s="7">
        <f t="shared" si="78"/>
        <v>0</v>
      </c>
      <c r="Q110" s="7">
        <f t="shared" si="78"/>
        <v>0</v>
      </c>
      <c r="R110" s="7">
        <f t="shared" si="78"/>
        <v>0</v>
      </c>
      <c r="S110" s="7">
        <f t="shared" si="78"/>
        <v>0</v>
      </c>
      <c r="T110" s="7">
        <f t="shared" si="78"/>
        <v>0</v>
      </c>
      <c r="U110" s="7">
        <f t="shared" si="78"/>
        <v>0</v>
      </c>
      <c r="V110" s="7">
        <f t="shared" si="78"/>
        <v>0</v>
      </c>
      <c r="W110" s="7">
        <f t="shared" si="78"/>
        <v>0</v>
      </c>
      <c r="X110" s="7">
        <f t="shared" si="78"/>
        <v>0</v>
      </c>
      <c r="Y110" s="7">
        <f t="shared" si="76"/>
        <v>0</v>
      </c>
      <c r="Z110" s="7">
        <f t="shared" si="76"/>
        <v>0</v>
      </c>
      <c r="AA110" s="7">
        <f t="shared" si="76"/>
        <v>0</v>
      </c>
      <c r="AB110" s="7">
        <f t="shared" si="76"/>
        <v>0</v>
      </c>
      <c r="AC110" s="7">
        <f t="shared" si="76"/>
        <v>0</v>
      </c>
      <c r="AD110" s="7">
        <f t="shared" si="76"/>
        <v>0</v>
      </c>
      <c r="AE110" s="7">
        <f t="shared" si="76"/>
        <v>0</v>
      </c>
      <c r="AF110" s="7">
        <f t="shared" si="76"/>
        <v>0</v>
      </c>
      <c r="AG110" s="7">
        <f t="shared" si="76"/>
        <v>0</v>
      </c>
      <c r="AH110" s="7">
        <f t="shared" si="76"/>
        <v>0</v>
      </c>
      <c r="AI110" s="7">
        <f t="shared" si="76"/>
        <v>0</v>
      </c>
      <c r="AJ110" s="7">
        <f t="shared" si="77"/>
        <v>0</v>
      </c>
      <c r="AK110" s="7">
        <f t="shared" si="77"/>
        <v>0</v>
      </c>
      <c r="AL110" s="7">
        <f t="shared" si="77"/>
        <v>0</v>
      </c>
      <c r="AM110" s="7">
        <f t="shared" si="77"/>
        <v>0</v>
      </c>
      <c r="AN110" s="7">
        <f t="shared" si="77"/>
        <v>0</v>
      </c>
      <c r="AO110" s="7">
        <f t="shared" si="77"/>
        <v>0</v>
      </c>
      <c r="AP110" s="7">
        <f t="shared" si="77"/>
        <v>0</v>
      </c>
      <c r="AQ110" s="7">
        <f t="shared" si="77"/>
        <v>0</v>
      </c>
      <c r="AR110" s="7">
        <f t="shared" si="77"/>
        <v>0</v>
      </c>
    </row>
    <row r="111" spans="1:44" x14ac:dyDescent="0.3">
      <c r="A111" t="s">
        <v>72</v>
      </c>
      <c r="B111" s="1" t="str">
        <f t="shared" si="75"/>
        <v>Tablet cost</v>
      </c>
      <c r="C111" s="9">
        <f>(+C110/Parameters!$B$71)*Parameters!$B$72</f>
        <v>0</v>
      </c>
      <c r="D111" s="1">
        <f>+D110</f>
        <v>30</v>
      </c>
      <c r="E111" s="1">
        <f>+E110</f>
        <v>31</v>
      </c>
      <c r="F111" s="9">
        <f t="shared" si="79"/>
        <v>0</v>
      </c>
      <c r="G111" s="9">
        <f t="shared" si="80"/>
        <v>0</v>
      </c>
      <c r="H111" s="9"/>
      <c r="I111" s="7">
        <f t="shared" si="78"/>
        <v>0</v>
      </c>
      <c r="J111" s="7">
        <f t="shared" si="78"/>
        <v>0</v>
      </c>
      <c r="K111" s="7">
        <f t="shared" si="78"/>
        <v>0</v>
      </c>
      <c r="L111" s="7">
        <f t="shared" si="78"/>
        <v>0</v>
      </c>
      <c r="M111" s="7">
        <f t="shared" si="78"/>
        <v>0</v>
      </c>
      <c r="N111" s="7">
        <f t="shared" si="78"/>
        <v>0</v>
      </c>
      <c r="O111" s="7">
        <f t="shared" si="78"/>
        <v>0</v>
      </c>
      <c r="P111" s="7">
        <f t="shared" si="78"/>
        <v>0</v>
      </c>
      <c r="Q111" s="7">
        <f t="shared" si="78"/>
        <v>0</v>
      </c>
      <c r="R111" s="7">
        <f t="shared" si="78"/>
        <v>0</v>
      </c>
      <c r="S111" s="7">
        <f t="shared" si="78"/>
        <v>0</v>
      </c>
      <c r="T111" s="7">
        <f t="shared" si="78"/>
        <v>0</v>
      </c>
      <c r="U111" s="7">
        <f t="shared" si="78"/>
        <v>0</v>
      </c>
      <c r="V111" s="7">
        <f t="shared" si="78"/>
        <v>0</v>
      </c>
      <c r="W111" s="7">
        <f t="shared" si="78"/>
        <v>0</v>
      </c>
      <c r="X111" s="7">
        <f t="shared" si="78"/>
        <v>0</v>
      </c>
      <c r="Y111" s="7">
        <f t="shared" ref="Y111:AR111" si="84">IF(+$D111&gt;Y$1,0,IF(Y$1&lt;=$E111,$F111,0))</f>
        <v>0</v>
      </c>
      <c r="Z111" s="7">
        <f t="shared" si="84"/>
        <v>0</v>
      </c>
      <c r="AA111" s="7">
        <f t="shared" si="84"/>
        <v>0</v>
      </c>
      <c r="AB111" s="7">
        <f t="shared" si="84"/>
        <v>0</v>
      </c>
      <c r="AC111" s="7">
        <f t="shared" si="84"/>
        <v>0</v>
      </c>
      <c r="AD111" s="7">
        <f t="shared" si="84"/>
        <v>0</v>
      </c>
      <c r="AE111" s="7">
        <f t="shared" si="84"/>
        <v>0</v>
      </c>
      <c r="AF111" s="7">
        <f t="shared" si="84"/>
        <v>0</v>
      </c>
      <c r="AG111" s="7">
        <f t="shared" si="84"/>
        <v>0</v>
      </c>
      <c r="AH111" s="7">
        <f t="shared" si="84"/>
        <v>0</v>
      </c>
      <c r="AI111" s="7">
        <f t="shared" si="84"/>
        <v>0</v>
      </c>
      <c r="AJ111" s="7">
        <f t="shared" si="84"/>
        <v>0</v>
      </c>
      <c r="AK111" s="7">
        <f t="shared" si="84"/>
        <v>0</v>
      </c>
      <c r="AL111" s="7">
        <f t="shared" si="84"/>
        <v>0</v>
      </c>
      <c r="AM111" s="7">
        <f t="shared" si="84"/>
        <v>0</v>
      </c>
      <c r="AN111" s="7">
        <f t="shared" si="84"/>
        <v>0</v>
      </c>
      <c r="AO111" s="7">
        <f t="shared" si="84"/>
        <v>0</v>
      </c>
      <c r="AP111" s="7">
        <f t="shared" si="84"/>
        <v>0</v>
      </c>
      <c r="AQ111" s="7">
        <f t="shared" si="84"/>
        <v>0</v>
      </c>
      <c r="AR111" s="7">
        <f t="shared" si="84"/>
        <v>0</v>
      </c>
    </row>
    <row r="112" spans="1:44" x14ac:dyDescent="0.3">
      <c r="A112" t="s">
        <v>69</v>
      </c>
      <c r="B112" s="1" t="str">
        <f t="shared" si="75"/>
        <v>Regular Production run</v>
      </c>
      <c r="C112" s="9">
        <f>Parameters!L82*Parameters!$B$71</f>
        <v>0</v>
      </c>
      <c r="D112" s="1">
        <f>+Parameters!N82</f>
        <v>32</v>
      </c>
      <c r="E112" s="1">
        <f>+Parameters!P82</f>
        <v>33</v>
      </c>
      <c r="F112" s="9">
        <f t="shared" si="79"/>
        <v>0</v>
      </c>
      <c r="G112" s="9">
        <f t="shared" si="80"/>
        <v>0</v>
      </c>
      <c r="H112" s="9"/>
      <c r="I112" s="7">
        <f t="shared" si="78"/>
        <v>0</v>
      </c>
      <c r="J112" s="7">
        <f t="shared" si="78"/>
        <v>0</v>
      </c>
      <c r="K112" s="7">
        <f t="shared" si="78"/>
        <v>0</v>
      </c>
      <c r="L112" s="7">
        <f t="shared" si="78"/>
        <v>0</v>
      </c>
      <c r="M112" s="7">
        <f t="shared" si="78"/>
        <v>0</v>
      </c>
      <c r="N112" s="7">
        <f t="shared" si="78"/>
        <v>0</v>
      </c>
      <c r="O112" s="7">
        <f t="shared" si="78"/>
        <v>0</v>
      </c>
      <c r="P112" s="7">
        <f t="shared" si="78"/>
        <v>0</v>
      </c>
      <c r="Q112" s="7">
        <f t="shared" si="78"/>
        <v>0</v>
      </c>
      <c r="R112" s="7">
        <f t="shared" si="78"/>
        <v>0</v>
      </c>
      <c r="S112" s="7">
        <f t="shared" si="78"/>
        <v>0</v>
      </c>
      <c r="T112" s="7">
        <f t="shared" si="78"/>
        <v>0</v>
      </c>
      <c r="U112" s="7">
        <f t="shared" si="78"/>
        <v>0</v>
      </c>
      <c r="V112" s="7">
        <f t="shared" si="78"/>
        <v>0</v>
      </c>
      <c r="W112" s="7">
        <f t="shared" si="78"/>
        <v>0</v>
      </c>
      <c r="X112" s="7">
        <f t="shared" si="78"/>
        <v>0</v>
      </c>
      <c r="Y112" s="7">
        <f t="shared" si="76"/>
        <v>0</v>
      </c>
      <c r="Z112" s="7">
        <f t="shared" si="76"/>
        <v>0</v>
      </c>
      <c r="AA112" s="7">
        <f t="shared" si="76"/>
        <v>0</v>
      </c>
      <c r="AB112" s="7">
        <f t="shared" si="76"/>
        <v>0</v>
      </c>
      <c r="AC112" s="7">
        <f t="shared" si="76"/>
        <v>0</v>
      </c>
      <c r="AD112" s="7">
        <f t="shared" si="76"/>
        <v>0</v>
      </c>
      <c r="AE112" s="7">
        <f t="shared" si="76"/>
        <v>0</v>
      </c>
      <c r="AF112" s="7">
        <f t="shared" si="76"/>
        <v>0</v>
      </c>
      <c r="AG112" s="7">
        <f t="shared" si="76"/>
        <v>0</v>
      </c>
      <c r="AH112" s="7">
        <f t="shared" si="76"/>
        <v>0</v>
      </c>
      <c r="AI112" s="7">
        <f t="shared" si="76"/>
        <v>0</v>
      </c>
      <c r="AJ112" s="7">
        <f t="shared" si="77"/>
        <v>0</v>
      </c>
      <c r="AK112" s="7">
        <f t="shared" si="77"/>
        <v>0</v>
      </c>
      <c r="AL112" s="7">
        <f t="shared" si="77"/>
        <v>0</v>
      </c>
      <c r="AM112" s="7">
        <f t="shared" si="77"/>
        <v>0</v>
      </c>
      <c r="AN112" s="7">
        <f t="shared" si="77"/>
        <v>0</v>
      </c>
      <c r="AO112" s="7">
        <f t="shared" si="77"/>
        <v>0</v>
      </c>
      <c r="AP112" s="7">
        <f t="shared" si="77"/>
        <v>0</v>
      </c>
      <c r="AQ112" s="7">
        <f t="shared" si="77"/>
        <v>0</v>
      </c>
      <c r="AR112" s="7">
        <f t="shared" si="77"/>
        <v>0</v>
      </c>
    </row>
    <row r="113" spans="1:44" x14ac:dyDescent="0.3">
      <c r="A113" t="s">
        <v>72</v>
      </c>
      <c r="B113" s="1" t="str">
        <f t="shared" si="75"/>
        <v>Tablet cost</v>
      </c>
      <c r="C113" s="9">
        <f>(+C112/Parameters!$B$71)*Parameters!$B$72</f>
        <v>0</v>
      </c>
      <c r="D113" s="1">
        <f>+D112</f>
        <v>32</v>
      </c>
      <c r="E113" s="1">
        <f>+E112</f>
        <v>33</v>
      </c>
      <c r="F113" s="9">
        <f t="shared" si="79"/>
        <v>0</v>
      </c>
      <c r="G113" s="9">
        <f t="shared" si="80"/>
        <v>0</v>
      </c>
      <c r="H113" s="9"/>
      <c r="I113" s="7">
        <f t="shared" si="78"/>
        <v>0</v>
      </c>
      <c r="J113" s="7">
        <f t="shared" si="78"/>
        <v>0</v>
      </c>
      <c r="K113" s="7">
        <f t="shared" si="78"/>
        <v>0</v>
      </c>
      <c r="L113" s="7">
        <f t="shared" si="78"/>
        <v>0</v>
      </c>
      <c r="M113" s="7">
        <f t="shared" si="78"/>
        <v>0</v>
      </c>
      <c r="N113" s="7">
        <f t="shared" si="78"/>
        <v>0</v>
      </c>
      <c r="O113" s="7">
        <f t="shared" si="78"/>
        <v>0</v>
      </c>
      <c r="P113" s="7">
        <f t="shared" si="78"/>
        <v>0</v>
      </c>
      <c r="Q113" s="7">
        <f t="shared" si="78"/>
        <v>0</v>
      </c>
      <c r="R113" s="7">
        <f t="shared" si="78"/>
        <v>0</v>
      </c>
      <c r="S113" s="7">
        <f t="shared" si="78"/>
        <v>0</v>
      </c>
      <c r="T113" s="7">
        <f t="shared" si="78"/>
        <v>0</v>
      </c>
      <c r="U113" s="7">
        <f t="shared" si="78"/>
        <v>0</v>
      </c>
      <c r="V113" s="7">
        <f t="shared" si="78"/>
        <v>0</v>
      </c>
      <c r="W113" s="7">
        <f t="shared" si="78"/>
        <v>0</v>
      </c>
      <c r="X113" s="7">
        <f t="shared" ref="X113:AR113" si="85">IF(+$D113&gt;X$1,0,IF(X$1&lt;=$E113,$F113,0))</f>
        <v>0</v>
      </c>
      <c r="Y113" s="7">
        <f t="shared" si="85"/>
        <v>0</v>
      </c>
      <c r="Z113" s="7">
        <f t="shared" si="85"/>
        <v>0</v>
      </c>
      <c r="AA113" s="7">
        <f t="shared" si="85"/>
        <v>0</v>
      </c>
      <c r="AB113" s="7">
        <f t="shared" si="85"/>
        <v>0</v>
      </c>
      <c r="AC113" s="7">
        <f t="shared" si="85"/>
        <v>0</v>
      </c>
      <c r="AD113" s="7">
        <f t="shared" si="85"/>
        <v>0</v>
      </c>
      <c r="AE113" s="7">
        <f t="shared" si="85"/>
        <v>0</v>
      </c>
      <c r="AF113" s="7">
        <f t="shared" si="85"/>
        <v>0</v>
      </c>
      <c r="AG113" s="7">
        <f t="shared" si="85"/>
        <v>0</v>
      </c>
      <c r="AH113" s="7">
        <f t="shared" si="85"/>
        <v>0</v>
      </c>
      <c r="AI113" s="7">
        <f t="shared" si="85"/>
        <v>0</v>
      </c>
      <c r="AJ113" s="7">
        <f t="shared" si="85"/>
        <v>0</v>
      </c>
      <c r="AK113" s="7">
        <f t="shared" si="85"/>
        <v>0</v>
      </c>
      <c r="AL113" s="7">
        <f t="shared" si="85"/>
        <v>0</v>
      </c>
      <c r="AM113" s="7">
        <f t="shared" si="85"/>
        <v>0</v>
      </c>
      <c r="AN113" s="7">
        <f t="shared" si="85"/>
        <v>0</v>
      </c>
      <c r="AO113" s="7">
        <f t="shared" si="85"/>
        <v>0</v>
      </c>
      <c r="AP113" s="7">
        <f t="shared" si="85"/>
        <v>0</v>
      </c>
      <c r="AQ113" s="7">
        <f t="shared" si="85"/>
        <v>0</v>
      </c>
      <c r="AR113" s="7">
        <f t="shared" si="85"/>
        <v>0</v>
      </c>
    </row>
    <row r="114" spans="1:44" x14ac:dyDescent="0.3">
      <c r="A114" t="s">
        <v>69</v>
      </c>
      <c r="B114" s="1" t="str">
        <f t="shared" si="75"/>
        <v>Regular Production run</v>
      </c>
      <c r="C114" s="9">
        <f>Parameters!L83*Parameters!$B$71</f>
        <v>0</v>
      </c>
      <c r="D114" s="1">
        <f>+Parameters!N83</f>
        <v>34</v>
      </c>
      <c r="E114" s="1">
        <f>+Parameters!P83</f>
        <v>35</v>
      </c>
      <c r="F114" s="9">
        <f t="shared" si="79"/>
        <v>0</v>
      </c>
      <c r="G114" s="9">
        <f t="shared" si="80"/>
        <v>0</v>
      </c>
      <c r="H114" s="9"/>
      <c r="I114" s="7">
        <f t="shared" ref="I114:X117" si="86">IF(+$D114&gt;I$1,0,IF(I$1&lt;=$E114,$F114,0))</f>
        <v>0</v>
      </c>
      <c r="J114" s="7">
        <f t="shared" si="86"/>
        <v>0</v>
      </c>
      <c r="K114" s="7">
        <f t="shared" si="86"/>
        <v>0</v>
      </c>
      <c r="L114" s="7">
        <f t="shared" si="86"/>
        <v>0</v>
      </c>
      <c r="M114" s="7">
        <f t="shared" si="86"/>
        <v>0</v>
      </c>
      <c r="N114" s="7">
        <f t="shared" si="86"/>
        <v>0</v>
      </c>
      <c r="O114" s="7">
        <f t="shared" si="86"/>
        <v>0</v>
      </c>
      <c r="P114" s="7">
        <f t="shared" si="86"/>
        <v>0</v>
      </c>
      <c r="Q114" s="7">
        <f t="shared" si="86"/>
        <v>0</v>
      </c>
      <c r="R114" s="7">
        <f t="shared" si="86"/>
        <v>0</v>
      </c>
      <c r="S114" s="7">
        <f t="shared" si="86"/>
        <v>0</v>
      </c>
      <c r="T114" s="7">
        <f t="shared" si="86"/>
        <v>0</v>
      </c>
      <c r="U114" s="7">
        <f t="shared" si="86"/>
        <v>0</v>
      </c>
      <c r="V114" s="7">
        <f t="shared" si="86"/>
        <v>0</v>
      </c>
      <c r="W114" s="7">
        <f t="shared" si="86"/>
        <v>0</v>
      </c>
      <c r="X114" s="7">
        <f t="shared" si="86"/>
        <v>0</v>
      </c>
      <c r="Y114" s="7">
        <f t="shared" si="76"/>
        <v>0</v>
      </c>
      <c r="Z114" s="7">
        <f t="shared" si="76"/>
        <v>0</v>
      </c>
      <c r="AA114" s="7">
        <f t="shared" si="76"/>
        <v>0</v>
      </c>
      <c r="AB114" s="7">
        <f t="shared" si="76"/>
        <v>0</v>
      </c>
      <c r="AC114" s="7">
        <f t="shared" si="76"/>
        <v>0</v>
      </c>
      <c r="AD114" s="7">
        <f t="shared" si="76"/>
        <v>0</v>
      </c>
      <c r="AE114" s="7">
        <f t="shared" si="76"/>
        <v>0</v>
      </c>
      <c r="AF114" s="7">
        <f t="shared" si="76"/>
        <v>0</v>
      </c>
      <c r="AG114" s="7">
        <f t="shared" si="76"/>
        <v>0</v>
      </c>
      <c r="AH114" s="7">
        <f t="shared" si="76"/>
        <v>0</v>
      </c>
      <c r="AI114" s="7">
        <f t="shared" si="76"/>
        <v>0</v>
      </c>
      <c r="AJ114" s="7">
        <f t="shared" si="77"/>
        <v>0</v>
      </c>
      <c r="AK114" s="7">
        <f t="shared" si="77"/>
        <v>0</v>
      </c>
      <c r="AL114" s="7">
        <f t="shared" si="77"/>
        <v>0</v>
      </c>
      <c r="AM114" s="7">
        <f t="shared" si="77"/>
        <v>0</v>
      </c>
      <c r="AN114" s="7">
        <f t="shared" si="77"/>
        <v>0</v>
      </c>
      <c r="AO114" s="7">
        <f t="shared" si="77"/>
        <v>0</v>
      </c>
      <c r="AP114" s="7">
        <f t="shared" si="77"/>
        <v>0</v>
      </c>
      <c r="AQ114" s="7">
        <f t="shared" si="77"/>
        <v>0</v>
      </c>
      <c r="AR114" s="7">
        <f t="shared" si="77"/>
        <v>0</v>
      </c>
    </row>
    <row r="115" spans="1:44" x14ac:dyDescent="0.3">
      <c r="A115" t="s">
        <v>72</v>
      </c>
      <c r="B115" s="1" t="str">
        <f t="shared" si="75"/>
        <v>Tablet cost</v>
      </c>
      <c r="C115" s="9">
        <f>(+C114/Parameters!$B$71)*Parameters!$B$72</f>
        <v>0</v>
      </c>
      <c r="D115" s="1">
        <f>+D114</f>
        <v>34</v>
      </c>
      <c r="E115" s="1">
        <f>+E114</f>
        <v>35</v>
      </c>
      <c r="F115" s="9">
        <f t="shared" si="79"/>
        <v>0</v>
      </c>
      <c r="G115" s="9">
        <f t="shared" si="80"/>
        <v>0</v>
      </c>
      <c r="H115" s="9"/>
      <c r="I115" s="7">
        <f t="shared" si="86"/>
        <v>0</v>
      </c>
      <c r="J115" s="7">
        <f t="shared" si="86"/>
        <v>0</v>
      </c>
      <c r="K115" s="7">
        <f t="shared" si="86"/>
        <v>0</v>
      </c>
      <c r="L115" s="7">
        <f t="shared" si="86"/>
        <v>0</v>
      </c>
      <c r="M115" s="7">
        <f t="shared" si="86"/>
        <v>0</v>
      </c>
      <c r="N115" s="7">
        <f t="shared" si="86"/>
        <v>0</v>
      </c>
      <c r="O115" s="7">
        <f t="shared" si="86"/>
        <v>0</v>
      </c>
      <c r="P115" s="7">
        <f t="shared" si="86"/>
        <v>0</v>
      </c>
      <c r="Q115" s="7">
        <f t="shared" si="86"/>
        <v>0</v>
      </c>
      <c r="R115" s="7">
        <f t="shared" si="86"/>
        <v>0</v>
      </c>
      <c r="S115" s="7">
        <f t="shared" si="86"/>
        <v>0</v>
      </c>
      <c r="T115" s="7">
        <f t="shared" si="86"/>
        <v>0</v>
      </c>
      <c r="U115" s="7">
        <f t="shared" si="86"/>
        <v>0</v>
      </c>
      <c r="V115" s="7">
        <f t="shared" si="86"/>
        <v>0</v>
      </c>
      <c r="W115" s="7">
        <f t="shared" si="86"/>
        <v>0</v>
      </c>
      <c r="X115" s="7">
        <f t="shared" si="86"/>
        <v>0</v>
      </c>
      <c r="Y115" s="7">
        <f t="shared" ref="Y115:AR117" si="87">IF(+$D115&gt;Y$1,0,IF(Y$1&lt;=$E115,$F115,0))</f>
        <v>0</v>
      </c>
      <c r="Z115" s="7">
        <f t="shared" si="87"/>
        <v>0</v>
      </c>
      <c r="AA115" s="7">
        <f t="shared" si="87"/>
        <v>0</v>
      </c>
      <c r="AB115" s="7">
        <f t="shared" si="87"/>
        <v>0</v>
      </c>
      <c r="AC115" s="7">
        <f t="shared" si="87"/>
        <v>0</v>
      </c>
      <c r="AD115" s="7">
        <f t="shared" si="87"/>
        <v>0</v>
      </c>
      <c r="AE115" s="7">
        <f t="shared" si="87"/>
        <v>0</v>
      </c>
      <c r="AF115" s="7">
        <f t="shared" si="87"/>
        <v>0</v>
      </c>
      <c r="AG115" s="7">
        <f t="shared" si="87"/>
        <v>0</v>
      </c>
      <c r="AH115" s="7">
        <f t="shared" si="87"/>
        <v>0</v>
      </c>
      <c r="AI115" s="7">
        <f t="shared" si="87"/>
        <v>0</v>
      </c>
      <c r="AJ115" s="7">
        <f t="shared" si="87"/>
        <v>0</v>
      </c>
      <c r="AK115" s="7">
        <f t="shared" si="87"/>
        <v>0</v>
      </c>
      <c r="AL115" s="7">
        <f t="shared" si="87"/>
        <v>0</v>
      </c>
      <c r="AM115" s="7">
        <f t="shared" si="87"/>
        <v>0</v>
      </c>
      <c r="AN115" s="7">
        <f t="shared" si="87"/>
        <v>0</v>
      </c>
      <c r="AO115" s="7">
        <f t="shared" si="87"/>
        <v>0</v>
      </c>
      <c r="AP115" s="7">
        <f t="shared" si="87"/>
        <v>0</v>
      </c>
      <c r="AQ115" s="7">
        <f t="shared" si="87"/>
        <v>0</v>
      </c>
      <c r="AR115" s="7">
        <f t="shared" si="87"/>
        <v>0</v>
      </c>
    </row>
    <row r="116" spans="1:44" x14ac:dyDescent="0.3">
      <c r="A116" t="s">
        <v>69</v>
      </c>
      <c r="B116" s="1" t="str">
        <f t="shared" si="75"/>
        <v>Regular Production run</v>
      </c>
      <c r="C116" s="9">
        <f>Parameters!L84*Parameters!$B$71</f>
        <v>0</v>
      </c>
      <c r="D116" s="1">
        <f>+Parameters!N84</f>
        <v>36</v>
      </c>
      <c r="E116" s="1">
        <f>+Parameters!P84</f>
        <v>37</v>
      </c>
      <c r="F116" s="9">
        <f t="shared" si="79"/>
        <v>0</v>
      </c>
      <c r="G116" s="9">
        <f t="shared" si="80"/>
        <v>0</v>
      </c>
      <c r="H116" s="9"/>
      <c r="I116" s="7">
        <f t="shared" si="86"/>
        <v>0</v>
      </c>
      <c r="J116" s="7">
        <f t="shared" si="86"/>
        <v>0</v>
      </c>
      <c r="K116" s="7">
        <f t="shared" si="86"/>
        <v>0</v>
      </c>
      <c r="L116" s="7">
        <f t="shared" si="86"/>
        <v>0</v>
      </c>
      <c r="M116" s="7">
        <f t="shared" si="86"/>
        <v>0</v>
      </c>
      <c r="N116" s="7">
        <f t="shared" si="86"/>
        <v>0</v>
      </c>
      <c r="O116" s="7">
        <f t="shared" si="86"/>
        <v>0</v>
      </c>
      <c r="P116" s="7">
        <f t="shared" si="86"/>
        <v>0</v>
      </c>
      <c r="Q116" s="7">
        <f t="shared" si="86"/>
        <v>0</v>
      </c>
      <c r="R116" s="7">
        <f t="shared" si="86"/>
        <v>0</v>
      </c>
      <c r="S116" s="7">
        <f t="shared" si="86"/>
        <v>0</v>
      </c>
      <c r="T116" s="7">
        <f t="shared" si="86"/>
        <v>0</v>
      </c>
      <c r="U116" s="7">
        <f t="shared" si="86"/>
        <v>0</v>
      </c>
      <c r="V116" s="7">
        <f t="shared" si="86"/>
        <v>0</v>
      </c>
      <c r="W116" s="7">
        <f t="shared" si="86"/>
        <v>0</v>
      </c>
      <c r="X116" s="7">
        <f t="shared" si="86"/>
        <v>0</v>
      </c>
      <c r="Y116" s="7">
        <f t="shared" si="76"/>
        <v>0</v>
      </c>
      <c r="Z116" s="7">
        <f t="shared" si="76"/>
        <v>0</v>
      </c>
      <c r="AA116" s="7">
        <f t="shared" si="76"/>
        <v>0</v>
      </c>
      <c r="AB116" s="7">
        <f t="shared" si="76"/>
        <v>0</v>
      </c>
      <c r="AC116" s="7">
        <f t="shared" si="76"/>
        <v>0</v>
      </c>
      <c r="AD116" s="7">
        <f t="shared" si="76"/>
        <v>0</v>
      </c>
      <c r="AE116" s="7">
        <f t="shared" si="76"/>
        <v>0</v>
      </c>
      <c r="AF116" s="7">
        <f t="shared" si="76"/>
        <v>0</v>
      </c>
      <c r="AG116" s="7">
        <f t="shared" si="87"/>
        <v>0</v>
      </c>
      <c r="AH116" s="7">
        <f t="shared" si="87"/>
        <v>0</v>
      </c>
      <c r="AI116" s="7">
        <f t="shared" si="87"/>
        <v>0</v>
      </c>
      <c r="AJ116" s="7">
        <f t="shared" si="77"/>
        <v>0</v>
      </c>
      <c r="AK116" s="7">
        <f t="shared" si="77"/>
        <v>0</v>
      </c>
      <c r="AL116" s="7">
        <f t="shared" si="77"/>
        <v>0</v>
      </c>
      <c r="AM116" s="7">
        <f t="shared" si="77"/>
        <v>0</v>
      </c>
      <c r="AN116" s="7">
        <f t="shared" si="77"/>
        <v>0</v>
      </c>
      <c r="AO116" s="7">
        <f t="shared" si="77"/>
        <v>0</v>
      </c>
      <c r="AP116" s="7">
        <f t="shared" si="77"/>
        <v>0</v>
      </c>
      <c r="AQ116" s="7">
        <f t="shared" si="77"/>
        <v>0</v>
      </c>
      <c r="AR116" s="7">
        <f t="shared" si="77"/>
        <v>0</v>
      </c>
    </row>
    <row r="117" spans="1:44" x14ac:dyDescent="0.3">
      <c r="A117" t="s">
        <v>72</v>
      </c>
      <c r="B117" s="1" t="str">
        <f t="shared" si="75"/>
        <v>Tablet cost</v>
      </c>
      <c r="C117" s="9">
        <f>(+C116/Parameters!$B$71)*Parameters!$B$72</f>
        <v>0</v>
      </c>
      <c r="D117" s="1">
        <f>+D116</f>
        <v>36</v>
      </c>
      <c r="E117" s="1">
        <f>+E116</f>
        <v>37</v>
      </c>
      <c r="F117" s="9">
        <f t="shared" si="79"/>
        <v>0</v>
      </c>
      <c r="G117" s="9">
        <f t="shared" si="80"/>
        <v>0</v>
      </c>
      <c r="H117" s="9"/>
      <c r="I117" s="7">
        <f t="shared" si="86"/>
        <v>0</v>
      </c>
      <c r="J117" s="7">
        <f t="shared" si="86"/>
        <v>0</v>
      </c>
      <c r="K117" s="7">
        <f t="shared" si="86"/>
        <v>0</v>
      </c>
      <c r="L117" s="7">
        <f t="shared" si="86"/>
        <v>0</v>
      </c>
      <c r="M117" s="7">
        <f t="shared" si="86"/>
        <v>0</v>
      </c>
      <c r="N117" s="7">
        <f t="shared" si="86"/>
        <v>0</v>
      </c>
      <c r="O117" s="7">
        <f t="shared" si="86"/>
        <v>0</v>
      </c>
      <c r="P117" s="7">
        <f t="shared" si="86"/>
        <v>0</v>
      </c>
      <c r="Q117" s="7">
        <f t="shared" si="86"/>
        <v>0</v>
      </c>
      <c r="R117" s="7">
        <f t="shared" si="86"/>
        <v>0</v>
      </c>
      <c r="S117" s="7">
        <f t="shared" si="86"/>
        <v>0</v>
      </c>
      <c r="T117" s="7">
        <f t="shared" si="86"/>
        <v>0</v>
      </c>
      <c r="U117" s="7">
        <f t="shared" si="86"/>
        <v>0</v>
      </c>
      <c r="V117" s="7">
        <f t="shared" si="86"/>
        <v>0</v>
      </c>
      <c r="W117" s="7">
        <f t="shared" si="86"/>
        <v>0</v>
      </c>
      <c r="X117" s="7">
        <f t="shared" si="86"/>
        <v>0</v>
      </c>
      <c r="Y117" s="7">
        <f t="shared" si="87"/>
        <v>0</v>
      </c>
      <c r="Z117" s="7">
        <f t="shared" si="87"/>
        <v>0</v>
      </c>
      <c r="AA117" s="7">
        <f t="shared" si="87"/>
        <v>0</v>
      </c>
      <c r="AB117" s="7">
        <f t="shared" si="87"/>
        <v>0</v>
      </c>
      <c r="AC117" s="7">
        <f t="shared" si="87"/>
        <v>0</v>
      </c>
      <c r="AD117" s="7">
        <f t="shared" si="87"/>
        <v>0</v>
      </c>
      <c r="AE117" s="7">
        <f t="shared" si="87"/>
        <v>0</v>
      </c>
      <c r="AF117" s="7">
        <f t="shared" si="87"/>
        <v>0</v>
      </c>
      <c r="AG117" s="7">
        <f t="shared" si="87"/>
        <v>0</v>
      </c>
      <c r="AH117" s="7">
        <f t="shared" si="87"/>
        <v>0</v>
      </c>
      <c r="AI117" s="7">
        <f t="shared" si="87"/>
        <v>0</v>
      </c>
      <c r="AJ117" s="7">
        <f t="shared" si="87"/>
        <v>0</v>
      </c>
      <c r="AK117" s="7">
        <f t="shared" si="87"/>
        <v>0</v>
      </c>
      <c r="AL117" s="7">
        <f t="shared" si="87"/>
        <v>0</v>
      </c>
      <c r="AM117" s="7">
        <f t="shared" si="87"/>
        <v>0</v>
      </c>
      <c r="AN117" s="7">
        <f t="shared" si="87"/>
        <v>0</v>
      </c>
      <c r="AO117" s="7">
        <f t="shared" si="87"/>
        <v>0</v>
      </c>
      <c r="AP117" s="7">
        <f t="shared" si="87"/>
        <v>0</v>
      </c>
      <c r="AQ117" s="7">
        <f t="shared" si="87"/>
        <v>0</v>
      </c>
      <c r="AR117" s="7">
        <f t="shared" si="87"/>
        <v>0</v>
      </c>
    </row>
    <row r="118" spans="1:44" x14ac:dyDescent="0.3">
      <c r="B118" s="1"/>
      <c r="C118" s="9"/>
      <c r="D118" s="1"/>
      <c r="E118" s="1"/>
      <c r="F118" s="9"/>
      <c r="G118" s="9"/>
      <c r="H118" s="9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x14ac:dyDescent="0.3">
      <c r="A119" t="s">
        <v>69</v>
      </c>
      <c r="B119" s="1" t="s">
        <v>158</v>
      </c>
      <c r="C119" s="10" t="str">
        <f>+Parameters!B69</f>
        <v>Sales Units</v>
      </c>
      <c r="D119" s="20"/>
      <c r="E119" s="20"/>
      <c r="F119" s="9"/>
      <c r="G119" s="9"/>
      <c r="H119" s="9"/>
      <c r="I119" s="7">
        <f>+I127*Parameters!$B$71</f>
        <v>0</v>
      </c>
      <c r="J119" s="7">
        <f>+J127*Parameters!$B$71</f>
        <v>0</v>
      </c>
      <c r="K119" s="7">
        <f>+K127*Parameters!$B$71</f>
        <v>0</v>
      </c>
      <c r="L119" s="7">
        <f>+L127*Parameters!$B$71</f>
        <v>0</v>
      </c>
      <c r="M119" s="7">
        <f>+M127*Parameters!$B$71</f>
        <v>0</v>
      </c>
      <c r="N119" s="7">
        <f>+N127*Parameters!$B$71</f>
        <v>0</v>
      </c>
      <c r="O119" s="7">
        <f>+O127*Parameters!$B$71</f>
        <v>0</v>
      </c>
      <c r="P119" s="7">
        <f>+P127*Parameters!$B$71</f>
        <v>0</v>
      </c>
      <c r="Q119" s="7">
        <f>+Q127*Parameters!$B$71</f>
        <v>0</v>
      </c>
      <c r="R119" s="7">
        <f>+R127*Parameters!$B$71</f>
        <v>0</v>
      </c>
      <c r="S119" s="7">
        <f>+S127*Parameters!$B$71</f>
        <v>0</v>
      </c>
      <c r="T119" s="7">
        <f>+T127*Parameters!$B$71</f>
        <v>0</v>
      </c>
      <c r="U119" s="7">
        <f>+U127*Parameters!$B$71</f>
        <v>0</v>
      </c>
      <c r="V119" s="7">
        <f>+V127*Parameters!$B$71</f>
        <v>0</v>
      </c>
      <c r="W119" s="7">
        <f>+W127*Parameters!$B$71</f>
        <v>0</v>
      </c>
      <c r="X119" s="7">
        <f>+X127*Parameters!$B$71</f>
        <v>160000</v>
      </c>
      <c r="Y119" s="7">
        <f>+Y127*Parameters!$B$71</f>
        <v>280000</v>
      </c>
      <c r="Z119" s="7">
        <f>+Z127*Parameters!$B$71</f>
        <v>360000</v>
      </c>
      <c r="AA119" s="7">
        <f>+AA127*Parameters!$B$71</f>
        <v>375300</v>
      </c>
      <c r="AB119" s="7">
        <f>+AB127*Parameters!$B$71</f>
        <v>391250.25</v>
      </c>
      <c r="AC119" s="7">
        <f>+AC127*Parameters!$B$71</f>
        <v>407878.385625</v>
      </c>
      <c r="AD119" s="7">
        <f>+AD127*Parameters!$B$71</f>
        <v>433213.21701406251</v>
      </c>
      <c r="AE119" s="7">
        <f>+AE127*Parameters!$B$71</f>
        <v>457284.7787371602</v>
      </c>
      <c r="AF119" s="7">
        <f>+AF127*Parameters!$B$71</f>
        <v>480124.38183348952</v>
      </c>
      <c r="AG119" s="7">
        <f>+AG127*Parameters!$B$71</f>
        <v>500529.66806141275</v>
      </c>
      <c r="AH119" s="7">
        <f>+AH127*Parameters!$B$71</f>
        <v>521802.17895402276</v>
      </c>
      <c r="AI119" s="7">
        <f>+AI127*Parameters!$B$71</f>
        <v>543978.7715595687</v>
      </c>
      <c r="AJ119" s="7">
        <f>+AJ127*Parameters!$B$71</f>
        <v>567497.86935085047</v>
      </c>
      <c r="AK119" s="7">
        <f>+AK127*Parameters!$B$71</f>
        <v>591899.52879826166</v>
      </c>
      <c r="AL119" s="7">
        <f>+AL127*Parameters!$B$71</f>
        <v>617225.50877218763</v>
      </c>
      <c r="AM119" s="7">
        <f>+AM127*Parameters!$B$71</f>
        <v>643457.5928950056</v>
      </c>
      <c r="AN119" s="7">
        <f>+AN127*Parameters!$B$71</f>
        <v>670804.54059304344</v>
      </c>
      <c r="AO119" s="7">
        <f>+AO127*Parameters!$B$71</f>
        <v>699313.73356824764</v>
      </c>
      <c r="AP119" s="7">
        <f>+AP127*Parameters!$B$71</f>
        <v>729054.56724489818</v>
      </c>
      <c r="AQ119" s="7">
        <f>+AQ127*Parameters!$B$71</f>
        <v>760053.53635280638</v>
      </c>
      <c r="AR119" s="7">
        <f>+AR127*Parameters!$B$71</f>
        <v>792364.32414780068</v>
      </c>
    </row>
    <row r="120" spans="1:44" x14ac:dyDescent="0.3">
      <c r="B120" s="1"/>
      <c r="C120" s="9"/>
      <c r="D120" s="20"/>
      <c r="E120" s="20"/>
      <c r="F120" s="9"/>
      <c r="G120" s="9"/>
      <c r="H120" s="9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</row>
    <row r="121" spans="1:44" s="2" customFormat="1" x14ac:dyDescent="0.3">
      <c r="B121" s="18" t="s">
        <v>67</v>
      </c>
      <c r="C121" s="25"/>
      <c r="D121" s="26"/>
      <c r="E121" s="26"/>
      <c r="F121" s="25"/>
      <c r="G121" s="25"/>
      <c r="H121" s="25"/>
      <c r="I121" s="27">
        <f t="shared" ref="I121:AR121" si="88">SUM(I81:I120)</f>
        <v>0</v>
      </c>
      <c r="J121" s="27">
        <f t="shared" si="88"/>
        <v>0</v>
      </c>
      <c r="K121" s="27">
        <f t="shared" si="88"/>
        <v>0</v>
      </c>
      <c r="L121" s="27">
        <f t="shared" si="88"/>
        <v>0</v>
      </c>
      <c r="M121" s="27">
        <f t="shared" si="88"/>
        <v>0</v>
      </c>
      <c r="N121" s="27">
        <f t="shared" si="88"/>
        <v>0</v>
      </c>
      <c r="O121" s="27">
        <f t="shared" si="88"/>
        <v>0</v>
      </c>
      <c r="P121" s="27">
        <f t="shared" si="88"/>
        <v>0</v>
      </c>
      <c r="Q121" s="27">
        <f t="shared" si="88"/>
        <v>0</v>
      </c>
      <c r="R121" s="27">
        <f t="shared" si="88"/>
        <v>0</v>
      </c>
      <c r="S121" s="27">
        <f t="shared" si="88"/>
        <v>0</v>
      </c>
      <c r="T121" s="27">
        <f t="shared" si="88"/>
        <v>0</v>
      </c>
      <c r="U121" s="27">
        <f t="shared" si="88"/>
        <v>0</v>
      </c>
      <c r="V121" s="27">
        <f t="shared" si="88"/>
        <v>0</v>
      </c>
      <c r="W121" s="27">
        <f t="shared" si="88"/>
        <v>0</v>
      </c>
      <c r="X121" s="27">
        <f t="shared" si="88"/>
        <v>160000</v>
      </c>
      <c r="Y121" s="27">
        <f t="shared" si="88"/>
        <v>280000</v>
      </c>
      <c r="Z121" s="27">
        <f t="shared" si="88"/>
        <v>360000</v>
      </c>
      <c r="AA121" s="27">
        <f t="shared" si="88"/>
        <v>375300</v>
      </c>
      <c r="AB121" s="27">
        <f t="shared" si="88"/>
        <v>391250.25</v>
      </c>
      <c r="AC121" s="27">
        <f t="shared" si="88"/>
        <v>407878.385625</v>
      </c>
      <c r="AD121" s="27">
        <f t="shared" si="88"/>
        <v>433213.21701406251</v>
      </c>
      <c r="AE121" s="27">
        <f t="shared" si="88"/>
        <v>457284.7787371602</v>
      </c>
      <c r="AF121" s="27">
        <f t="shared" si="88"/>
        <v>480124.38183348952</v>
      </c>
      <c r="AG121" s="27">
        <f t="shared" si="88"/>
        <v>500529.66806141275</v>
      </c>
      <c r="AH121" s="27">
        <f t="shared" si="88"/>
        <v>521802.17895402276</v>
      </c>
      <c r="AI121" s="27">
        <f t="shared" si="88"/>
        <v>543978.7715595687</v>
      </c>
      <c r="AJ121" s="27">
        <f t="shared" si="88"/>
        <v>567497.86935085047</v>
      </c>
      <c r="AK121" s="27">
        <f t="shared" si="88"/>
        <v>591899.52879826166</v>
      </c>
      <c r="AL121" s="27">
        <f t="shared" si="88"/>
        <v>617225.50877218763</v>
      </c>
      <c r="AM121" s="27">
        <f t="shared" si="88"/>
        <v>643457.5928950056</v>
      </c>
      <c r="AN121" s="27">
        <f t="shared" si="88"/>
        <v>670804.54059304344</v>
      </c>
      <c r="AO121" s="27">
        <f t="shared" si="88"/>
        <v>699313.73356824764</v>
      </c>
      <c r="AP121" s="27">
        <f t="shared" si="88"/>
        <v>729054.56724489818</v>
      </c>
      <c r="AQ121" s="27">
        <f t="shared" si="88"/>
        <v>760053.53635280638</v>
      </c>
      <c r="AR121" s="27">
        <f t="shared" si="88"/>
        <v>792364.32414780068</v>
      </c>
    </row>
    <row r="122" spans="1:44" x14ac:dyDescent="0.3">
      <c r="B122" s="1"/>
      <c r="C122" s="9"/>
      <c r="D122" s="1"/>
      <c r="E122" s="1"/>
      <c r="F122" s="7"/>
      <c r="G122" s="9"/>
      <c r="H122" s="9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</row>
    <row r="123" spans="1:44" x14ac:dyDescent="0.3">
      <c r="B123" s="3" t="s">
        <v>13</v>
      </c>
      <c r="C123" s="9"/>
      <c r="D123" s="3"/>
      <c r="E123" s="3"/>
      <c r="F123" s="7"/>
      <c r="G123" s="10"/>
      <c r="H123" s="1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</row>
    <row r="124" spans="1:44" x14ac:dyDescent="0.3">
      <c r="B124" s="1" t="s">
        <v>14</v>
      </c>
      <c r="C124" s="9">
        <f>+Parameters!B38</f>
        <v>10000</v>
      </c>
      <c r="D124" s="1">
        <f>+Parameters!D38</f>
        <v>12</v>
      </c>
      <c r="E124" s="1">
        <v>36</v>
      </c>
      <c r="F124" s="9">
        <f>+C124</f>
        <v>10000</v>
      </c>
      <c r="G124" s="9">
        <f t="shared" ref="G124" si="89">SUM(I124:AR124)</f>
        <v>250000</v>
      </c>
      <c r="H124" s="9"/>
      <c r="I124" s="7">
        <f t="shared" ref="I124:AR124" si="90">IF(+$D124&gt;I$1,0,IF(I$1&lt;=$E124,$F124,0))</f>
        <v>0</v>
      </c>
      <c r="J124" s="7">
        <f t="shared" si="90"/>
        <v>0</v>
      </c>
      <c r="K124" s="7">
        <f t="shared" si="90"/>
        <v>0</v>
      </c>
      <c r="L124" s="7">
        <f t="shared" si="90"/>
        <v>0</v>
      </c>
      <c r="M124" s="7">
        <f t="shared" si="90"/>
        <v>0</v>
      </c>
      <c r="N124" s="7">
        <f t="shared" si="90"/>
        <v>0</v>
      </c>
      <c r="O124" s="7">
        <f t="shared" si="90"/>
        <v>0</v>
      </c>
      <c r="P124" s="7">
        <f t="shared" si="90"/>
        <v>0</v>
      </c>
      <c r="Q124" s="7">
        <f t="shared" si="90"/>
        <v>0</v>
      </c>
      <c r="R124" s="7">
        <f t="shared" si="90"/>
        <v>0</v>
      </c>
      <c r="S124" s="7">
        <f t="shared" si="90"/>
        <v>0</v>
      </c>
      <c r="T124" s="7">
        <f t="shared" si="90"/>
        <v>10000</v>
      </c>
      <c r="U124" s="7">
        <f t="shared" si="90"/>
        <v>10000</v>
      </c>
      <c r="V124" s="7">
        <f t="shared" si="90"/>
        <v>10000</v>
      </c>
      <c r="W124" s="7">
        <f t="shared" si="90"/>
        <v>10000</v>
      </c>
      <c r="X124" s="7">
        <f t="shared" si="90"/>
        <v>10000</v>
      </c>
      <c r="Y124" s="7">
        <f t="shared" si="90"/>
        <v>10000</v>
      </c>
      <c r="Z124" s="7">
        <f t="shared" si="90"/>
        <v>10000</v>
      </c>
      <c r="AA124" s="7">
        <f t="shared" si="90"/>
        <v>10000</v>
      </c>
      <c r="AB124" s="7">
        <f t="shared" si="90"/>
        <v>10000</v>
      </c>
      <c r="AC124" s="7">
        <f t="shared" si="90"/>
        <v>10000</v>
      </c>
      <c r="AD124" s="7">
        <f t="shared" si="90"/>
        <v>10000</v>
      </c>
      <c r="AE124" s="7">
        <f t="shared" si="90"/>
        <v>10000</v>
      </c>
      <c r="AF124" s="7">
        <f t="shared" si="90"/>
        <v>10000</v>
      </c>
      <c r="AG124" s="7">
        <f t="shared" si="90"/>
        <v>10000</v>
      </c>
      <c r="AH124" s="7">
        <f t="shared" si="90"/>
        <v>10000</v>
      </c>
      <c r="AI124" s="7">
        <f t="shared" si="90"/>
        <v>10000</v>
      </c>
      <c r="AJ124" s="7">
        <f t="shared" si="90"/>
        <v>10000</v>
      </c>
      <c r="AK124" s="7">
        <f t="shared" si="90"/>
        <v>10000</v>
      </c>
      <c r="AL124" s="7">
        <f t="shared" si="90"/>
        <v>10000</v>
      </c>
      <c r="AM124" s="7">
        <f t="shared" si="90"/>
        <v>10000</v>
      </c>
      <c r="AN124" s="7">
        <f t="shared" si="90"/>
        <v>10000</v>
      </c>
      <c r="AO124" s="7">
        <f t="shared" si="90"/>
        <v>10000</v>
      </c>
      <c r="AP124" s="7">
        <f t="shared" si="90"/>
        <v>10000</v>
      </c>
      <c r="AQ124" s="7">
        <f t="shared" si="90"/>
        <v>10000</v>
      </c>
      <c r="AR124" s="7">
        <f t="shared" si="90"/>
        <v>10000</v>
      </c>
    </row>
    <row r="125" spans="1:44" x14ac:dyDescent="0.3">
      <c r="C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</row>
    <row r="126" spans="1:44" x14ac:dyDescent="0.3">
      <c r="C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</row>
    <row r="127" spans="1:44" x14ac:dyDescent="0.3">
      <c r="B127" t="s">
        <v>58</v>
      </c>
      <c r="C127" s="7"/>
      <c r="F127" s="7"/>
      <c r="G127" s="9">
        <f t="shared" ref="G127:G128" si="91">SUM(I127:AR127)</f>
        <v>13728.791041884771</v>
      </c>
      <c r="H127" s="7"/>
      <c r="I127" s="7">
        <f t="shared" ref="I127:AR127" si="92">+I28</f>
        <v>0</v>
      </c>
      <c r="J127" s="7">
        <f t="shared" si="92"/>
        <v>0</v>
      </c>
      <c r="K127" s="7">
        <f t="shared" si="92"/>
        <v>0</v>
      </c>
      <c r="L127" s="7">
        <f t="shared" si="92"/>
        <v>0</v>
      </c>
      <c r="M127" s="7">
        <f t="shared" si="92"/>
        <v>0</v>
      </c>
      <c r="N127" s="7">
        <f t="shared" si="92"/>
        <v>0</v>
      </c>
      <c r="O127" s="7">
        <f t="shared" si="92"/>
        <v>0</v>
      </c>
      <c r="P127" s="7">
        <f t="shared" si="92"/>
        <v>0</v>
      </c>
      <c r="Q127" s="7">
        <f t="shared" si="92"/>
        <v>0</v>
      </c>
      <c r="R127" s="7">
        <f t="shared" si="92"/>
        <v>0</v>
      </c>
      <c r="S127" s="7">
        <f t="shared" si="92"/>
        <v>0</v>
      </c>
      <c r="T127" s="7">
        <f t="shared" si="92"/>
        <v>0</v>
      </c>
      <c r="U127" s="7">
        <f t="shared" si="92"/>
        <v>0</v>
      </c>
      <c r="V127" s="7">
        <f t="shared" si="92"/>
        <v>0</v>
      </c>
      <c r="W127" s="7">
        <f t="shared" si="92"/>
        <v>0</v>
      </c>
      <c r="X127" s="7">
        <f t="shared" si="92"/>
        <v>200</v>
      </c>
      <c r="Y127" s="7">
        <f t="shared" si="92"/>
        <v>350</v>
      </c>
      <c r="Z127" s="7">
        <f t="shared" si="92"/>
        <v>450</v>
      </c>
      <c r="AA127" s="7">
        <f t="shared" si="92"/>
        <v>469.125</v>
      </c>
      <c r="AB127" s="7">
        <f t="shared" si="92"/>
        <v>489.06281250000001</v>
      </c>
      <c r="AC127" s="7">
        <f t="shared" si="92"/>
        <v>509.84798203125001</v>
      </c>
      <c r="AD127" s="7">
        <f t="shared" si="92"/>
        <v>541.51652126757813</v>
      </c>
      <c r="AE127" s="7">
        <f t="shared" si="92"/>
        <v>571.60597342145024</v>
      </c>
      <c r="AF127" s="7">
        <f t="shared" si="92"/>
        <v>600.15547729186187</v>
      </c>
      <c r="AG127" s="7">
        <f t="shared" si="92"/>
        <v>625.66208507676595</v>
      </c>
      <c r="AH127" s="7">
        <f t="shared" si="92"/>
        <v>652.25272369252843</v>
      </c>
      <c r="AI127" s="7">
        <f t="shared" si="92"/>
        <v>679.97346444946095</v>
      </c>
      <c r="AJ127" s="7">
        <f t="shared" si="92"/>
        <v>709.37233668856311</v>
      </c>
      <c r="AK127" s="7">
        <f t="shared" si="92"/>
        <v>739.874410997827</v>
      </c>
      <c r="AL127" s="7">
        <f t="shared" si="92"/>
        <v>771.53188596523455</v>
      </c>
      <c r="AM127" s="7">
        <f t="shared" si="92"/>
        <v>804.32199111875696</v>
      </c>
      <c r="AN127" s="7">
        <f t="shared" si="92"/>
        <v>838.50567574130423</v>
      </c>
      <c r="AO127" s="7">
        <f t="shared" si="92"/>
        <v>874.14216696030962</v>
      </c>
      <c r="AP127" s="7">
        <f t="shared" si="92"/>
        <v>911.31820905612278</v>
      </c>
      <c r="AQ127" s="7">
        <f t="shared" si="92"/>
        <v>950.06692044100794</v>
      </c>
      <c r="AR127" s="7">
        <f t="shared" si="92"/>
        <v>990.45540518475082</v>
      </c>
    </row>
    <row r="128" spans="1:44" x14ac:dyDescent="0.3">
      <c r="B128" t="s">
        <v>60</v>
      </c>
      <c r="C128" s="7"/>
      <c r="F128" s="7"/>
      <c r="G128" s="9">
        <f t="shared" si="91"/>
        <v>13728.791041884771</v>
      </c>
      <c r="H128" s="7"/>
      <c r="I128" s="7">
        <f>SUMIF($A$82:$A$119,"Production",I82:I119)/Parameters!$B$71</f>
        <v>0</v>
      </c>
      <c r="J128" s="7">
        <f>SUMIF($A$82:$A$119,"Production",J82:J119)/Parameters!$B$71</f>
        <v>0</v>
      </c>
      <c r="K128" s="7">
        <f>SUMIF($A$82:$A$119,"Production",K82:K119)/Parameters!$B$71</f>
        <v>0</v>
      </c>
      <c r="L128" s="7">
        <f>SUMIF($A$82:$A$119,"Production",L82:L119)/Parameters!$B$71</f>
        <v>0</v>
      </c>
      <c r="M128" s="7">
        <f>SUMIF($A$82:$A$119,"Production",M82:M119)/Parameters!$B$71</f>
        <v>0</v>
      </c>
      <c r="N128" s="7">
        <f>SUMIF($A$82:$A$119,"Production",N82:N119)/Parameters!$B$71</f>
        <v>0</v>
      </c>
      <c r="O128" s="7">
        <f>SUMIF($A$82:$A$119,"Production",O82:O119)/Parameters!$B$71</f>
        <v>0</v>
      </c>
      <c r="P128" s="7">
        <f>SUMIF($A$82:$A$119,"Production",P82:P119)/Parameters!$B$71</f>
        <v>0</v>
      </c>
      <c r="Q128" s="7">
        <f>SUMIF($A$82:$A$119,"Production",Q82:Q119)/Parameters!$B$71</f>
        <v>0</v>
      </c>
      <c r="R128" s="7">
        <f>SUMIF($A$82:$A$119,"Production",R82:R119)/Parameters!$B$71</f>
        <v>0</v>
      </c>
      <c r="S128" s="7">
        <f>SUMIF($A$82:$A$119,"Production",S82:S119)/Parameters!$B$71</f>
        <v>0</v>
      </c>
      <c r="T128" s="7">
        <f>SUMIF($A$82:$A$119,"Production",T82:T119)/Parameters!$B$71</f>
        <v>0</v>
      </c>
      <c r="U128" s="7">
        <f>SUMIF($A$82:$A$119,"Production",U82:U119)/Parameters!$B$71</f>
        <v>0</v>
      </c>
      <c r="V128" s="7">
        <f>SUMIF($A$82:$A$119,"Production",V82:V119)/Parameters!$B$71</f>
        <v>0</v>
      </c>
      <c r="W128" s="7">
        <f>SUMIF($A$82:$A$119,"Production",W82:W119)/Parameters!$B$71</f>
        <v>0</v>
      </c>
      <c r="X128" s="7">
        <f>SUMIF($A$82:$A$119,"Production",X82:X119)/Parameters!$B$71</f>
        <v>200</v>
      </c>
      <c r="Y128" s="7">
        <f>SUMIF($A$82:$A$119,"Production",Y82:Y119)/Parameters!$B$71</f>
        <v>350</v>
      </c>
      <c r="Z128" s="7">
        <f>SUMIF($A$82:$A$119,"Production",Z82:Z119)/Parameters!$B$71</f>
        <v>450</v>
      </c>
      <c r="AA128" s="7">
        <f>SUMIF($A$82:$A$119,"Production",AA82:AA119)/Parameters!$B$71</f>
        <v>469.125</v>
      </c>
      <c r="AB128" s="7">
        <f>SUMIF($A$82:$A$119,"Production",AB82:AB119)/Parameters!$B$71</f>
        <v>489.06281250000001</v>
      </c>
      <c r="AC128" s="7">
        <f>SUMIF($A$82:$A$119,"Production",AC82:AC119)/Parameters!$B$71</f>
        <v>509.84798203125001</v>
      </c>
      <c r="AD128" s="7">
        <f>SUMIF($A$82:$A$119,"Production",AD82:AD119)/Parameters!$B$71</f>
        <v>541.51652126757813</v>
      </c>
      <c r="AE128" s="7">
        <f>SUMIF($A$82:$A$119,"Production",AE82:AE119)/Parameters!$B$71</f>
        <v>571.60597342145024</v>
      </c>
      <c r="AF128" s="7">
        <f>SUMIF($A$82:$A$119,"Production",AF82:AF119)/Parameters!$B$71</f>
        <v>600.15547729186187</v>
      </c>
      <c r="AG128" s="7">
        <f>SUMIF($A$82:$A$119,"Production",AG82:AG119)/Parameters!$B$71</f>
        <v>625.66208507676595</v>
      </c>
      <c r="AH128" s="7">
        <f>SUMIF($A$82:$A$119,"Production",AH82:AH119)/Parameters!$B$71</f>
        <v>652.25272369252843</v>
      </c>
      <c r="AI128" s="7">
        <f>SUMIF($A$82:$A$119,"Production",AI82:AI119)/Parameters!$B$71</f>
        <v>679.97346444946083</v>
      </c>
      <c r="AJ128" s="7">
        <f>SUMIF($A$82:$A$119,"Production",AJ82:AJ119)/Parameters!$B$71</f>
        <v>709.37233668856311</v>
      </c>
      <c r="AK128" s="7">
        <f>SUMIF($A$82:$A$119,"Production",AK82:AK119)/Parameters!$B$71</f>
        <v>739.87441099782711</v>
      </c>
      <c r="AL128" s="7">
        <f>SUMIF($A$82:$A$119,"Production",AL82:AL119)/Parameters!$B$71</f>
        <v>771.53188596523455</v>
      </c>
      <c r="AM128" s="7">
        <f>SUMIF($A$82:$A$119,"Production",AM82:AM119)/Parameters!$B$71</f>
        <v>804.32199111875696</v>
      </c>
      <c r="AN128" s="7">
        <f>SUMIF($A$82:$A$119,"Production",AN82:AN119)/Parameters!$B$71</f>
        <v>838.50567574130434</v>
      </c>
      <c r="AO128" s="7">
        <f>SUMIF($A$82:$A$119,"Production",AO82:AO119)/Parameters!$B$71</f>
        <v>874.14216696030951</v>
      </c>
      <c r="AP128" s="7">
        <f>SUMIF($A$82:$A$119,"Production",AP82:AP119)/Parameters!$B$71</f>
        <v>911.31820905612267</v>
      </c>
      <c r="AQ128" s="7">
        <f>SUMIF($A$82:$A$119,"Production",AQ82:AQ119)/Parameters!$B$71</f>
        <v>950.06692044100794</v>
      </c>
      <c r="AR128" s="7">
        <f>SUMIF($A$82:$A$119,"Production",AR82:AR119)/Parameters!$B$71</f>
        <v>990.45540518475082</v>
      </c>
    </row>
    <row r="129" spans="2:44" x14ac:dyDescent="0.3">
      <c r="C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</row>
    <row r="130" spans="2:44" x14ac:dyDescent="0.3">
      <c r="B130" t="s">
        <v>61</v>
      </c>
      <c r="F130" s="7"/>
      <c r="G130" s="7"/>
      <c r="H130" s="7"/>
      <c r="I130" s="7">
        <f>+I127</f>
        <v>0</v>
      </c>
      <c r="J130" s="7">
        <f>+I130+J127</f>
        <v>0</v>
      </c>
      <c r="K130" s="7">
        <f t="shared" ref="K130:AR130" si="93">+J130+K127</f>
        <v>0</v>
      </c>
      <c r="L130" s="7">
        <f t="shared" si="93"/>
        <v>0</v>
      </c>
      <c r="M130" s="7">
        <f t="shared" si="93"/>
        <v>0</v>
      </c>
      <c r="N130" s="7">
        <f t="shared" si="93"/>
        <v>0</v>
      </c>
      <c r="O130" s="7">
        <f t="shared" si="93"/>
        <v>0</v>
      </c>
      <c r="P130" s="7">
        <f t="shared" si="93"/>
        <v>0</v>
      </c>
      <c r="Q130" s="7">
        <f t="shared" si="93"/>
        <v>0</v>
      </c>
      <c r="R130" s="7">
        <f t="shared" si="93"/>
        <v>0</v>
      </c>
      <c r="S130" s="7">
        <f t="shared" si="93"/>
        <v>0</v>
      </c>
      <c r="T130" s="7">
        <f t="shared" si="93"/>
        <v>0</v>
      </c>
      <c r="U130" s="7">
        <f t="shared" si="93"/>
        <v>0</v>
      </c>
      <c r="V130" s="7">
        <f t="shared" si="93"/>
        <v>0</v>
      </c>
      <c r="W130" s="7">
        <f t="shared" si="93"/>
        <v>0</v>
      </c>
      <c r="X130" s="7">
        <f t="shared" si="93"/>
        <v>200</v>
      </c>
      <c r="Y130" s="7">
        <f t="shared" si="93"/>
        <v>550</v>
      </c>
      <c r="Z130" s="7">
        <f t="shared" si="93"/>
        <v>1000</v>
      </c>
      <c r="AA130" s="7">
        <f t="shared" si="93"/>
        <v>1469.125</v>
      </c>
      <c r="AB130" s="7">
        <f t="shared" si="93"/>
        <v>1958.1878125000001</v>
      </c>
      <c r="AC130" s="7">
        <f t="shared" si="93"/>
        <v>2468.0357945312498</v>
      </c>
      <c r="AD130" s="7">
        <f t="shared" si="93"/>
        <v>3009.5523157988282</v>
      </c>
      <c r="AE130" s="7">
        <f t="shared" si="93"/>
        <v>3581.1582892202787</v>
      </c>
      <c r="AF130" s="7">
        <f t="shared" si="93"/>
        <v>4181.3137665121403</v>
      </c>
      <c r="AG130" s="7">
        <f t="shared" si="93"/>
        <v>4806.9758515889062</v>
      </c>
      <c r="AH130" s="7">
        <f t="shared" si="93"/>
        <v>5459.228575281435</v>
      </c>
      <c r="AI130" s="7">
        <f t="shared" si="93"/>
        <v>6139.2020397308961</v>
      </c>
      <c r="AJ130" s="7">
        <f t="shared" si="93"/>
        <v>6848.5743764194594</v>
      </c>
      <c r="AK130" s="7">
        <f t="shared" si="93"/>
        <v>7588.4487874172864</v>
      </c>
      <c r="AL130" s="7">
        <f t="shared" si="93"/>
        <v>8359.9806733825208</v>
      </c>
      <c r="AM130" s="7">
        <f t="shared" si="93"/>
        <v>9164.3026645012778</v>
      </c>
      <c r="AN130" s="7">
        <f t="shared" si="93"/>
        <v>10002.808340242582</v>
      </c>
      <c r="AO130" s="7">
        <f t="shared" si="93"/>
        <v>10876.950507202891</v>
      </c>
      <c r="AP130" s="7">
        <f t="shared" si="93"/>
        <v>11788.268716259014</v>
      </c>
      <c r="AQ130" s="7">
        <f t="shared" si="93"/>
        <v>12738.335636700021</v>
      </c>
      <c r="AR130" s="7">
        <f t="shared" si="93"/>
        <v>13728.791041884771</v>
      </c>
    </row>
    <row r="131" spans="2:44" x14ac:dyDescent="0.3">
      <c r="B131" t="s">
        <v>62</v>
      </c>
      <c r="F131" s="7"/>
      <c r="G131" s="7"/>
      <c r="H131" s="7"/>
      <c r="I131" s="7">
        <f>+I128</f>
        <v>0</v>
      </c>
      <c r="J131" s="7">
        <f>+I131+J128</f>
        <v>0</v>
      </c>
      <c r="K131" s="7">
        <f t="shared" ref="K131:AR131" si="94">+J131+K128</f>
        <v>0</v>
      </c>
      <c r="L131" s="7">
        <f t="shared" si="94"/>
        <v>0</v>
      </c>
      <c r="M131" s="7">
        <f t="shared" si="94"/>
        <v>0</v>
      </c>
      <c r="N131" s="7">
        <f t="shared" si="94"/>
        <v>0</v>
      </c>
      <c r="O131" s="7">
        <f t="shared" si="94"/>
        <v>0</v>
      </c>
      <c r="P131" s="7">
        <f t="shared" si="94"/>
        <v>0</v>
      </c>
      <c r="Q131" s="7">
        <f t="shared" si="94"/>
        <v>0</v>
      </c>
      <c r="R131" s="7">
        <f t="shared" si="94"/>
        <v>0</v>
      </c>
      <c r="S131" s="7">
        <f t="shared" si="94"/>
        <v>0</v>
      </c>
      <c r="T131" s="7">
        <f t="shared" si="94"/>
        <v>0</v>
      </c>
      <c r="U131" s="7">
        <f t="shared" si="94"/>
        <v>0</v>
      </c>
      <c r="V131" s="7">
        <f t="shared" si="94"/>
        <v>0</v>
      </c>
      <c r="W131" s="7">
        <f t="shared" si="94"/>
        <v>0</v>
      </c>
      <c r="X131" s="7">
        <f t="shared" si="94"/>
        <v>200</v>
      </c>
      <c r="Y131" s="7">
        <f t="shared" si="94"/>
        <v>550</v>
      </c>
      <c r="Z131" s="7">
        <f t="shared" si="94"/>
        <v>1000</v>
      </c>
      <c r="AA131" s="7">
        <f t="shared" si="94"/>
        <v>1469.125</v>
      </c>
      <c r="AB131" s="7">
        <f t="shared" si="94"/>
        <v>1958.1878125000001</v>
      </c>
      <c r="AC131" s="7">
        <f t="shared" si="94"/>
        <v>2468.0357945312498</v>
      </c>
      <c r="AD131" s="7">
        <f t="shared" si="94"/>
        <v>3009.5523157988282</v>
      </c>
      <c r="AE131" s="7">
        <f t="shared" si="94"/>
        <v>3581.1582892202787</v>
      </c>
      <c r="AF131" s="7">
        <f t="shared" si="94"/>
        <v>4181.3137665121403</v>
      </c>
      <c r="AG131" s="7">
        <f t="shared" si="94"/>
        <v>4806.9758515889062</v>
      </c>
      <c r="AH131" s="7">
        <f t="shared" si="94"/>
        <v>5459.228575281435</v>
      </c>
      <c r="AI131" s="7">
        <f t="shared" si="94"/>
        <v>6139.2020397308961</v>
      </c>
      <c r="AJ131" s="7">
        <f t="shared" si="94"/>
        <v>6848.5743764194594</v>
      </c>
      <c r="AK131" s="7">
        <f t="shared" si="94"/>
        <v>7588.4487874172864</v>
      </c>
      <c r="AL131" s="7">
        <f t="shared" si="94"/>
        <v>8359.9806733825208</v>
      </c>
      <c r="AM131" s="7">
        <f t="shared" si="94"/>
        <v>9164.3026645012778</v>
      </c>
      <c r="AN131" s="7">
        <f t="shared" si="94"/>
        <v>10002.808340242582</v>
      </c>
      <c r="AO131" s="7">
        <f t="shared" si="94"/>
        <v>10876.950507202891</v>
      </c>
      <c r="AP131" s="7">
        <f t="shared" si="94"/>
        <v>11788.268716259014</v>
      </c>
      <c r="AQ131" s="7">
        <f t="shared" si="94"/>
        <v>12738.335636700021</v>
      </c>
      <c r="AR131" s="7">
        <f t="shared" si="94"/>
        <v>13728.791041884771</v>
      </c>
    </row>
    <row r="132" spans="2:44" x14ac:dyDescent="0.3"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</row>
    <row r="133" spans="2:44" x14ac:dyDescent="0.3">
      <c r="B133" t="s">
        <v>63</v>
      </c>
      <c r="F133" s="7"/>
      <c r="G133" s="7"/>
      <c r="H133" s="7"/>
      <c r="I133" s="22">
        <f>+I131-I130</f>
        <v>0</v>
      </c>
      <c r="J133" s="22">
        <f t="shared" ref="J133:AR133" si="95">+J131-J130</f>
        <v>0</v>
      </c>
      <c r="K133" s="22">
        <f t="shared" si="95"/>
        <v>0</v>
      </c>
      <c r="L133" s="22">
        <f t="shared" si="95"/>
        <v>0</v>
      </c>
      <c r="M133" s="22">
        <f t="shared" si="95"/>
        <v>0</v>
      </c>
      <c r="N133" s="22">
        <f t="shared" si="95"/>
        <v>0</v>
      </c>
      <c r="O133" s="22">
        <f t="shared" si="95"/>
        <v>0</v>
      </c>
      <c r="P133" s="22">
        <f t="shared" si="95"/>
        <v>0</v>
      </c>
      <c r="Q133" s="22">
        <f t="shared" si="95"/>
        <v>0</v>
      </c>
      <c r="R133" s="22">
        <f t="shared" si="95"/>
        <v>0</v>
      </c>
      <c r="S133" s="22">
        <f t="shared" si="95"/>
        <v>0</v>
      </c>
      <c r="T133" s="22">
        <f t="shared" si="95"/>
        <v>0</v>
      </c>
      <c r="U133" s="22">
        <f t="shared" si="95"/>
        <v>0</v>
      </c>
      <c r="V133" s="22">
        <f t="shared" si="95"/>
        <v>0</v>
      </c>
      <c r="W133" s="22">
        <f t="shared" si="95"/>
        <v>0</v>
      </c>
      <c r="X133" s="22">
        <f t="shared" si="95"/>
        <v>0</v>
      </c>
      <c r="Y133" s="22">
        <f t="shared" si="95"/>
        <v>0</v>
      </c>
      <c r="Z133" s="22">
        <f t="shared" si="95"/>
        <v>0</v>
      </c>
      <c r="AA133" s="22">
        <f t="shared" si="95"/>
        <v>0</v>
      </c>
      <c r="AB133" s="22">
        <f t="shared" si="95"/>
        <v>0</v>
      </c>
      <c r="AC133" s="22">
        <f t="shared" si="95"/>
        <v>0</v>
      </c>
      <c r="AD133" s="22">
        <f t="shared" si="95"/>
        <v>0</v>
      </c>
      <c r="AE133" s="22">
        <f t="shared" si="95"/>
        <v>0</v>
      </c>
      <c r="AF133" s="22">
        <f t="shared" si="95"/>
        <v>0</v>
      </c>
      <c r="AG133" s="22">
        <f t="shared" si="95"/>
        <v>0</v>
      </c>
      <c r="AH133" s="22">
        <f t="shared" si="95"/>
        <v>0</v>
      </c>
      <c r="AI133" s="22">
        <f t="shared" si="95"/>
        <v>0</v>
      </c>
      <c r="AJ133" s="22">
        <f t="shared" si="95"/>
        <v>0</v>
      </c>
      <c r="AK133" s="22">
        <f t="shared" si="95"/>
        <v>0</v>
      </c>
      <c r="AL133" s="22">
        <f t="shared" si="95"/>
        <v>0</v>
      </c>
      <c r="AM133" s="22">
        <f t="shared" si="95"/>
        <v>0</v>
      </c>
      <c r="AN133" s="22">
        <f t="shared" si="95"/>
        <v>0</v>
      </c>
      <c r="AO133" s="22">
        <f t="shared" si="95"/>
        <v>0</v>
      </c>
      <c r="AP133" s="22">
        <f t="shared" si="95"/>
        <v>0</v>
      </c>
      <c r="AQ133" s="22">
        <f t="shared" si="95"/>
        <v>0</v>
      </c>
      <c r="AR133" s="22">
        <f t="shared" si="95"/>
        <v>0</v>
      </c>
    </row>
    <row r="134" spans="2:44" x14ac:dyDescent="0.3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</row>
    <row r="135" spans="2:44" x14ac:dyDescent="0.3">
      <c r="B135" t="s">
        <v>113</v>
      </c>
      <c r="C135" s="7"/>
      <c r="G135" s="7" cm="1">
        <f t="array" ref="G135">MIN(IF(I135:AR135&lt;&gt;0,I135:AR135))</f>
        <v>21</v>
      </c>
      <c r="I135" s="7">
        <f>IF('P&amp;L by Period'!D33&gt;0,'P&amp;L by Period'!D1,0)</f>
        <v>0</v>
      </c>
      <c r="J135" s="7">
        <f>IF('P&amp;L by Period'!E33&gt;0,'P&amp;L by Period'!E1,0)</f>
        <v>0</v>
      </c>
      <c r="K135" s="7">
        <f>IF('P&amp;L by Period'!F33&gt;0,'P&amp;L by Period'!F1,0)</f>
        <v>0</v>
      </c>
      <c r="L135" s="7">
        <f>IF('P&amp;L by Period'!G33&gt;0,'P&amp;L by Period'!G1,0)</f>
        <v>0</v>
      </c>
      <c r="M135" s="7">
        <f>IF('P&amp;L by Period'!H33&gt;0,'P&amp;L by Period'!H1,0)</f>
        <v>0</v>
      </c>
      <c r="N135" s="7">
        <f>IF('P&amp;L by Period'!I33&gt;0,'P&amp;L by Period'!I1,0)</f>
        <v>0</v>
      </c>
      <c r="O135" s="7">
        <f>IF('P&amp;L by Period'!J33&gt;0,'P&amp;L by Period'!J1,0)</f>
        <v>0</v>
      </c>
      <c r="P135" s="7">
        <f>IF('P&amp;L by Period'!K33&gt;0,'P&amp;L by Period'!K1,0)</f>
        <v>0</v>
      </c>
      <c r="Q135" s="7">
        <f>IF('P&amp;L by Period'!L33&gt;0,'P&amp;L by Period'!L1,0)</f>
        <v>0</v>
      </c>
      <c r="R135" s="7">
        <f>IF('P&amp;L by Period'!M33&gt;0,'P&amp;L by Period'!M1,0)</f>
        <v>0</v>
      </c>
      <c r="S135" s="7">
        <f>IF('P&amp;L by Period'!N33&gt;0,'P&amp;L by Period'!N1,0)</f>
        <v>0</v>
      </c>
      <c r="T135" s="7">
        <f>IF('P&amp;L by Period'!O33&gt;0,'P&amp;L by Period'!O1,0)</f>
        <v>0</v>
      </c>
      <c r="U135" s="7">
        <f>IF('P&amp;L by Period'!P33&gt;0,'P&amp;L by Period'!P1,0)</f>
        <v>0</v>
      </c>
      <c r="V135" s="7">
        <f>IF('P&amp;L by Period'!Q33&gt;0,'P&amp;L by Period'!Q1,0)</f>
        <v>0</v>
      </c>
      <c r="W135" s="7">
        <f>IF('P&amp;L by Period'!R33&gt;0,'P&amp;L by Period'!R1,0)</f>
        <v>0</v>
      </c>
      <c r="X135" s="7">
        <f>IF('P&amp;L by Period'!S33&gt;0,'P&amp;L by Period'!S1,0)</f>
        <v>0</v>
      </c>
      <c r="Y135" s="7">
        <f>IF('P&amp;L by Period'!T33&gt;0,'P&amp;L by Period'!T1,0)</f>
        <v>0</v>
      </c>
      <c r="Z135" s="7">
        <f>IF('P&amp;L by Period'!U33&gt;0,'P&amp;L by Period'!U1,0)</f>
        <v>0</v>
      </c>
      <c r="AA135" s="7">
        <f>IF('P&amp;L by Period'!V33&gt;0,'P&amp;L by Period'!V1,0)</f>
        <v>0</v>
      </c>
      <c r="AB135" s="7">
        <f>IF('P&amp;L by Period'!W33&gt;0,'P&amp;L by Period'!W1,0)</f>
        <v>0</v>
      </c>
      <c r="AC135" s="7">
        <f>IF('P&amp;L by Period'!X33&gt;0,'P&amp;L by Period'!X1,0)</f>
        <v>21</v>
      </c>
      <c r="AD135" s="7">
        <f>IF('P&amp;L by Period'!Y33&gt;0,'P&amp;L by Period'!Y1,0)</f>
        <v>22</v>
      </c>
      <c r="AE135" s="7">
        <f>IF('P&amp;L by Period'!Z33&gt;0,'P&amp;L by Period'!Z1,0)</f>
        <v>23</v>
      </c>
      <c r="AF135" s="7">
        <f>IF('P&amp;L by Period'!AA33&gt;0,'P&amp;L by Period'!AA1,0)</f>
        <v>24</v>
      </c>
      <c r="AG135" s="7">
        <f>IF('P&amp;L by Period'!AB33&gt;0,'P&amp;L by Period'!AB1,0)</f>
        <v>25</v>
      </c>
      <c r="AH135" s="7">
        <f>IF('P&amp;L by Period'!AC33&gt;0,'P&amp;L by Period'!AC1,0)</f>
        <v>26</v>
      </c>
      <c r="AI135" s="7">
        <f>IF('P&amp;L by Period'!AD33&gt;0,'P&amp;L by Period'!AD1,0)</f>
        <v>27</v>
      </c>
      <c r="AJ135" s="7">
        <f>IF('P&amp;L by Period'!AE33&gt;0,'P&amp;L by Period'!AE1,0)</f>
        <v>28</v>
      </c>
      <c r="AK135" s="7">
        <f>IF('P&amp;L by Period'!AF33&gt;0,'P&amp;L by Period'!AF1,0)</f>
        <v>29</v>
      </c>
      <c r="AL135" s="7">
        <f>IF('P&amp;L by Period'!AG33&gt;0,'P&amp;L by Period'!AG1,0)</f>
        <v>30</v>
      </c>
      <c r="AM135" s="7">
        <f>IF('P&amp;L by Period'!AH33&gt;0,'P&amp;L by Period'!AH1,0)</f>
        <v>31</v>
      </c>
      <c r="AN135" s="7">
        <f>IF('P&amp;L by Period'!AI33&gt;0,'P&amp;L by Period'!AI1,0)</f>
        <v>32</v>
      </c>
      <c r="AO135" s="7">
        <f>IF('P&amp;L by Period'!AJ33&gt;0,'P&amp;L by Period'!AJ1,0)</f>
        <v>33</v>
      </c>
      <c r="AP135" s="7">
        <f>IF('P&amp;L by Period'!AK33&gt;0,'P&amp;L by Period'!AK1,0)</f>
        <v>34</v>
      </c>
      <c r="AQ135" s="7">
        <f>IF('P&amp;L by Period'!AL33&gt;0,'P&amp;L by Period'!AL1,0)</f>
        <v>35</v>
      </c>
      <c r="AR135" s="7">
        <f>IF('P&amp;L by Period'!AM33&gt;0,'P&amp;L by Period'!AM1,0)</f>
        <v>36</v>
      </c>
    </row>
    <row r="136" spans="2:44" x14ac:dyDescent="0.3">
      <c r="B136" t="s">
        <v>114</v>
      </c>
      <c r="C136" s="7"/>
      <c r="G136" s="7" cm="1">
        <f t="array" ref="G136">MIN(IF(I136:AR136&lt;&gt;0,I136:AR136))</f>
        <v>27</v>
      </c>
      <c r="I136" s="7">
        <f>IF('P&amp;L by Period'!D34&gt;0,'P&amp;L by Period'!D1,0)</f>
        <v>0</v>
      </c>
      <c r="J136" s="7">
        <f>IF('P&amp;L by Period'!E34&gt;0,'P&amp;L by Period'!E1,0)</f>
        <v>0</v>
      </c>
      <c r="K136" s="7">
        <f>IF('P&amp;L by Period'!F34&gt;0,'P&amp;L by Period'!F1,0)</f>
        <v>0</v>
      </c>
      <c r="L136" s="7">
        <f>IF('P&amp;L by Period'!G34&gt;0,'P&amp;L by Period'!G1,0)</f>
        <v>0</v>
      </c>
      <c r="M136" s="7">
        <f>IF('P&amp;L by Period'!H34&gt;0,'P&amp;L by Period'!H1,0)</f>
        <v>0</v>
      </c>
      <c r="N136" s="7">
        <f>IF('P&amp;L by Period'!I34&gt;0,'P&amp;L by Period'!I1,0)</f>
        <v>0</v>
      </c>
      <c r="O136" s="7">
        <f>IF('P&amp;L by Period'!J34&gt;0,'P&amp;L by Period'!J1,0)</f>
        <v>0</v>
      </c>
      <c r="P136" s="7">
        <f>IF('P&amp;L by Period'!K34&gt;0,'P&amp;L by Period'!K1,0)</f>
        <v>0</v>
      </c>
      <c r="Q136" s="7">
        <f>IF('P&amp;L by Period'!L34&gt;0,'P&amp;L by Period'!L1,0)</f>
        <v>0</v>
      </c>
      <c r="R136" s="7">
        <f>IF('P&amp;L by Period'!M34&gt;0,'P&amp;L by Period'!M1,0)</f>
        <v>0</v>
      </c>
      <c r="S136" s="7">
        <f>IF('P&amp;L by Period'!N34&gt;0,'P&amp;L by Period'!N1,0)</f>
        <v>0</v>
      </c>
      <c r="T136" s="7">
        <f>IF('P&amp;L by Period'!O34&gt;0,'P&amp;L by Period'!O1,0)</f>
        <v>0</v>
      </c>
      <c r="U136" s="7">
        <f>IF('P&amp;L by Period'!P34&gt;0,'P&amp;L by Period'!P1,0)</f>
        <v>0</v>
      </c>
      <c r="V136" s="7">
        <f>IF('P&amp;L by Period'!Q34&gt;0,'P&amp;L by Period'!Q1,0)</f>
        <v>0</v>
      </c>
      <c r="W136" s="7">
        <f>IF('P&amp;L by Period'!R34&gt;0,'P&amp;L by Period'!R1,0)</f>
        <v>0</v>
      </c>
      <c r="X136" s="7">
        <f>IF('P&amp;L by Period'!S34&gt;0,'P&amp;L by Period'!S1,0)</f>
        <v>0</v>
      </c>
      <c r="Y136" s="7">
        <f>IF('P&amp;L by Period'!T34&gt;0,'P&amp;L by Period'!T1,0)</f>
        <v>0</v>
      </c>
      <c r="Z136" s="7">
        <f>IF('P&amp;L by Period'!U34&gt;0,'P&amp;L by Period'!U1,0)</f>
        <v>0</v>
      </c>
      <c r="AA136" s="7">
        <f>IF('P&amp;L by Period'!V34&gt;0,'P&amp;L by Period'!V1,0)</f>
        <v>0</v>
      </c>
      <c r="AB136" s="7">
        <f>IF('P&amp;L by Period'!W34&gt;0,'P&amp;L by Period'!W1,0)</f>
        <v>0</v>
      </c>
      <c r="AC136" s="7">
        <f>IF('P&amp;L by Period'!X34&gt;0,'P&amp;L by Period'!X1,0)</f>
        <v>0</v>
      </c>
      <c r="AD136" s="7">
        <f>IF('P&amp;L by Period'!Y34&gt;0,'P&amp;L by Period'!Y1,0)</f>
        <v>0</v>
      </c>
      <c r="AE136" s="7">
        <f>IF('P&amp;L by Period'!Z34&gt;0,'P&amp;L by Period'!Z1,0)</f>
        <v>0</v>
      </c>
      <c r="AF136" s="7">
        <f>IF('P&amp;L by Period'!AA34&gt;0,'P&amp;L by Period'!AA1,0)</f>
        <v>0</v>
      </c>
      <c r="AG136" s="7">
        <f>IF('P&amp;L by Period'!AB34&gt;0,'P&amp;L by Period'!AB1,0)</f>
        <v>0</v>
      </c>
      <c r="AH136" s="7">
        <f>IF('P&amp;L by Period'!AC34&gt;0,'P&amp;L by Period'!AC1,0)</f>
        <v>0</v>
      </c>
      <c r="AI136" s="7">
        <f>IF('P&amp;L by Period'!AD34&gt;0,'P&amp;L by Period'!AD1,0)</f>
        <v>27</v>
      </c>
      <c r="AJ136" s="7">
        <f>IF('P&amp;L by Period'!AE34&gt;0,'P&amp;L by Period'!AE1,0)</f>
        <v>28</v>
      </c>
      <c r="AK136" s="7">
        <f>IF('P&amp;L by Period'!AF34&gt;0,'P&amp;L by Period'!AF1,0)</f>
        <v>29</v>
      </c>
      <c r="AL136" s="7">
        <f>IF('P&amp;L by Period'!AG34&gt;0,'P&amp;L by Period'!AG1,0)</f>
        <v>30</v>
      </c>
      <c r="AM136" s="7">
        <f>IF('P&amp;L by Period'!AH34&gt;0,'P&amp;L by Period'!AH1,0)</f>
        <v>31</v>
      </c>
      <c r="AN136" s="7">
        <f>IF('P&amp;L by Period'!AI34&gt;0,'P&amp;L by Period'!AI1,0)</f>
        <v>32</v>
      </c>
      <c r="AO136" s="7">
        <f>IF('P&amp;L by Period'!AJ34&gt;0,'P&amp;L by Period'!AJ1,0)</f>
        <v>33</v>
      </c>
      <c r="AP136" s="7">
        <f>IF('P&amp;L by Period'!AK34&gt;0,'P&amp;L by Period'!AK1,0)</f>
        <v>34</v>
      </c>
      <c r="AQ136" s="7">
        <f>IF('P&amp;L by Period'!AL34&gt;0,'P&amp;L by Period'!AL1,0)</f>
        <v>35</v>
      </c>
      <c r="AR136" s="7">
        <f>IF('P&amp;L by Period'!AM34&gt;0,'P&amp;L by Period'!AM1,0)</f>
        <v>36</v>
      </c>
    </row>
    <row r="137" spans="2:44" x14ac:dyDescent="0.3"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</row>
    <row r="138" spans="2:44" x14ac:dyDescent="0.3">
      <c r="B138" t="s">
        <v>23</v>
      </c>
      <c r="F138" s="7"/>
      <c r="G138" s="7"/>
      <c r="H138" s="7"/>
      <c r="I138" s="7">
        <f>SUMIF($A$82:$A$117,"Production",I82:I117)/Parameters!$B$71</f>
        <v>0</v>
      </c>
      <c r="J138" s="7">
        <f>SUMIF($A$82:$A$117,"Production",J82:J117)/Parameters!$B$71</f>
        <v>0</v>
      </c>
      <c r="K138" s="7">
        <f>SUMIF($A$82:$A$117,"Production",K82:K117)/Parameters!$B$71</f>
        <v>0</v>
      </c>
      <c r="L138" s="7">
        <f>SUMIF($A$82:$A$117,"Production",L82:L117)/Parameters!$B$71</f>
        <v>0</v>
      </c>
      <c r="M138" s="7">
        <f>SUMIF($A$82:$A$117,"Production",M82:M117)/Parameters!$B$71</f>
        <v>0</v>
      </c>
      <c r="N138" s="7">
        <f>SUMIF($A$82:$A$117,"Production",N82:N117)/Parameters!$B$71</f>
        <v>0</v>
      </c>
      <c r="O138" s="7">
        <f>SUMIF($A$82:$A$117,"Production",O82:O117)/Parameters!$B$71</f>
        <v>0</v>
      </c>
      <c r="P138" s="7">
        <f>SUMIF($A$82:$A$117,"Production",P82:P117)/Parameters!$B$71</f>
        <v>0</v>
      </c>
      <c r="Q138" s="7">
        <f>SUMIF($A$82:$A$117,"Production",Q82:Q117)/Parameters!$B$71</f>
        <v>0</v>
      </c>
      <c r="R138" s="7">
        <f>SUMIF($A$82:$A$117,"Production",R82:R117)/Parameters!$B$71</f>
        <v>0</v>
      </c>
      <c r="S138" s="7">
        <f>SUMIF($A$82:$A$117,"Production",S82:S117)/Parameters!$B$71</f>
        <v>0</v>
      </c>
      <c r="T138" s="7">
        <f>SUMIF($A$82:$A$117,"Production",T82:T117)/Parameters!$B$71</f>
        <v>0</v>
      </c>
      <c r="U138" s="7">
        <f>SUMIF($A$82:$A$117,"Production",U82:U117)/Parameters!$B$71</f>
        <v>0</v>
      </c>
      <c r="V138" s="7">
        <f>SUMIF($A$82:$A$117,"Production",V82:V117)/Parameters!$B$71</f>
        <v>0</v>
      </c>
      <c r="W138" s="7">
        <f>SUMIF($A$82:$A$117,"Production",W82:W117)/Parameters!$B$71</f>
        <v>0</v>
      </c>
      <c r="X138" s="7">
        <f>SUMIF($A$82:$A$117,"Production",X82:X117)/Parameters!$B$71</f>
        <v>0</v>
      </c>
      <c r="Y138" s="7">
        <f>SUMIF($A$82:$A$117,"Production",Y82:Y117)/Parameters!$B$71</f>
        <v>0</v>
      </c>
      <c r="Z138" s="7">
        <f>SUMIF($A$82:$A$117,"Production",Z82:Z117)/Parameters!$B$71</f>
        <v>0</v>
      </c>
      <c r="AA138" s="7">
        <f>SUMIF($A$82:$A$117,"Production",AA82:AA117)/Parameters!$B$71</f>
        <v>0</v>
      </c>
      <c r="AB138" s="7">
        <f>SUMIF($A$82:$A$117,"Production",AB82:AB117)/Parameters!$B$71</f>
        <v>0</v>
      </c>
      <c r="AC138" s="7">
        <f>SUMIF($A$82:$A$117,"Production",AC82:AC117)/Parameters!$B$71</f>
        <v>0</v>
      </c>
      <c r="AD138" s="7">
        <f>SUMIF($A$82:$A$117,"Production",AD82:AD117)/Parameters!$B$71</f>
        <v>0</v>
      </c>
      <c r="AE138" s="7">
        <f>SUMIF($A$82:$A$117,"Production",AE82:AE117)/Parameters!$B$71</f>
        <v>0</v>
      </c>
      <c r="AF138" s="7">
        <f>SUMIF($A$82:$A$117,"Production",AF82:AF117)/Parameters!$B$71</f>
        <v>0</v>
      </c>
      <c r="AG138" s="7">
        <f>SUMIF($A$82:$A$117,"Production",AG82:AG117)/Parameters!$B$71</f>
        <v>0</v>
      </c>
      <c r="AH138" s="7">
        <f>SUMIF($A$82:$A$117,"Production",AH82:AH117)/Parameters!$B$71</f>
        <v>0</v>
      </c>
      <c r="AI138" s="7">
        <f>SUMIF($A$82:$A$117,"Production",AI82:AI117)/Parameters!$B$71</f>
        <v>0</v>
      </c>
      <c r="AJ138" s="7">
        <f>SUMIF($A$82:$A$117,"Production",AJ82:AJ117)/Parameters!$B$71</f>
        <v>0</v>
      </c>
      <c r="AK138" s="7">
        <f>SUMIF($A$82:$A$117,"Production",AK82:AK117)/Parameters!$B$71</f>
        <v>0</v>
      </c>
      <c r="AL138" s="7">
        <f>SUMIF($A$82:$A$117,"Production",AL82:AL117)/Parameters!$B$71</f>
        <v>0</v>
      </c>
      <c r="AM138" s="7">
        <f>SUMIF($A$82:$A$117,"Production",AM82:AM117)/Parameters!$B$71</f>
        <v>0</v>
      </c>
      <c r="AN138" s="7">
        <f>SUMIF($A$82:$A$117,"Production",AN82:AN117)/Parameters!$B$71</f>
        <v>0</v>
      </c>
      <c r="AO138" s="7">
        <f>SUMIF($A$82:$A$117,"Production",AO82:AO117)/Parameters!$B$71</f>
        <v>0</v>
      </c>
      <c r="AP138" s="7">
        <f>SUMIF($A$82:$A$117,"Production",AP82:AP117)/Parameters!$B$71</f>
        <v>0</v>
      </c>
      <c r="AQ138" s="7">
        <f>SUMIF($A$82:$A$117,"Production",AQ82:AQ117)/Parameters!$B$71</f>
        <v>0</v>
      </c>
      <c r="AR138" s="7">
        <f>SUMIF($A$82:$A$117,"Production",AR82:AR117)/Parameters!$B$71</f>
        <v>0</v>
      </c>
    </row>
    <row r="139" spans="2:44" x14ac:dyDescent="0.3">
      <c r="B139" t="s">
        <v>145</v>
      </c>
      <c r="F139" s="7"/>
      <c r="G139" s="7"/>
      <c r="H139" s="7"/>
      <c r="I139" s="7">
        <f>IF(+Parameters!$B$72&gt;0,(SUMIF($A$83:$A$117,"Tablet",I83:I117)/Parameters!$B$72),0)</f>
        <v>0</v>
      </c>
      <c r="J139" s="7">
        <f>IF(+Parameters!$B$72&gt;0,(SUMIF($A$83:$A$117,"Tablet",J83:J117)/Parameters!$B$72),0)</f>
        <v>0</v>
      </c>
      <c r="K139" s="7">
        <f>IF(+Parameters!$B$72&gt;0,(SUMIF($A$83:$A$117,"Tablet",K83:K117)/Parameters!$B$72),0)</f>
        <v>0</v>
      </c>
      <c r="L139" s="7">
        <f>IF(+Parameters!$B$72&gt;0,(SUMIF($A$83:$A$117,"Tablet",L83:L117)/Parameters!$B$72),0)</f>
        <v>0</v>
      </c>
      <c r="M139" s="7">
        <f>IF(+Parameters!$B$72&gt;0,(SUMIF($A$83:$A$117,"Tablet",M83:M117)/Parameters!$B$72),0)</f>
        <v>0</v>
      </c>
      <c r="N139" s="7">
        <f>IF(+Parameters!$B$72&gt;0,(SUMIF($A$83:$A$117,"Tablet",N83:N117)/Parameters!$B$72),0)</f>
        <v>0</v>
      </c>
      <c r="O139" s="7">
        <f>IF(+Parameters!$B$72&gt;0,(SUMIF($A$83:$A$117,"Tablet",O83:O117)/Parameters!$B$72),0)</f>
        <v>0</v>
      </c>
      <c r="P139" s="7">
        <f>IF(+Parameters!$B$72&gt;0,(SUMIF($A$83:$A$117,"Tablet",P83:P117)/Parameters!$B$72),0)</f>
        <v>0</v>
      </c>
      <c r="Q139" s="7">
        <f>IF(+Parameters!$B$72&gt;0,(SUMIF($A$83:$A$117,"Tablet",Q83:Q117)/Parameters!$B$72),0)</f>
        <v>0</v>
      </c>
      <c r="R139" s="7">
        <f>IF(+Parameters!$B$72&gt;0,(SUMIF($A$83:$A$117,"Tablet",R83:R117)/Parameters!$B$72),0)</f>
        <v>0</v>
      </c>
      <c r="S139" s="7">
        <f>IF(+Parameters!$B$72&gt;0,(SUMIF($A$83:$A$117,"Tablet",S83:S117)/Parameters!$B$72),0)</f>
        <v>0</v>
      </c>
      <c r="T139" s="7">
        <f>IF(+Parameters!$B$72&gt;0,(SUMIF($A$83:$A$117,"Tablet",T83:T117)/Parameters!$B$72),0)</f>
        <v>0</v>
      </c>
      <c r="U139" s="7">
        <f>IF(+Parameters!$B$72&gt;0,(SUMIF($A$83:$A$117,"Tablet",U83:U117)/Parameters!$B$72),0)</f>
        <v>0</v>
      </c>
      <c r="V139" s="7">
        <f>IF(+Parameters!$B$72&gt;0,(SUMIF($A$83:$A$117,"Tablet",V83:V117)/Parameters!$B$72),0)</f>
        <v>0</v>
      </c>
      <c r="W139" s="7">
        <f>IF(+Parameters!$B$72&gt;0,(SUMIF($A$83:$A$117,"Tablet",W83:W117)/Parameters!$B$72),0)</f>
        <v>0</v>
      </c>
      <c r="X139" s="7">
        <f>IF(+Parameters!$B$72&gt;0,(SUMIF($A$83:$A$117,"Tablet",X83:X117)/Parameters!$B$72),0)</f>
        <v>0</v>
      </c>
      <c r="Y139" s="7">
        <f>IF(+Parameters!$B$72&gt;0,(SUMIF($A$83:$A$117,"Tablet",Y83:Y117)/Parameters!$B$72),0)</f>
        <v>0</v>
      </c>
      <c r="Z139" s="7">
        <f>IF(+Parameters!$B$72&gt;0,(SUMIF($A$83:$A$117,"Tablet",Z83:Z117)/Parameters!$B$72),0)</f>
        <v>0</v>
      </c>
      <c r="AA139" s="7">
        <f>IF(+Parameters!$B$72&gt;0,(SUMIF($A$83:$A$117,"Tablet",AA83:AA117)/Parameters!$B$72),0)</f>
        <v>0</v>
      </c>
      <c r="AB139" s="7">
        <f>IF(+Parameters!$B$72&gt;0,(SUMIF($A$83:$A$117,"Tablet",AB83:AB117)/Parameters!$B$72),0)</f>
        <v>0</v>
      </c>
      <c r="AC139" s="7">
        <f>IF(+Parameters!$B$72&gt;0,(SUMIF($A$83:$A$117,"Tablet",AC83:AC117)/Parameters!$B$72),0)</f>
        <v>0</v>
      </c>
      <c r="AD139" s="7">
        <f>IF(+Parameters!$B$72&gt;0,(SUMIF($A$83:$A$117,"Tablet",AD83:AD117)/Parameters!$B$72),0)</f>
        <v>0</v>
      </c>
      <c r="AE139" s="7">
        <f>IF(+Parameters!$B$72&gt;0,(SUMIF($A$83:$A$117,"Tablet",AE83:AE117)/Parameters!$B$72),0)</f>
        <v>0</v>
      </c>
      <c r="AF139" s="7">
        <f>IF(+Parameters!$B$72&gt;0,(SUMIF($A$83:$A$117,"Tablet",AF83:AF117)/Parameters!$B$72),0)</f>
        <v>0</v>
      </c>
      <c r="AG139" s="7">
        <f>IF(+Parameters!$B$72&gt;0,(SUMIF($A$83:$A$117,"Tablet",AG83:AG117)/Parameters!$B$72),0)</f>
        <v>0</v>
      </c>
      <c r="AH139" s="7">
        <f>IF(+Parameters!$B$72&gt;0,(SUMIF($A$83:$A$117,"Tablet",AH83:AH117)/Parameters!$B$72),0)</f>
        <v>0</v>
      </c>
      <c r="AI139" s="7">
        <f>IF(+Parameters!$B$72&gt;0,(SUMIF($A$83:$A$117,"Tablet",AI83:AI117)/Parameters!$B$72),0)</f>
        <v>0</v>
      </c>
      <c r="AJ139" s="7">
        <f>IF(+Parameters!$B$72&gt;0,(SUMIF($A$83:$A$117,"Tablet",AJ83:AJ117)/Parameters!$B$72),0)</f>
        <v>0</v>
      </c>
      <c r="AK139" s="7">
        <f>IF(+Parameters!$B$72&gt;0,(SUMIF($A$83:$A$117,"Tablet",AK83:AK117)/Parameters!$B$72),0)</f>
        <v>0</v>
      </c>
      <c r="AL139" s="7">
        <f>IF(+Parameters!$B$72&gt;0,(SUMIF($A$83:$A$117,"Tablet",AL83:AL117)/Parameters!$B$72),0)</f>
        <v>0</v>
      </c>
      <c r="AM139" s="7">
        <f>IF(+Parameters!$B$72&gt;0,(SUMIF($A$83:$A$117,"Tablet",AM83:AM117)/Parameters!$B$72),0)</f>
        <v>0</v>
      </c>
      <c r="AN139" s="7">
        <f>IF(+Parameters!$B$72&gt;0,(SUMIF($A$83:$A$117,"Tablet",AN83:AN117)/Parameters!$B$72),0)</f>
        <v>0</v>
      </c>
      <c r="AO139" s="7">
        <f>IF(+Parameters!$B$72&gt;0,(SUMIF($A$83:$A$117,"Tablet",AO83:AO117)/Parameters!$B$72),0)</f>
        <v>0</v>
      </c>
      <c r="AP139" s="7">
        <f>IF(+Parameters!$B$72&gt;0,(SUMIF($A$83:$A$117,"Tablet",AP83:AP117)/Parameters!$B$72),0)</f>
        <v>0</v>
      </c>
      <c r="AQ139" s="7">
        <f>IF(+Parameters!$B$72&gt;0,(SUMIF($A$83:$A$117,"Tablet",AQ83:AQ117)/Parameters!$B$72),0)</f>
        <v>0</v>
      </c>
      <c r="AR139" s="7">
        <f>IF(+Parameters!$B$72&gt;0,(SUMIF($A$83:$A$117,"Tablet",AR83:AR117)/Parameters!$B$72),0)</f>
        <v>0</v>
      </c>
    </row>
    <row r="140" spans="2:44" x14ac:dyDescent="0.3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2:44" x14ac:dyDescent="0.3"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2:44" x14ac:dyDescent="0.3">
      <c r="B142" t="s">
        <v>147</v>
      </c>
      <c r="F142" s="7"/>
      <c r="G142" s="7"/>
      <c r="H142" s="7"/>
      <c r="I142" s="7">
        <f>+I28*Parameters!$B$71</f>
        <v>0</v>
      </c>
      <c r="J142" s="7">
        <f>+J28*Parameters!$B$71</f>
        <v>0</v>
      </c>
      <c r="K142" s="7">
        <f>+K28*Parameters!$B$71</f>
        <v>0</v>
      </c>
      <c r="L142" s="7">
        <f>+L28*Parameters!$B$71</f>
        <v>0</v>
      </c>
      <c r="M142" s="7">
        <f>+M28*Parameters!$B$71</f>
        <v>0</v>
      </c>
      <c r="N142" s="7">
        <f>+N28*Parameters!$B$71</f>
        <v>0</v>
      </c>
      <c r="O142" s="7">
        <f>+O28*Parameters!$B$71</f>
        <v>0</v>
      </c>
      <c r="P142" s="7">
        <f>+P28*Parameters!$B$71</f>
        <v>0</v>
      </c>
      <c r="Q142" s="7">
        <f>+Q28*Parameters!$B$71</f>
        <v>0</v>
      </c>
      <c r="R142" s="7">
        <f>+R28*Parameters!$B$71</f>
        <v>0</v>
      </c>
      <c r="S142" s="7">
        <f>+S28*Parameters!$B$71</f>
        <v>0</v>
      </c>
      <c r="T142" s="7">
        <f>+T28*Parameters!$B$71</f>
        <v>0</v>
      </c>
      <c r="U142" s="7">
        <f>+U28*Parameters!$B$71</f>
        <v>0</v>
      </c>
      <c r="V142" s="7">
        <f>+V28*Parameters!$B$71</f>
        <v>0</v>
      </c>
      <c r="W142" s="7">
        <f>+W28*Parameters!$B$71</f>
        <v>0</v>
      </c>
      <c r="X142" s="7">
        <f>+X28*Parameters!$B$71</f>
        <v>160000</v>
      </c>
      <c r="Y142" s="7">
        <f>+Y28*Parameters!$B$71</f>
        <v>280000</v>
      </c>
      <c r="Z142" s="7">
        <f>+Z28*Parameters!$B$71</f>
        <v>360000</v>
      </c>
      <c r="AA142" s="7">
        <f>+AA28*Parameters!$B$71</f>
        <v>375300</v>
      </c>
      <c r="AB142" s="7">
        <f>+AB28*Parameters!$B$71</f>
        <v>391250.25</v>
      </c>
      <c r="AC142" s="7">
        <f>+AC28*Parameters!$B$71</f>
        <v>407878.385625</v>
      </c>
      <c r="AD142" s="7">
        <f>+AD28*Parameters!$B$71</f>
        <v>433213.21701406251</v>
      </c>
      <c r="AE142" s="7">
        <f>+AE28*Parameters!$B$71</f>
        <v>457284.7787371602</v>
      </c>
      <c r="AF142" s="7">
        <f>+AF28*Parameters!$B$71</f>
        <v>480124.38183348952</v>
      </c>
      <c r="AG142" s="7">
        <f>+AG28*Parameters!$B$71</f>
        <v>500529.66806141275</v>
      </c>
      <c r="AH142" s="7">
        <f>+AH28*Parameters!$B$71</f>
        <v>521802.17895402276</v>
      </c>
      <c r="AI142" s="7">
        <f>+AI28*Parameters!$B$71</f>
        <v>543978.7715595687</v>
      </c>
      <c r="AJ142" s="7">
        <f>+AJ28*Parameters!$B$71</f>
        <v>567497.86935085047</v>
      </c>
      <c r="AK142" s="7">
        <f>+AK28*Parameters!$B$71</f>
        <v>591899.52879826166</v>
      </c>
      <c r="AL142" s="7">
        <f>+AL28*Parameters!$B$71</f>
        <v>617225.50877218763</v>
      </c>
      <c r="AM142" s="7">
        <f>+AM28*Parameters!$B$71</f>
        <v>643457.5928950056</v>
      </c>
      <c r="AN142" s="7">
        <f>+AN28*Parameters!$B$71</f>
        <v>670804.54059304344</v>
      </c>
      <c r="AO142" s="7">
        <f>+AO28*Parameters!$B$71</f>
        <v>699313.73356824764</v>
      </c>
      <c r="AP142" s="7">
        <f>+AP28*Parameters!$B$71</f>
        <v>729054.56724489818</v>
      </c>
      <c r="AQ142" s="7">
        <f>+AQ28*Parameters!$B$71</f>
        <v>760053.53635280638</v>
      </c>
      <c r="AR142" s="7">
        <f>+AR28*Parameters!$B$71</f>
        <v>792364.32414780068</v>
      </c>
    </row>
    <row r="143" spans="2:44" x14ac:dyDescent="0.3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2:44" x14ac:dyDescent="0.3"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</row>
    <row r="145" spans="6:44" x14ac:dyDescent="0.3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6:44" x14ac:dyDescent="0.3"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6:44" x14ac:dyDescent="0.3"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6:44" x14ac:dyDescent="0.3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6:44" x14ac:dyDescent="0.3"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6:44" x14ac:dyDescent="0.3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</row>
    <row r="151" spans="6:44" x14ac:dyDescent="0.3"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6:44" x14ac:dyDescent="0.3"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6:44" x14ac:dyDescent="0.3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6:44" x14ac:dyDescent="0.3"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6:44" x14ac:dyDescent="0.3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6:44" x14ac:dyDescent="0.3"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</row>
    <row r="157" spans="6:44" x14ac:dyDescent="0.3"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</row>
    <row r="158" spans="6:44" x14ac:dyDescent="0.3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</row>
    <row r="159" spans="6:44" x14ac:dyDescent="0.3"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</row>
    <row r="160" spans="6:44" x14ac:dyDescent="0.3"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 spans="6:44" x14ac:dyDescent="0.3"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</row>
    <row r="162" spans="6:44" x14ac:dyDescent="0.3"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</row>
    <row r="163" spans="6:44" x14ac:dyDescent="0.3"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</row>
    <row r="164" spans="6:44" x14ac:dyDescent="0.3"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</row>
    <row r="165" spans="6:44" x14ac:dyDescent="0.3"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</row>
    <row r="166" spans="6:44" x14ac:dyDescent="0.3"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</row>
    <row r="167" spans="6:44" x14ac:dyDescent="0.3"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</row>
    <row r="168" spans="6:44" x14ac:dyDescent="0.3"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</row>
    <row r="169" spans="6:44" x14ac:dyDescent="0.3"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</row>
    <row r="170" spans="6:44" x14ac:dyDescent="0.3"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</row>
    <row r="171" spans="6:44" x14ac:dyDescent="0.3"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</row>
    <row r="172" spans="6:44" x14ac:dyDescent="0.3"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</row>
    <row r="173" spans="6:44" x14ac:dyDescent="0.3"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</row>
    <row r="174" spans="6:44" x14ac:dyDescent="0.3"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</row>
    <row r="175" spans="6:44" x14ac:dyDescent="0.3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</row>
    <row r="176" spans="6:44" x14ac:dyDescent="0.3"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 spans="6:44" x14ac:dyDescent="0.3"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</row>
    <row r="178" spans="6:44" x14ac:dyDescent="0.3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</row>
    <row r="179" spans="6:44" x14ac:dyDescent="0.3"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</row>
    <row r="180" spans="6:44" x14ac:dyDescent="0.3"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</row>
    <row r="181" spans="6:44" x14ac:dyDescent="0.3"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</row>
    <row r="182" spans="6:44" x14ac:dyDescent="0.3"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</row>
    <row r="183" spans="6:44" x14ac:dyDescent="0.3"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</row>
    <row r="184" spans="6:44" x14ac:dyDescent="0.3"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 spans="6:44" x14ac:dyDescent="0.3"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</row>
    <row r="186" spans="6:44" x14ac:dyDescent="0.3"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</row>
    <row r="187" spans="6:44" x14ac:dyDescent="0.3"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</row>
    <row r="188" spans="6:44" x14ac:dyDescent="0.3"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 spans="6:44" x14ac:dyDescent="0.3"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</row>
    <row r="190" spans="6:44" x14ac:dyDescent="0.3"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</row>
    <row r="191" spans="6:44" x14ac:dyDescent="0.3"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</row>
    <row r="192" spans="6:44" x14ac:dyDescent="0.3"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</row>
    <row r="193" spans="6:44" x14ac:dyDescent="0.3"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</row>
    <row r="194" spans="6:44" x14ac:dyDescent="0.3"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</row>
    <row r="195" spans="6:44" x14ac:dyDescent="0.3"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</row>
    <row r="196" spans="6:44" x14ac:dyDescent="0.3"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 spans="6:44" x14ac:dyDescent="0.3"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</row>
    <row r="198" spans="6:44" x14ac:dyDescent="0.3"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</row>
    <row r="199" spans="6:44" x14ac:dyDescent="0.3"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</row>
    <row r="200" spans="6:44" x14ac:dyDescent="0.3"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 spans="6:44" x14ac:dyDescent="0.3"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</row>
    <row r="202" spans="6:44" x14ac:dyDescent="0.3"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</row>
    <row r="203" spans="6:44" x14ac:dyDescent="0.3"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</row>
    <row r="204" spans="6:44" x14ac:dyDescent="0.3"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</row>
    <row r="205" spans="6:44" x14ac:dyDescent="0.3"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</row>
    <row r="206" spans="6:44" x14ac:dyDescent="0.3"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</row>
    <row r="207" spans="6:44" x14ac:dyDescent="0.3"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</row>
    <row r="208" spans="6:44" x14ac:dyDescent="0.3"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 spans="6:44" x14ac:dyDescent="0.3"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Parameters</vt:lpstr>
      <vt:lpstr>P&amp;L By Year</vt:lpstr>
      <vt:lpstr>Sales &amp; Production</vt:lpstr>
      <vt:lpstr>P&amp;L by Period</vt:lpstr>
      <vt:lpstr>Workings</vt:lpstr>
      <vt:lpstr>Parameters!Area_stampa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Helton (SMC)</dc:creator>
  <cp:lastModifiedBy>claudio tassi</cp:lastModifiedBy>
  <cp:lastPrinted>2026-02-18T15:54:07Z</cp:lastPrinted>
  <dcterms:created xsi:type="dcterms:W3CDTF">2024-05-21T00:04:34Z</dcterms:created>
  <dcterms:modified xsi:type="dcterms:W3CDTF">2026-02-18T16:05:08Z</dcterms:modified>
</cp:coreProperties>
</file>